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⑦CASBEE\CASBEE_委員会\CASBEEマニュアル作成\2018年度版（H30）\評価ソフト\"/>
    </mc:Choice>
  </mc:AlternateContent>
  <bookViews>
    <workbookView xWindow="0" yWindow="0" windowWidth="28800" windowHeight="11895" tabRatio="925" firstSheet="3" activeTab="5"/>
  </bookViews>
  <sheets>
    <sheet name="CO2計算 (旧)" sheetId="34" state="hidden" r:id="rId1"/>
    <sheet name="クレジットlccm" sheetId="37" state="hidden" r:id="rId2"/>
    <sheet name="判定" sheetId="36" state="hidden" r:id="rId3"/>
    <sheet name="メイン" sheetId="7" r:id="rId4"/>
    <sheet name="電気排出係数" sheetId="31" r:id="rId5"/>
    <sheet name="結果" sheetId="20" r:id="rId6"/>
    <sheet name="スコア" sheetId="8" r:id="rId7"/>
    <sheet name="配慮" sheetId="14" r:id="rId8"/>
    <sheet name="採点Q1" sheetId="12" r:id="rId9"/>
    <sheet name="採点Q2" sheetId="2" r:id="rId10"/>
    <sheet name="採点Q3" sheetId="16" r:id="rId11"/>
    <sheet name="採点LR1" sheetId="3" r:id="rId12"/>
    <sheet name="採点LR2" sheetId="4" r:id="rId13"/>
    <sheet name="採点LR3" sheetId="6" r:id="rId14"/>
    <sheet name="CO2計算" sheetId="22" r:id="rId15"/>
    <sheet name="CO2データ" sheetId="30" r:id="rId16"/>
    <sheet name="CO2独自計算" sheetId="27" r:id="rId17"/>
    <sheet name="重み" sheetId="9" r:id="rId18"/>
    <sheet name="クレジット" sheetId="10" r:id="rId19"/>
  </sheets>
  <definedNames>
    <definedName name="_xlnm._FilterDatabase" localSheetId="6" hidden="1">スコア!$A$7:$AA$40</definedName>
    <definedName name="_xlnm._FilterDatabase" localSheetId="8" hidden="1">採点Q1!$7:$7</definedName>
    <definedName name="_xlnm._FilterDatabase" localSheetId="17" hidden="1">重み!$A$8:$BK$58</definedName>
    <definedName name="OLE_LINK4" localSheetId="9">採点Q2!#REF!</definedName>
    <definedName name="_xlnm.Print_Area" localSheetId="15">CO2データ!$A$1:$R$276</definedName>
    <definedName name="_xlnm.Print_Area" localSheetId="14">CO2計算!$A$1:$Q$83</definedName>
    <definedName name="_xlnm.Print_Area" localSheetId="0">'CO2計算 (旧)'!$A$1:$Q$82</definedName>
    <definedName name="_xlnm.Print_Area" localSheetId="18">クレジット!$A$1:$S$37</definedName>
    <definedName name="_xlnm.Print_Area" localSheetId="1">クレジットlccm!$A$1:$S$37</definedName>
    <definedName name="_xlnm.Print_Area" localSheetId="6">スコア!$A$1:$R$87</definedName>
    <definedName name="_xlnm.Print_Area" localSheetId="3">メイン!$A$1:$F$36</definedName>
    <definedName name="_xlnm.Print_Area" localSheetId="5">結果!$A$1:$P$69</definedName>
    <definedName name="_xlnm.Print_Area" localSheetId="11">採点LR1!$A$1:$N$118</definedName>
    <definedName name="_xlnm.Print_Area" localSheetId="12">採点LR2!$A$1:$N$184</definedName>
    <definedName name="_xlnm.Print_Area" localSheetId="13">採点LR3!$A$1:$N$115</definedName>
    <definedName name="_xlnm.Print_Area" localSheetId="8">採点Q1!$A$1:$N$136</definedName>
    <definedName name="_xlnm.Print_Area" localSheetId="9">採点Q2!$A$1:$N$152</definedName>
    <definedName name="_xlnm.Print_Area" localSheetId="10">採点Q3!$A$1:$O$94</definedName>
    <definedName name="_xlnm.Print_Area" localSheetId="17">重み!$A$2:$BJ$87</definedName>
    <definedName name="_xlnm.Print_Area" localSheetId="2">判定!$A$1:$L$80</definedName>
    <definedName name="_xlnm.Print_Titles" localSheetId="14">CO2計算!$1:$4</definedName>
    <definedName name="_xlnm.Print_Titles" localSheetId="0">'CO2計算 (旧)'!$1:$4</definedName>
    <definedName name="_xlnm.Print_Titles" localSheetId="6">スコア!$2:$4</definedName>
    <definedName name="_xlnm.Print_Titles" localSheetId="17">重み!$5:$6</definedName>
    <definedName name="Z_047384A4_E844_4BB4_B522_1CE13C4699E4_.wvu.Cols" localSheetId="16" hidden="1">CO2独自計算!$K:$IV</definedName>
    <definedName name="Z_047384A4_E844_4BB4_B522_1CE13C4699E4_.wvu.Rows" localSheetId="16" hidden="1">CO2独自計算!$25:$65537,CO2独自計算!#REF!</definedName>
  </definedNames>
  <calcPr calcId="162913"/>
  <fileRecoveryPr autoRecover="0"/>
</workbook>
</file>

<file path=xl/calcChain.xml><?xml version="1.0" encoding="utf-8"?>
<calcChain xmlns="http://schemas.openxmlformats.org/spreadsheetml/2006/main">
  <c r="B63" i="20" l="1"/>
  <c r="L63" i="20"/>
  <c r="D6" i="36" l="1"/>
  <c r="I6" i="36"/>
  <c r="B3" i="22"/>
  <c r="P12" i="22" l="1"/>
  <c r="P13" i="22"/>
  <c r="F25" i="36" l="1"/>
  <c r="G25" i="36" s="1"/>
  <c r="G11" i="22" s="1"/>
  <c r="F26" i="36"/>
  <c r="G26" i="36" s="1"/>
  <c r="G12" i="22" s="1"/>
  <c r="F27" i="36"/>
  <c r="G27" i="36" s="1"/>
  <c r="G13" i="22" s="1"/>
  <c r="D33" i="6" l="1"/>
  <c r="D27" i="6"/>
  <c r="D19" i="6"/>
  <c r="P4" i="22" l="1"/>
  <c r="P62" i="36"/>
  <c r="F62" i="36"/>
  <c r="F63" i="36"/>
  <c r="P63" i="36" s="1"/>
  <c r="Q75" i="36" l="1"/>
  <c r="P61" i="36"/>
  <c r="N29" i="36"/>
  <c r="E25" i="36" s="1"/>
  <c r="O29" i="36"/>
  <c r="E26" i="36" s="1"/>
  <c r="P29" i="36"/>
  <c r="E27" i="36" s="1"/>
  <c r="N25" i="36" l="1"/>
  <c r="J23" i="36" s="1"/>
  <c r="M2" i="36" l="1"/>
  <c r="B2" i="22" s="1"/>
  <c r="J64" i="36"/>
  <c r="F26" i="22" s="1"/>
  <c r="J63" i="36"/>
  <c r="J62" i="36"/>
  <c r="R62" i="36" l="1"/>
  <c r="Q76" i="36"/>
  <c r="Q78" i="36"/>
  <c r="R63" i="36"/>
  <c r="Q77" i="36"/>
  <c r="Q79" i="36" s="1"/>
  <c r="R61" i="36"/>
  <c r="J37" i="6"/>
  <c r="J36" i="6"/>
  <c r="J35" i="6"/>
  <c r="J34" i="6"/>
  <c r="J31" i="6"/>
  <c r="J30" i="6"/>
  <c r="J29" i="6"/>
  <c r="J28" i="6"/>
  <c r="J25" i="6"/>
  <c r="J24" i="6"/>
  <c r="J23" i="6"/>
  <c r="J22" i="6"/>
  <c r="J21" i="6"/>
  <c r="J20" i="6"/>
  <c r="F37" i="6"/>
  <c r="F36" i="6"/>
  <c r="E36" i="6"/>
  <c r="F35" i="6"/>
  <c r="E35" i="6"/>
  <c r="F34" i="6"/>
  <c r="E34" i="6"/>
  <c r="F31" i="6"/>
  <c r="F30" i="6"/>
  <c r="E30" i="6"/>
  <c r="F29" i="6"/>
  <c r="E29" i="6"/>
  <c r="F28" i="6"/>
  <c r="E28" i="6"/>
  <c r="J33" i="6"/>
  <c r="J27" i="6"/>
  <c r="J19" i="6"/>
  <c r="E24" i="6"/>
  <c r="E23" i="6"/>
  <c r="E22" i="6"/>
  <c r="E21" i="6"/>
  <c r="E20" i="6"/>
  <c r="F20" i="6"/>
  <c r="F21" i="6"/>
  <c r="F22" i="6"/>
  <c r="F23" i="6"/>
  <c r="F24" i="6"/>
  <c r="F25" i="6"/>
  <c r="O18" i="36"/>
  <c r="I56" i="22" l="1"/>
  <c r="F13" i="22"/>
  <c r="F12" i="22"/>
  <c r="F11" i="22"/>
  <c r="R66" i="36"/>
  <c r="D65" i="36" s="1"/>
  <c r="O65" i="36" s="1"/>
  <c r="I71" i="22"/>
  <c r="J56" i="22"/>
  <c r="R55" i="36"/>
  <c r="D54" i="36" s="1"/>
  <c r="O54" i="36" s="1"/>
  <c r="R53" i="36"/>
  <c r="R52" i="36"/>
  <c r="R51" i="36"/>
  <c r="R47" i="36"/>
  <c r="P50" i="36"/>
  <c r="P47" i="36"/>
  <c r="R50" i="36" l="1"/>
  <c r="D49" i="36" s="1"/>
  <c r="O49" i="36" s="1"/>
  <c r="D46" i="36"/>
  <c r="O46" i="36" s="1"/>
  <c r="D8" i="36" l="1"/>
  <c r="J8" i="36" s="1"/>
  <c r="E88" i="36"/>
  <c r="D88" i="36"/>
  <c r="P71" i="36"/>
  <c r="N18" i="36"/>
  <c r="M18" i="36" s="1"/>
  <c r="L38" i="22" s="1"/>
  <c r="G56" i="22"/>
  <c r="F21" i="22" s="1"/>
  <c r="P11" i="36"/>
  <c r="P10" i="36"/>
  <c r="P9" i="36"/>
  <c r="P8" i="36"/>
  <c r="P7" i="36"/>
  <c r="P6" i="36"/>
  <c r="N12" i="36"/>
  <c r="P5" i="36"/>
  <c r="P3" i="36"/>
  <c r="P2" i="36"/>
  <c r="L40" i="22" l="1"/>
  <c r="L39" i="22"/>
  <c r="J9" i="36"/>
  <c r="M9" i="36" s="1"/>
  <c r="B5" i="31"/>
  <c r="M20" i="36"/>
  <c r="K26" i="22" s="1"/>
  <c r="C21" i="36" l="1"/>
  <c r="M8" i="36"/>
  <c r="F88" i="36" s="1"/>
  <c r="Q80" i="36"/>
  <c r="P83" i="36" s="1"/>
  <c r="P84" i="36"/>
  <c r="J27" i="22"/>
  <c r="E89" i="36" l="1"/>
  <c r="R84" i="36"/>
  <c r="F90" i="36" s="1"/>
  <c r="R83" i="36"/>
  <c r="E90" i="36"/>
  <c r="R86" i="36" l="1"/>
  <c r="F89" i="36"/>
  <c r="D87" i="36" s="1"/>
  <c r="K234" i="30" l="1"/>
  <c r="I58" i="30"/>
  <c r="J58" i="30"/>
  <c r="K58" i="30"/>
  <c r="L58" i="30"/>
  <c r="M58" i="30"/>
  <c r="N58" i="30"/>
  <c r="O58" i="30"/>
  <c r="P58" i="30"/>
  <c r="Q58" i="30"/>
  <c r="I59" i="30"/>
  <c r="J59" i="30"/>
  <c r="K59" i="30"/>
  <c r="L59" i="30"/>
  <c r="M59" i="30"/>
  <c r="N59" i="30"/>
  <c r="O59" i="30"/>
  <c r="P59" i="30"/>
  <c r="Q59" i="30"/>
  <c r="I60" i="30"/>
  <c r="J60" i="30"/>
  <c r="K60" i="30"/>
  <c r="L60" i="30"/>
  <c r="M60" i="30"/>
  <c r="N60" i="30"/>
  <c r="O60" i="30"/>
  <c r="P60" i="30"/>
  <c r="Q60" i="30"/>
  <c r="I61" i="30"/>
  <c r="J61" i="30"/>
  <c r="K61" i="30"/>
  <c r="L61" i="30"/>
  <c r="M61" i="30"/>
  <c r="N61" i="30"/>
  <c r="O61" i="30"/>
  <c r="P61" i="30"/>
  <c r="Q61" i="30"/>
  <c r="I62" i="30"/>
  <c r="J62" i="30"/>
  <c r="K62" i="30"/>
  <c r="L62" i="30"/>
  <c r="M62" i="30"/>
  <c r="N62" i="30"/>
  <c r="O62" i="30"/>
  <c r="P62" i="30"/>
  <c r="Q62" i="30"/>
  <c r="I63" i="30"/>
  <c r="J63" i="30"/>
  <c r="K63" i="30"/>
  <c r="L63" i="30"/>
  <c r="M63" i="30"/>
  <c r="N63" i="30"/>
  <c r="O63" i="30"/>
  <c r="P63" i="30"/>
  <c r="Q63" i="30"/>
  <c r="I64" i="30"/>
  <c r="J64" i="30"/>
  <c r="K64" i="30"/>
  <c r="L64" i="30"/>
  <c r="M64" i="30"/>
  <c r="N64" i="30"/>
  <c r="O64" i="30"/>
  <c r="P64" i="30"/>
  <c r="Q64" i="30"/>
  <c r="I65" i="30"/>
  <c r="J65" i="30"/>
  <c r="K65" i="30"/>
  <c r="L65" i="30"/>
  <c r="M65" i="30"/>
  <c r="N65" i="30"/>
  <c r="O65" i="30"/>
  <c r="P65" i="30"/>
  <c r="Q65" i="30"/>
  <c r="I66" i="30"/>
  <c r="J66" i="30"/>
  <c r="K66" i="30"/>
  <c r="L66" i="30"/>
  <c r="M66" i="30"/>
  <c r="N66" i="30"/>
  <c r="O66" i="30"/>
  <c r="P66" i="30"/>
  <c r="Q66" i="30"/>
  <c r="I67" i="30"/>
  <c r="J67" i="30"/>
  <c r="K67" i="30"/>
  <c r="L67" i="30"/>
  <c r="M67" i="30"/>
  <c r="N67" i="30"/>
  <c r="O67" i="30"/>
  <c r="P67" i="30"/>
  <c r="Q67" i="30"/>
  <c r="I68" i="30"/>
  <c r="J68" i="30"/>
  <c r="K68" i="30"/>
  <c r="L68" i="30"/>
  <c r="M68" i="30"/>
  <c r="N68" i="30"/>
  <c r="O68" i="30"/>
  <c r="P68" i="30"/>
  <c r="Q68" i="30"/>
  <c r="I69" i="30"/>
  <c r="J69" i="30"/>
  <c r="K69" i="30"/>
  <c r="L69" i="30"/>
  <c r="M69" i="30"/>
  <c r="N69" i="30"/>
  <c r="O69" i="30"/>
  <c r="P69" i="30"/>
  <c r="Q69" i="30"/>
  <c r="I70" i="30"/>
  <c r="J70" i="30"/>
  <c r="K70" i="30"/>
  <c r="L70" i="30"/>
  <c r="M70" i="30"/>
  <c r="N70" i="30"/>
  <c r="O70" i="30"/>
  <c r="P70" i="30"/>
  <c r="Q70" i="30"/>
  <c r="I71" i="30"/>
  <c r="J71" i="30"/>
  <c r="K71" i="30"/>
  <c r="L71" i="30"/>
  <c r="M71" i="30"/>
  <c r="N71" i="30"/>
  <c r="O71" i="30"/>
  <c r="P71" i="30"/>
  <c r="Q71" i="30"/>
  <c r="I72" i="30"/>
  <c r="J72" i="30"/>
  <c r="K72" i="30"/>
  <c r="L72" i="30"/>
  <c r="M72" i="30"/>
  <c r="N72" i="30"/>
  <c r="O72" i="30"/>
  <c r="P72" i="30"/>
  <c r="Q72" i="30"/>
  <c r="I73" i="30"/>
  <c r="J73" i="30"/>
  <c r="K73" i="30"/>
  <c r="L73" i="30"/>
  <c r="M73" i="30"/>
  <c r="N73" i="30"/>
  <c r="O73" i="30"/>
  <c r="P73" i="30"/>
  <c r="Q73" i="30"/>
  <c r="I74" i="30"/>
  <c r="J74" i="30"/>
  <c r="K74" i="30"/>
  <c r="L74" i="30"/>
  <c r="M74" i="30"/>
  <c r="N74" i="30"/>
  <c r="O74" i="30"/>
  <c r="P74" i="30"/>
  <c r="Q74" i="30"/>
  <c r="I75" i="30"/>
  <c r="J75" i="30"/>
  <c r="K75" i="30"/>
  <c r="L75" i="30"/>
  <c r="M75" i="30"/>
  <c r="N75" i="30"/>
  <c r="O75" i="30"/>
  <c r="P75" i="30"/>
  <c r="Q75" i="30"/>
  <c r="I76" i="30"/>
  <c r="J76" i="30"/>
  <c r="K76" i="30"/>
  <c r="L76" i="30"/>
  <c r="M76" i="30"/>
  <c r="N76" i="30"/>
  <c r="O76" i="30"/>
  <c r="P76" i="30"/>
  <c r="Q76" i="30"/>
  <c r="I77" i="30"/>
  <c r="J77" i="30"/>
  <c r="K77" i="30"/>
  <c r="L77" i="30"/>
  <c r="M77" i="30"/>
  <c r="N77" i="30"/>
  <c r="O77" i="30"/>
  <c r="P77" i="30"/>
  <c r="Q77" i="30"/>
  <c r="I78" i="30"/>
  <c r="J78" i="30"/>
  <c r="K78" i="30"/>
  <c r="L78" i="30"/>
  <c r="M78" i="30"/>
  <c r="N78" i="30"/>
  <c r="O78" i="30"/>
  <c r="P78" i="30"/>
  <c r="Q78" i="30"/>
  <c r="I79" i="30"/>
  <c r="J79" i="30"/>
  <c r="K79" i="30"/>
  <c r="L79" i="30"/>
  <c r="M79" i="30"/>
  <c r="N79" i="30"/>
  <c r="O79" i="30"/>
  <c r="P79" i="30"/>
  <c r="Q79" i="30"/>
  <c r="I80" i="30"/>
  <c r="J80" i="30"/>
  <c r="K80" i="30"/>
  <c r="L80" i="30"/>
  <c r="M80" i="30"/>
  <c r="N80" i="30"/>
  <c r="O80" i="30"/>
  <c r="P80" i="30"/>
  <c r="Q80" i="30"/>
  <c r="I81" i="30"/>
  <c r="J81" i="30"/>
  <c r="K81" i="30"/>
  <c r="L81" i="30"/>
  <c r="M81" i="30"/>
  <c r="N81" i="30"/>
  <c r="O81" i="30"/>
  <c r="P81" i="30"/>
  <c r="Q81" i="30"/>
  <c r="I82" i="30"/>
  <c r="J82" i="30"/>
  <c r="K82" i="30"/>
  <c r="L82" i="30"/>
  <c r="M82" i="30"/>
  <c r="N82" i="30"/>
  <c r="O82" i="30"/>
  <c r="P82" i="30"/>
  <c r="Q82" i="30"/>
  <c r="I83" i="30"/>
  <c r="J83" i="30"/>
  <c r="K83" i="30"/>
  <c r="L83" i="30"/>
  <c r="M83" i="30"/>
  <c r="N83" i="30"/>
  <c r="O83" i="30"/>
  <c r="P83" i="30"/>
  <c r="Q83" i="30"/>
  <c r="I84" i="30"/>
  <c r="J84" i="30"/>
  <c r="K84" i="30"/>
  <c r="L84" i="30"/>
  <c r="M84" i="30"/>
  <c r="N84" i="30"/>
  <c r="O84" i="30"/>
  <c r="P84" i="30"/>
  <c r="Q84" i="30"/>
  <c r="I85" i="30"/>
  <c r="J85" i="30"/>
  <c r="K85" i="30"/>
  <c r="L85" i="30"/>
  <c r="M85" i="30"/>
  <c r="N85" i="30"/>
  <c r="O85" i="30"/>
  <c r="P85" i="30"/>
  <c r="Q85" i="30"/>
  <c r="I86" i="30"/>
  <c r="J86" i="30"/>
  <c r="K86" i="30"/>
  <c r="L86" i="30"/>
  <c r="M86" i="30"/>
  <c r="N86" i="30"/>
  <c r="O86" i="30"/>
  <c r="P86" i="30"/>
  <c r="Q86" i="30"/>
  <c r="I87" i="30"/>
  <c r="J87" i="30"/>
  <c r="K87" i="30"/>
  <c r="L87" i="30"/>
  <c r="M87" i="30"/>
  <c r="N87" i="30"/>
  <c r="O87" i="30"/>
  <c r="P87" i="30"/>
  <c r="Q87" i="30"/>
  <c r="I88" i="30"/>
  <c r="J88" i="30"/>
  <c r="K88" i="30"/>
  <c r="L88" i="30"/>
  <c r="M88" i="30"/>
  <c r="N88" i="30"/>
  <c r="O88" i="30"/>
  <c r="P88" i="30"/>
  <c r="Q88" i="30"/>
  <c r="I89" i="30"/>
  <c r="J89" i="30"/>
  <c r="K89" i="30"/>
  <c r="L89" i="30"/>
  <c r="M89" i="30"/>
  <c r="N89" i="30"/>
  <c r="O89" i="30"/>
  <c r="P89" i="30"/>
  <c r="Q89" i="30"/>
  <c r="I90" i="30"/>
  <c r="J90" i="30"/>
  <c r="K90" i="30"/>
  <c r="L90" i="30"/>
  <c r="M90" i="30"/>
  <c r="N90" i="30"/>
  <c r="O90" i="30"/>
  <c r="P90" i="30"/>
  <c r="Q90" i="30"/>
  <c r="I91" i="30"/>
  <c r="J91" i="30"/>
  <c r="K91" i="30"/>
  <c r="L91" i="30"/>
  <c r="M91" i="30"/>
  <c r="N91" i="30"/>
  <c r="O91" i="30"/>
  <c r="P91" i="30"/>
  <c r="Q91" i="30"/>
  <c r="I92" i="30"/>
  <c r="J92" i="30"/>
  <c r="K92" i="30"/>
  <c r="L92" i="30"/>
  <c r="M92" i="30"/>
  <c r="N92" i="30"/>
  <c r="O92" i="30"/>
  <c r="P92" i="30"/>
  <c r="Q92" i="30"/>
  <c r="I93" i="30"/>
  <c r="J93" i="30"/>
  <c r="K93" i="30"/>
  <c r="L93" i="30"/>
  <c r="M93" i="30"/>
  <c r="N93" i="30"/>
  <c r="O93" i="30"/>
  <c r="P93" i="30"/>
  <c r="Q93" i="30"/>
  <c r="I94" i="30"/>
  <c r="J94" i="30"/>
  <c r="K94" i="30"/>
  <c r="L94" i="30"/>
  <c r="M94" i="30"/>
  <c r="N94" i="30"/>
  <c r="O94" i="30"/>
  <c r="P94" i="30"/>
  <c r="Q94" i="30"/>
  <c r="I95" i="30"/>
  <c r="J95" i="30"/>
  <c r="K95" i="30"/>
  <c r="L95" i="30"/>
  <c r="M95" i="30"/>
  <c r="N95" i="30"/>
  <c r="O95" i="30"/>
  <c r="P95" i="30"/>
  <c r="Q95" i="30"/>
  <c r="I96" i="30"/>
  <c r="J96" i="30"/>
  <c r="K96" i="30"/>
  <c r="L96" i="30"/>
  <c r="M96" i="30"/>
  <c r="N96" i="30"/>
  <c r="O96" i="30"/>
  <c r="P96" i="30"/>
  <c r="Q96" i="30"/>
  <c r="I97" i="30"/>
  <c r="J97" i="30"/>
  <c r="K97" i="30"/>
  <c r="L97" i="30"/>
  <c r="M97" i="30"/>
  <c r="N97" i="30"/>
  <c r="O97" i="30"/>
  <c r="P97" i="30"/>
  <c r="Q97" i="30"/>
  <c r="I98" i="30"/>
  <c r="J98" i="30"/>
  <c r="K98" i="30"/>
  <c r="L98" i="30"/>
  <c r="M98" i="30"/>
  <c r="N98" i="30"/>
  <c r="O98" i="30"/>
  <c r="P98" i="30"/>
  <c r="Q98" i="30"/>
  <c r="I99" i="30"/>
  <c r="J99" i="30"/>
  <c r="K99" i="30"/>
  <c r="L99" i="30"/>
  <c r="M99" i="30"/>
  <c r="N99" i="30"/>
  <c r="O99" i="30"/>
  <c r="P99" i="30"/>
  <c r="Q99" i="30"/>
  <c r="I100" i="30"/>
  <c r="J100" i="30"/>
  <c r="K100" i="30"/>
  <c r="L100" i="30"/>
  <c r="M100" i="30"/>
  <c r="N100" i="30"/>
  <c r="O100" i="30"/>
  <c r="P100" i="30"/>
  <c r="Q100" i="30"/>
  <c r="I101" i="30"/>
  <c r="J101" i="30"/>
  <c r="K101" i="30"/>
  <c r="L101" i="30"/>
  <c r="M101" i="30"/>
  <c r="N101" i="30"/>
  <c r="O101" i="30"/>
  <c r="P101" i="30"/>
  <c r="Q101" i="30"/>
  <c r="I102" i="30"/>
  <c r="J102" i="30"/>
  <c r="K102" i="30"/>
  <c r="L102" i="30"/>
  <c r="M102" i="30"/>
  <c r="N102" i="30"/>
  <c r="O102" i="30"/>
  <c r="P102" i="30"/>
  <c r="Q102" i="30"/>
  <c r="I103" i="30"/>
  <c r="J103" i="30"/>
  <c r="K103" i="30"/>
  <c r="L103" i="30"/>
  <c r="M103" i="30"/>
  <c r="N103" i="30"/>
  <c r="O103" i="30"/>
  <c r="P103" i="30"/>
  <c r="Q103" i="30"/>
  <c r="I104" i="30"/>
  <c r="J104" i="30"/>
  <c r="K104" i="30"/>
  <c r="L104" i="30"/>
  <c r="M104" i="30"/>
  <c r="N104" i="30"/>
  <c r="O104" i="30"/>
  <c r="P104" i="30"/>
  <c r="Q104" i="30"/>
  <c r="I105" i="30"/>
  <c r="J105" i="30"/>
  <c r="K105" i="30"/>
  <c r="L105" i="30"/>
  <c r="M105" i="30"/>
  <c r="N105" i="30"/>
  <c r="O105" i="30"/>
  <c r="P105" i="30"/>
  <c r="Q105" i="30"/>
  <c r="B22" i="31" l="1"/>
  <c r="D12" i="36" s="1"/>
  <c r="D22" i="31"/>
  <c r="I70" i="34" l="1"/>
  <c r="M67" i="34"/>
  <c r="P64" i="34"/>
  <c r="J55" i="34"/>
  <c r="I55" i="34"/>
  <c r="G55" i="34"/>
  <c r="G73" i="34" s="1"/>
  <c r="I47" i="34"/>
  <c r="F47" i="34"/>
  <c r="I46" i="34"/>
  <c r="F46" i="34"/>
  <c r="I45" i="34"/>
  <c r="F45" i="34"/>
  <c r="I44" i="34"/>
  <c r="F44" i="34"/>
  <c r="F42" i="34"/>
  <c r="P39" i="34"/>
  <c r="P38" i="34"/>
  <c r="P37" i="34"/>
  <c r="P32" i="34"/>
  <c r="K32" i="34"/>
  <c r="J32" i="34"/>
  <c r="I32" i="34"/>
  <c r="I28" i="34"/>
  <c r="F28" i="34"/>
  <c r="I27" i="34"/>
  <c r="F27" i="34"/>
  <c r="I26" i="34"/>
  <c r="F26" i="34"/>
  <c r="I25" i="34"/>
  <c r="F25" i="34"/>
  <c r="F23" i="34"/>
  <c r="K22" i="34"/>
  <c r="J22" i="34"/>
  <c r="I22" i="34"/>
  <c r="P13" i="34"/>
  <c r="G13" i="34"/>
  <c r="G39" i="34" s="1"/>
  <c r="P12" i="34"/>
  <c r="G12" i="34"/>
  <c r="G38" i="34" s="1"/>
  <c r="P11" i="34"/>
  <c r="G11" i="34"/>
  <c r="G37" i="34" s="1"/>
  <c r="N3" i="34"/>
  <c r="B3" i="34"/>
  <c r="N2" i="34"/>
  <c r="B2" i="34"/>
  <c r="P30" i="34" l="1"/>
  <c r="P77" i="34" s="1"/>
  <c r="P49" i="34"/>
  <c r="P78" i="34" s="1"/>
  <c r="R29" i="3" l="1"/>
  <c r="I19" i="3"/>
  <c r="I17" i="3"/>
  <c r="J19" i="3" l="1"/>
  <c r="M17" i="3" l="1"/>
  <c r="D8" i="3" s="1"/>
  <c r="F259" i="30"/>
  <c r="AA242" i="30" l="1"/>
  <c r="Z242" i="30"/>
  <c r="Y242" i="30"/>
  <c r="X242" i="30"/>
  <c r="W242" i="30"/>
  <c r="V242" i="30"/>
  <c r="U242" i="30"/>
  <c r="T242" i="30"/>
  <c r="U241" i="30"/>
  <c r="V241" i="30"/>
  <c r="W241" i="30"/>
  <c r="X241" i="30"/>
  <c r="Y241" i="30"/>
  <c r="Z241" i="30"/>
  <c r="AA241" i="30"/>
  <c r="T241" i="30"/>
  <c r="U46" i="3" l="1"/>
  <c r="J28" i="22" l="1"/>
  <c r="J29" i="22"/>
  <c r="I46" i="22"/>
  <c r="I47" i="22"/>
  <c r="I48" i="22"/>
  <c r="I45" i="22"/>
  <c r="F43" i="22"/>
  <c r="J23" i="22"/>
  <c r="K23" i="22"/>
  <c r="I23" i="22"/>
  <c r="G74" i="22" l="1"/>
  <c r="E259" i="30"/>
  <c r="D259" i="30"/>
  <c r="I240" i="30"/>
  <c r="G259" i="30" l="1"/>
  <c r="H259" i="30" s="1"/>
  <c r="I259" i="30" s="1"/>
  <c r="J59" i="34" s="1"/>
  <c r="J73" i="34" s="1"/>
  <c r="I242" i="30"/>
  <c r="I253" i="30"/>
  <c r="I252" i="30"/>
  <c r="I245" i="30"/>
  <c r="I244" i="30"/>
  <c r="I257" i="30"/>
  <c r="I249" i="30"/>
  <c r="I256" i="30"/>
  <c r="I248" i="30"/>
  <c r="G260" i="30"/>
  <c r="H260" i="30" s="1"/>
  <c r="I241" i="30"/>
  <c r="I255" i="30"/>
  <c r="I251" i="30"/>
  <c r="I247" i="30"/>
  <c r="I243" i="30"/>
  <c r="I258" i="30"/>
  <c r="I254" i="30"/>
  <c r="I250" i="30"/>
  <c r="I246" i="30"/>
  <c r="I260" i="30" l="1"/>
  <c r="J60" i="22"/>
  <c r="J74" i="22" s="1"/>
  <c r="K229" i="30"/>
  <c r="K230" i="30"/>
  <c r="K231" i="30"/>
  <c r="K232" i="30"/>
  <c r="K233" i="30"/>
  <c r="I60" i="22" l="1"/>
  <c r="I59" i="34"/>
  <c r="D12" i="20"/>
  <c r="E18" i="31"/>
  <c r="D18" i="31"/>
  <c r="E17" i="31"/>
  <c r="D17" i="31"/>
  <c r="E16" i="31"/>
  <c r="D16" i="31"/>
  <c r="E15" i="31"/>
  <c r="D15" i="31"/>
  <c r="E14" i="31"/>
  <c r="D14" i="31"/>
  <c r="E13" i="31"/>
  <c r="D13" i="31"/>
  <c r="E12" i="31"/>
  <c r="D12" i="31"/>
  <c r="E11" i="31"/>
  <c r="D11" i="31"/>
  <c r="E10" i="31"/>
  <c r="D10" i="31"/>
  <c r="D9" i="31"/>
  <c r="E9" i="31"/>
  <c r="H55" i="8"/>
  <c r="H54" i="8"/>
  <c r="H24" i="8"/>
  <c r="S34" i="8"/>
  <c r="M34" i="8" s="1"/>
  <c r="K34" i="9" s="1"/>
  <c r="O24" i="8"/>
  <c r="P3" i="9"/>
  <c r="V14" i="9" s="1"/>
  <c r="L54" i="9"/>
  <c r="M68" i="22"/>
  <c r="P65" i="22"/>
  <c r="F63" i="3"/>
  <c r="D50" i="3" s="1"/>
  <c r="D95" i="12"/>
  <c r="D98" i="12" s="1"/>
  <c r="U101" i="12"/>
  <c r="U100" i="12"/>
  <c r="U99" i="12"/>
  <c r="U98" i="12"/>
  <c r="P98" i="12"/>
  <c r="U97" i="12"/>
  <c r="P97" i="12"/>
  <c r="U96" i="12"/>
  <c r="P96" i="12"/>
  <c r="X94" i="12"/>
  <c r="W94" i="12"/>
  <c r="V94" i="12"/>
  <c r="U94" i="12"/>
  <c r="T94" i="12"/>
  <c r="S94" i="12"/>
  <c r="R94" i="12"/>
  <c r="Q94" i="12"/>
  <c r="P94" i="12"/>
  <c r="O94" i="12"/>
  <c r="U35" i="20"/>
  <c r="H34" i="20" s="1"/>
  <c r="P38" i="22"/>
  <c r="G38" i="22"/>
  <c r="P39" i="22"/>
  <c r="G39" i="22"/>
  <c r="P40" i="22"/>
  <c r="G40" i="22"/>
  <c r="F82" i="3"/>
  <c r="D71" i="3" s="1"/>
  <c r="P11" i="22"/>
  <c r="Y8" i="9"/>
  <c r="S58" i="8"/>
  <c r="M58" i="8" s="1"/>
  <c r="K58" i="9" s="1"/>
  <c r="S60" i="8"/>
  <c r="M60" i="8" s="1"/>
  <c r="K60" i="9" s="1"/>
  <c r="S61" i="8"/>
  <c r="M61" i="8" s="1"/>
  <c r="K61" i="9" s="1"/>
  <c r="S89" i="9"/>
  <c r="S90" i="9"/>
  <c r="S91" i="9"/>
  <c r="S73" i="8"/>
  <c r="M73" i="8" s="1"/>
  <c r="K73" i="9" s="1"/>
  <c r="S74" i="8"/>
  <c r="M74" i="8" s="1"/>
  <c r="K74" i="9" s="1"/>
  <c r="S75" i="8"/>
  <c r="M75" i="8" s="1"/>
  <c r="K75" i="9" s="1"/>
  <c r="S77" i="8"/>
  <c r="M77" i="8" s="1"/>
  <c r="K77" i="9" s="1"/>
  <c r="F22" i="16"/>
  <c r="D8" i="16" s="1"/>
  <c r="D11" i="16" s="1"/>
  <c r="G27" i="7"/>
  <c r="G26" i="7"/>
  <c r="G25" i="7"/>
  <c r="G24" i="7"/>
  <c r="G23" i="7"/>
  <c r="G22" i="7"/>
  <c r="G21" i="7"/>
  <c r="G20" i="7"/>
  <c r="G19" i="7"/>
  <c r="G18" i="7"/>
  <c r="E19" i="31"/>
  <c r="D19" i="31"/>
  <c r="D7" i="9"/>
  <c r="Y6" i="8" s="1"/>
  <c r="S12" i="8"/>
  <c r="M12" i="8" s="1"/>
  <c r="K12" i="9" s="1"/>
  <c r="S13" i="8"/>
  <c r="M13" i="8" s="1"/>
  <c r="K13" i="9" s="1"/>
  <c r="S15" i="8"/>
  <c r="M15" i="8" s="1"/>
  <c r="K15" i="9" s="1"/>
  <c r="S16" i="8"/>
  <c r="M16" i="8" s="1"/>
  <c r="K16" i="9" s="1"/>
  <c r="S18" i="8"/>
  <c r="M18" i="8" s="1"/>
  <c r="K18" i="9" s="1"/>
  <c r="B19" i="9"/>
  <c r="C19" i="9"/>
  <c r="S21" i="8"/>
  <c r="M21" i="8" s="1"/>
  <c r="K21" i="9" s="1"/>
  <c r="S22" i="8"/>
  <c r="M22" i="8" s="1"/>
  <c r="K22" i="9" s="1"/>
  <c r="S23" i="8"/>
  <c r="M23" i="8" s="1"/>
  <c r="K23" i="9" s="1"/>
  <c r="S36" i="8"/>
  <c r="M36" i="8" s="1"/>
  <c r="K36" i="9" s="1"/>
  <c r="S37" i="8"/>
  <c r="M37" i="8" s="1"/>
  <c r="K37" i="9" s="1"/>
  <c r="S43" i="8"/>
  <c r="M43" i="8" s="1"/>
  <c r="K43" i="9" s="1"/>
  <c r="S47" i="8"/>
  <c r="M47" i="8" s="1"/>
  <c r="K47" i="9" s="1"/>
  <c r="P33" i="22"/>
  <c r="K33" i="22"/>
  <c r="J33" i="22"/>
  <c r="I33" i="22"/>
  <c r="I10" i="7"/>
  <c r="N15" i="7"/>
  <c r="O15" i="7" s="1"/>
  <c r="N10" i="7"/>
  <c r="N12" i="7"/>
  <c r="N13" i="7"/>
  <c r="N14" i="7"/>
  <c r="N16" i="7"/>
  <c r="O16" i="7" s="1"/>
  <c r="N18" i="7"/>
  <c r="O18" i="7" s="1"/>
  <c r="N19" i="7"/>
  <c r="H38" i="27"/>
  <c r="Q71" i="6"/>
  <c r="Q72" i="6"/>
  <c r="Q73" i="6"/>
  <c r="Q74" i="6"/>
  <c r="Q75" i="6"/>
  <c r="Q70" i="6"/>
  <c r="D17" i="7"/>
  <c r="D35" i="7"/>
  <c r="I2" i="27"/>
  <c r="K5" i="20"/>
  <c r="P12" i="3"/>
  <c r="P148" i="4"/>
  <c r="P56" i="12"/>
  <c r="P45" i="12"/>
  <c r="P24" i="12"/>
  <c r="N3" i="22"/>
  <c r="N2" i="22"/>
  <c r="S31" i="8"/>
  <c r="L30" i="2"/>
  <c r="D19" i="2" s="1"/>
  <c r="N46" i="36" s="1"/>
  <c r="M46" i="36" s="1"/>
  <c r="L14" i="22" s="1"/>
  <c r="P46" i="2"/>
  <c r="L49" i="2" s="1"/>
  <c r="D36" i="2" s="1"/>
  <c r="N49" i="36" s="1"/>
  <c r="M49" i="36" s="1"/>
  <c r="L15" i="22" s="1"/>
  <c r="F118" i="2"/>
  <c r="D106" i="2" s="1"/>
  <c r="N54" i="36" s="1"/>
  <c r="M54" i="36" s="1"/>
  <c r="L17" i="22" s="1"/>
  <c r="H86" i="8"/>
  <c r="H85" i="8"/>
  <c r="H83" i="8"/>
  <c r="H82" i="8"/>
  <c r="H77" i="8"/>
  <c r="H75" i="8"/>
  <c r="H74" i="8"/>
  <c r="H73" i="8"/>
  <c r="H71" i="8"/>
  <c r="H70" i="8"/>
  <c r="H69" i="8"/>
  <c r="H68" i="8"/>
  <c r="H67" i="8"/>
  <c r="H66" i="8"/>
  <c r="H65" i="8"/>
  <c r="H61" i="8"/>
  <c r="H60" i="8"/>
  <c r="H58" i="8"/>
  <c r="H57" i="8"/>
  <c r="H50" i="8"/>
  <c r="H49" i="8"/>
  <c r="H48" i="8"/>
  <c r="H47" i="8"/>
  <c r="H45" i="8"/>
  <c r="H43" i="8"/>
  <c r="H42" i="8"/>
  <c r="H40" i="8"/>
  <c r="H39" i="8"/>
  <c r="H37" i="8"/>
  <c r="H36" i="8"/>
  <c r="H34" i="8"/>
  <c r="H33" i="8"/>
  <c r="H32" i="8"/>
  <c r="H31" i="8"/>
  <c r="H28" i="8"/>
  <c r="H26" i="8"/>
  <c r="H23" i="8"/>
  <c r="H22" i="8"/>
  <c r="H21" i="8"/>
  <c r="H18" i="8"/>
  <c r="H16" i="8"/>
  <c r="H15" i="8"/>
  <c r="H13" i="8"/>
  <c r="H12" i="8"/>
  <c r="M3" i="8"/>
  <c r="M2" i="8"/>
  <c r="B2" i="8"/>
  <c r="B3" i="8"/>
  <c r="M78" i="8"/>
  <c r="K78" i="9" s="1"/>
  <c r="M27" i="8"/>
  <c r="K27" i="9" s="1"/>
  <c r="S28" i="8"/>
  <c r="W28" i="8" s="1"/>
  <c r="Q28" i="8" s="1"/>
  <c r="S51" i="20" s="1"/>
  <c r="T51" i="20" s="1"/>
  <c r="O10" i="8"/>
  <c r="L10" i="9" s="1"/>
  <c r="O18" i="8"/>
  <c r="L18" i="9" s="1"/>
  <c r="O11" i="8"/>
  <c r="L11" i="9" s="1"/>
  <c r="O14" i="8"/>
  <c r="L14" i="9" s="1"/>
  <c r="O17" i="8"/>
  <c r="L17" i="9" s="1"/>
  <c r="O15" i="8"/>
  <c r="L15" i="9" s="1"/>
  <c r="O16" i="8"/>
  <c r="L16" i="9" s="1"/>
  <c r="O12" i="8"/>
  <c r="L12" i="9" s="1"/>
  <c r="O13" i="8"/>
  <c r="L13" i="9" s="1"/>
  <c r="O83" i="8"/>
  <c r="O82" i="8"/>
  <c r="O86" i="8"/>
  <c r="O85"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V51" i="8"/>
  <c r="P51" i="8" s="1"/>
  <c r="O51" i="8"/>
  <c r="O50" i="8"/>
  <c r="O49" i="8"/>
  <c r="O48" i="8"/>
  <c r="O47" i="8"/>
  <c r="O46" i="8"/>
  <c r="O45" i="8"/>
  <c r="O44" i="8"/>
  <c r="O43" i="8"/>
  <c r="O42" i="8"/>
  <c r="O41" i="8"/>
  <c r="O40" i="8"/>
  <c r="O39" i="8"/>
  <c r="O38" i="8"/>
  <c r="O37" i="8"/>
  <c r="O36" i="8"/>
  <c r="O35" i="8"/>
  <c r="O34" i="8"/>
  <c r="O33" i="8"/>
  <c r="O32" i="8"/>
  <c r="O31" i="8"/>
  <c r="O30" i="8"/>
  <c r="O29" i="8"/>
  <c r="O28" i="8"/>
  <c r="O27" i="8"/>
  <c r="O26" i="8"/>
  <c r="O25" i="8"/>
  <c r="O23" i="8"/>
  <c r="O22" i="8"/>
  <c r="O21" i="8"/>
  <c r="O20" i="8"/>
  <c r="V19" i="8"/>
  <c r="P19" i="8" s="1"/>
  <c r="O19" i="8"/>
  <c r="L19" i="9" s="1"/>
  <c r="M79" i="8"/>
  <c r="M62" i="8"/>
  <c r="M52" i="8"/>
  <c r="M51" i="8"/>
  <c r="M19" i="8"/>
  <c r="K19" i="9" s="1"/>
  <c r="T51" i="8"/>
  <c r="N51" i="8" s="1"/>
  <c r="T19" i="8"/>
  <c r="N19" i="8" s="1"/>
  <c r="Y51" i="8"/>
  <c r="AA51" i="8"/>
  <c r="Q78" i="8"/>
  <c r="Q19" i="8"/>
  <c r="E5" i="8"/>
  <c r="AA8" i="8"/>
  <c r="Y8" i="8"/>
  <c r="AA6" i="8"/>
  <c r="M44" i="8"/>
  <c r="M29" i="8"/>
  <c r="L37" i="4"/>
  <c r="D27" i="4" s="1"/>
  <c r="S66" i="8" s="1"/>
  <c r="M66" i="8" s="1"/>
  <c r="K66" i="9" s="1"/>
  <c r="D83" i="6"/>
  <c r="D86" i="6" s="1"/>
  <c r="F113" i="6"/>
  <c r="D99" i="6" s="1"/>
  <c r="F56" i="6"/>
  <c r="D42" i="6" s="1"/>
  <c r="L22" i="4"/>
  <c r="D11" i="4" s="1"/>
  <c r="S65" i="8" s="1"/>
  <c r="M65" i="8" s="1"/>
  <c r="K65" i="9" s="1"/>
  <c r="F52" i="4"/>
  <c r="D42" i="4" s="1"/>
  <c r="S67" i="8" s="1"/>
  <c r="M67" i="8" s="1"/>
  <c r="K67" i="9" s="1"/>
  <c r="F69" i="4"/>
  <c r="D58" i="4" s="1"/>
  <c r="S68" i="8" s="1"/>
  <c r="M68" i="8" s="1"/>
  <c r="K68" i="9" s="1"/>
  <c r="F90" i="4"/>
  <c r="H90" i="4"/>
  <c r="L93" i="4"/>
  <c r="F115" i="4"/>
  <c r="H115" i="4"/>
  <c r="L118" i="4"/>
  <c r="D124" i="4"/>
  <c r="D128" i="4" s="1"/>
  <c r="P97" i="2"/>
  <c r="P99" i="2"/>
  <c r="L136" i="2"/>
  <c r="D125" i="2" s="1"/>
  <c r="F53" i="16"/>
  <c r="D40" i="16" s="1"/>
  <c r="D45" i="16" s="1"/>
  <c r="F73" i="16"/>
  <c r="D59" i="16" s="1"/>
  <c r="D64" i="16" s="1"/>
  <c r="F92" i="16"/>
  <c r="D79" i="16" s="1"/>
  <c r="D84" i="16" s="1"/>
  <c r="L122" i="12"/>
  <c r="D112" i="12" s="1"/>
  <c r="S26" i="8" s="1"/>
  <c r="M26" i="8" s="1"/>
  <c r="K26" i="9" s="1"/>
  <c r="AY82" i="9"/>
  <c r="AY85" i="9"/>
  <c r="AY80" i="9"/>
  <c r="L9" i="9"/>
  <c r="L29" i="9"/>
  <c r="L44" i="9"/>
  <c r="L52" i="9"/>
  <c r="L62" i="9"/>
  <c r="L79" i="9"/>
  <c r="L53" i="9"/>
  <c r="L56" i="9"/>
  <c r="L59" i="9"/>
  <c r="L55" i="9"/>
  <c r="L57" i="9"/>
  <c r="L58" i="9"/>
  <c r="L60" i="9"/>
  <c r="L61" i="9"/>
  <c r="L63" i="9"/>
  <c r="L72" i="9"/>
  <c r="L76" i="9"/>
  <c r="L64" i="9"/>
  <c r="L68" i="9"/>
  <c r="L69" i="9"/>
  <c r="L70" i="9"/>
  <c r="L71" i="9"/>
  <c r="L65" i="9"/>
  <c r="L66" i="9"/>
  <c r="L67" i="9"/>
  <c r="L73" i="9"/>
  <c r="L74" i="9"/>
  <c r="L75" i="9"/>
  <c r="L77" i="9"/>
  <c r="L78" i="9"/>
  <c r="L86" i="9"/>
  <c r="L87" i="9"/>
  <c r="L83" i="9"/>
  <c r="L84" i="9"/>
  <c r="H15" i="7"/>
  <c r="H12" i="20"/>
  <c r="J18" i="20"/>
  <c r="J17" i="20"/>
  <c r="J16" i="20"/>
  <c r="J15" i="20"/>
  <c r="D14" i="20"/>
  <c r="G15" i="20"/>
  <c r="E15" i="20"/>
  <c r="E16" i="20"/>
  <c r="E17" i="20"/>
  <c r="G16" i="20"/>
  <c r="G8" i="20"/>
  <c r="K10" i="20"/>
  <c r="K9" i="20"/>
  <c r="K8" i="20"/>
  <c r="G18" i="20"/>
  <c r="G13" i="20"/>
  <c r="G11" i="20"/>
  <c r="O5" i="20"/>
  <c r="D8" i="20"/>
  <c r="D10" i="20"/>
  <c r="D13" i="20"/>
  <c r="D11" i="20"/>
  <c r="D18" i="20"/>
  <c r="D9" i="20"/>
  <c r="G9" i="20"/>
  <c r="U27" i="20"/>
  <c r="U30" i="20" s="1"/>
  <c r="Z31" i="20"/>
  <c r="Z32" i="20"/>
  <c r="B65" i="20"/>
  <c r="H65" i="20"/>
  <c r="L65" i="20"/>
  <c r="B67" i="20"/>
  <c r="H67" i="20"/>
  <c r="L67" i="20"/>
  <c r="L1" i="3"/>
  <c r="V110" i="3"/>
  <c r="W110" i="3"/>
  <c r="X110" i="3"/>
  <c r="V99" i="3"/>
  <c r="W99" i="3"/>
  <c r="X99" i="3"/>
  <c r="V87" i="3"/>
  <c r="W87" i="3"/>
  <c r="X87" i="3"/>
  <c r="V70" i="3"/>
  <c r="W70" i="3"/>
  <c r="X70" i="3"/>
  <c r="V49" i="3"/>
  <c r="W49" i="3"/>
  <c r="X49" i="3"/>
  <c r="Q7" i="3"/>
  <c r="R7" i="3"/>
  <c r="S7" i="3"/>
  <c r="T7" i="3"/>
  <c r="U7" i="3"/>
  <c r="V7" i="3"/>
  <c r="W7" i="3"/>
  <c r="X7" i="3"/>
  <c r="U110" i="3"/>
  <c r="T110" i="3"/>
  <c r="S110" i="3"/>
  <c r="R110" i="3"/>
  <c r="Q110" i="3"/>
  <c r="P110" i="3"/>
  <c r="O110" i="3"/>
  <c r="U99" i="3"/>
  <c r="T99" i="3"/>
  <c r="S99" i="3"/>
  <c r="R99" i="3"/>
  <c r="Q99" i="3"/>
  <c r="P99" i="3"/>
  <c r="O99" i="3"/>
  <c r="U87" i="3"/>
  <c r="T87" i="3"/>
  <c r="S87" i="3"/>
  <c r="R87" i="3"/>
  <c r="Q87" i="3"/>
  <c r="P87" i="3"/>
  <c r="O87" i="3"/>
  <c r="U70" i="3"/>
  <c r="T70" i="3"/>
  <c r="S70" i="3"/>
  <c r="R70" i="3"/>
  <c r="Q70" i="3"/>
  <c r="P70" i="3"/>
  <c r="O70" i="3"/>
  <c r="U49" i="3"/>
  <c r="T49" i="3"/>
  <c r="S49" i="3"/>
  <c r="R49" i="3"/>
  <c r="Q49" i="3"/>
  <c r="P49" i="3"/>
  <c r="O49" i="3"/>
  <c r="U9" i="3"/>
  <c r="U116" i="3"/>
  <c r="U115" i="3"/>
  <c r="U114" i="3"/>
  <c r="U113" i="3"/>
  <c r="U112" i="3"/>
  <c r="P116" i="3"/>
  <c r="P115" i="3"/>
  <c r="P114" i="3"/>
  <c r="U105" i="3"/>
  <c r="U104" i="3"/>
  <c r="U103" i="3"/>
  <c r="U102" i="3"/>
  <c r="U101" i="3"/>
  <c r="P105" i="3"/>
  <c r="P104" i="3"/>
  <c r="P103" i="3"/>
  <c r="P101" i="3"/>
  <c r="U93" i="3"/>
  <c r="U92" i="3"/>
  <c r="U91" i="3"/>
  <c r="U90" i="3"/>
  <c r="U89" i="3"/>
  <c r="P93" i="3"/>
  <c r="P92" i="3"/>
  <c r="P91" i="3"/>
  <c r="U77" i="3"/>
  <c r="U76" i="3"/>
  <c r="U75" i="3"/>
  <c r="U74" i="3"/>
  <c r="U73" i="3"/>
  <c r="U72" i="3"/>
  <c r="P76" i="3"/>
  <c r="P75" i="3"/>
  <c r="P74" i="3"/>
  <c r="P72" i="3"/>
  <c r="U56" i="3"/>
  <c r="U55" i="3"/>
  <c r="U54" i="3"/>
  <c r="U53" i="3"/>
  <c r="U52" i="3"/>
  <c r="U51" i="3"/>
  <c r="P55" i="3"/>
  <c r="P54" i="3"/>
  <c r="P53" i="3"/>
  <c r="P51" i="3"/>
  <c r="U45" i="3"/>
  <c r="P13" i="3"/>
  <c r="P11" i="3"/>
  <c r="P10" i="3"/>
  <c r="P9" i="3"/>
  <c r="U13" i="3"/>
  <c r="U12" i="3"/>
  <c r="U11" i="3"/>
  <c r="U10" i="3"/>
  <c r="P7" i="3"/>
  <c r="O7" i="3"/>
  <c r="Q61" i="3"/>
  <c r="Q60" i="3"/>
  <c r="Q59" i="3"/>
  <c r="Q58" i="3"/>
  <c r="Y3" i="3"/>
  <c r="Q3" i="3"/>
  <c r="Y5" i="3"/>
  <c r="D102" i="3"/>
  <c r="D91" i="3"/>
  <c r="D116" i="3"/>
  <c r="D115" i="3"/>
  <c r="D114" i="3"/>
  <c r="D113" i="3"/>
  <c r="D112" i="3"/>
  <c r="D105" i="3"/>
  <c r="D104" i="3"/>
  <c r="D103" i="3"/>
  <c r="D101" i="3"/>
  <c r="D93" i="3"/>
  <c r="D92" i="3"/>
  <c r="D90" i="3"/>
  <c r="D89" i="3"/>
  <c r="L1" i="4"/>
  <c r="U34" i="4"/>
  <c r="P8" i="4"/>
  <c r="J8" i="4" s="1"/>
  <c r="U80" i="4"/>
  <c r="U64" i="4"/>
  <c r="U63" i="4"/>
  <c r="U62" i="4"/>
  <c r="U61" i="4"/>
  <c r="U60" i="4"/>
  <c r="U59" i="4"/>
  <c r="P63" i="4"/>
  <c r="P62" i="4"/>
  <c r="P61" i="4"/>
  <c r="U181" i="4"/>
  <c r="P181" i="4"/>
  <c r="U180" i="4"/>
  <c r="U179" i="4"/>
  <c r="P179" i="4"/>
  <c r="U178" i="4"/>
  <c r="U177" i="4"/>
  <c r="X175" i="4"/>
  <c r="W175" i="4"/>
  <c r="V175" i="4"/>
  <c r="U175" i="4"/>
  <c r="T175" i="4"/>
  <c r="S175" i="4"/>
  <c r="R175" i="4"/>
  <c r="Q175" i="4"/>
  <c r="P175" i="4"/>
  <c r="O175" i="4"/>
  <c r="U169" i="4"/>
  <c r="P169" i="4"/>
  <c r="U168" i="4"/>
  <c r="U167" i="4"/>
  <c r="P167" i="4"/>
  <c r="U166" i="4"/>
  <c r="U165" i="4"/>
  <c r="X163" i="4"/>
  <c r="W163" i="4"/>
  <c r="V163" i="4"/>
  <c r="U163" i="4"/>
  <c r="T163" i="4"/>
  <c r="S163" i="4"/>
  <c r="R163" i="4"/>
  <c r="Q163" i="4"/>
  <c r="P163" i="4"/>
  <c r="O163" i="4"/>
  <c r="U158" i="4"/>
  <c r="P158" i="4"/>
  <c r="U157" i="4"/>
  <c r="P157" i="4"/>
  <c r="U156" i="4"/>
  <c r="P156" i="4"/>
  <c r="U155" i="4"/>
  <c r="U154" i="4"/>
  <c r="X152" i="4"/>
  <c r="W152" i="4"/>
  <c r="V152" i="4"/>
  <c r="U152" i="4"/>
  <c r="T152" i="4"/>
  <c r="S152" i="4"/>
  <c r="R152" i="4"/>
  <c r="Q152" i="4"/>
  <c r="P152" i="4"/>
  <c r="O152" i="4"/>
  <c r="U147" i="4"/>
  <c r="P147" i="4"/>
  <c r="U146" i="4"/>
  <c r="U145" i="4"/>
  <c r="P145" i="4"/>
  <c r="U144" i="4"/>
  <c r="U143" i="4"/>
  <c r="X141" i="4"/>
  <c r="W141" i="4"/>
  <c r="V141" i="4"/>
  <c r="U141" i="4"/>
  <c r="S141" i="4"/>
  <c r="R141" i="4"/>
  <c r="Q141" i="4"/>
  <c r="P141" i="4"/>
  <c r="O141" i="4"/>
  <c r="U130" i="4"/>
  <c r="U129" i="4"/>
  <c r="P129" i="4"/>
  <c r="U128" i="4"/>
  <c r="U127" i="4"/>
  <c r="P127" i="4"/>
  <c r="U126" i="4"/>
  <c r="U125" i="4"/>
  <c r="X123" i="4"/>
  <c r="W123" i="4"/>
  <c r="V123" i="4"/>
  <c r="U123" i="4"/>
  <c r="S123" i="4"/>
  <c r="R123" i="4"/>
  <c r="Q123" i="4"/>
  <c r="P123" i="4"/>
  <c r="O123" i="4"/>
  <c r="U106" i="4"/>
  <c r="U105" i="4"/>
  <c r="P105" i="4"/>
  <c r="U104" i="4"/>
  <c r="P104" i="4"/>
  <c r="U103" i="4"/>
  <c r="P103" i="4"/>
  <c r="U102" i="4"/>
  <c r="U101" i="4"/>
  <c r="P101" i="4"/>
  <c r="X99" i="4"/>
  <c r="W99" i="4"/>
  <c r="V99" i="4"/>
  <c r="U99" i="4"/>
  <c r="S99" i="4"/>
  <c r="R99" i="4"/>
  <c r="Q99" i="4"/>
  <c r="O99" i="4"/>
  <c r="U82" i="4"/>
  <c r="U81" i="4"/>
  <c r="P81" i="4"/>
  <c r="P80" i="4"/>
  <c r="U79" i="4"/>
  <c r="P79" i="4"/>
  <c r="U78" i="4"/>
  <c r="U77" i="4"/>
  <c r="P77" i="4"/>
  <c r="X75" i="4"/>
  <c r="W75" i="4"/>
  <c r="V75" i="4"/>
  <c r="U75" i="4"/>
  <c r="S75" i="4"/>
  <c r="R75" i="4"/>
  <c r="Q75" i="4"/>
  <c r="O75" i="4"/>
  <c r="X57" i="4"/>
  <c r="W57" i="4"/>
  <c r="V57" i="4"/>
  <c r="U57" i="4"/>
  <c r="S57" i="4"/>
  <c r="R57" i="4"/>
  <c r="Q57" i="4"/>
  <c r="P57" i="4"/>
  <c r="O57" i="4"/>
  <c r="U48" i="4"/>
  <c r="P48" i="4"/>
  <c r="U47" i="4"/>
  <c r="P47" i="4"/>
  <c r="U46" i="4"/>
  <c r="P46" i="4"/>
  <c r="U45" i="4"/>
  <c r="P45" i="4"/>
  <c r="U44" i="4"/>
  <c r="U43" i="4"/>
  <c r="X41" i="4"/>
  <c r="W41" i="4"/>
  <c r="V41" i="4"/>
  <c r="U41" i="4"/>
  <c r="S41" i="4"/>
  <c r="R41" i="4"/>
  <c r="Q41" i="4"/>
  <c r="P41" i="4"/>
  <c r="O41" i="4"/>
  <c r="D181" i="4"/>
  <c r="D180" i="4"/>
  <c r="D179" i="4"/>
  <c r="D178" i="4"/>
  <c r="D177" i="4"/>
  <c r="D169" i="4"/>
  <c r="D168" i="4"/>
  <c r="D167" i="4"/>
  <c r="D166" i="4"/>
  <c r="D165" i="4"/>
  <c r="D158" i="4"/>
  <c r="D157" i="4"/>
  <c r="D156" i="4"/>
  <c r="D155" i="4"/>
  <c r="D154" i="4"/>
  <c r="D147" i="4"/>
  <c r="D146" i="4"/>
  <c r="D145" i="4"/>
  <c r="D144" i="4"/>
  <c r="D143" i="4"/>
  <c r="D33" i="4"/>
  <c r="D32" i="4"/>
  <c r="D31" i="4"/>
  <c r="D30" i="4"/>
  <c r="D29" i="4"/>
  <c r="D17" i="4"/>
  <c r="D16" i="4"/>
  <c r="D15" i="4"/>
  <c r="D14" i="4"/>
  <c r="D13" i="4"/>
  <c r="P33" i="4"/>
  <c r="P32" i="4"/>
  <c r="P31" i="4"/>
  <c r="U33" i="4"/>
  <c r="U32" i="4"/>
  <c r="U31" i="4"/>
  <c r="U30" i="4"/>
  <c r="U29" i="4"/>
  <c r="Y27" i="4"/>
  <c r="X27" i="4"/>
  <c r="W27" i="4"/>
  <c r="V27" i="4"/>
  <c r="U27" i="4"/>
  <c r="S27" i="4"/>
  <c r="R27" i="4"/>
  <c r="Q27" i="4"/>
  <c r="P27" i="4"/>
  <c r="O27" i="4"/>
  <c r="U18" i="4"/>
  <c r="U17" i="4"/>
  <c r="U16" i="4"/>
  <c r="U15" i="4"/>
  <c r="U14" i="4"/>
  <c r="U13" i="4"/>
  <c r="P17" i="4"/>
  <c r="P16" i="4"/>
  <c r="P15" i="4"/>
  <c r="X11" i="4"/>
  <c r="W11" i="4"/>
  <c r="V11" i="4"/>
  <c r="U11" i="4"/>
  <c r="T11" i="4"/>
  <c r="S11" i="4"/>
  <c r="R11" i="4"/>
  <c r="Q11" i="4"/>
  <c r="P11" i="4"/>
  <c r="O11" i="4"/>
  <c r="V7" i="4"/>
  <c r="V5" i="4"/>
  <c r="V4" i="4"/>
  <c r="V3" i="4"/>
  <c r="Y42" i="4"/>
  <c r="Y41" i="4"/>
  <c r="M3" i="4"/>
  <c r="L1" i="6"/>
  <c r="U14" i="6"/>
  <c r="U13" i="6"/>
  <c r="P13" i="6"/>
  <c r="U12" i="6"/>
  <c r="P12" i="6"/>
  <c r="U11" i="6"/>
  <c r="P11" i="6"/>
  <c r="U10" i="6"/>
  <c r="U9" i="6"/>
  <c r="P9" i="6"/>
  <c r="W7" i="6"/>
  <c r="V7" i="6"/>
  <c r="U7" i="6"/>
  <c r="T7" i="6"/>
  <c r="S7" i="6"/>
  <c r="R7" i="6"/>
  <c r="Q7" i="6"/>
  <c r="P7" i="6"/>
  <c r="O7" i="6"/>
  <c r="P61" i="6"/>
  <c r="O61" i="6"/>
  <c r="U68" i="6"/>
  <c r="U67" i="6"/>
  <c r="P67" i="6"/>
  <c r="U66" i="6"/>
  <c r="P66" i="6"/>
  <c r="U65" i="6"/>
  <c r="P65" i="6"/>
  <c r="U64" i="6"/>
  <c r="U63" i="6"/>
  <c r="P63" i="6"/>
  <c r="W61" i="6"/>
  <c r="V61" i="6"/>
  <c r="U61" i="6"/>
  <c r="T61" i="6"/>
  <c r="S61" i="6"/>
  <c r="R61" i="6"/>
  <c r="Q61" i="6"/>
  <c r="U48" i="6"/>
  <c r="U47" i="6"/>
  <c r="P47" i="6"/>
  <c r="U46" i="6"/>
  <c r="P46" i="6"/>
  <c r="U45" i="6"/>
  <c r="P45" i="6"/>
  <c r="U44" i="6"/>
  <c r="P44" i="6"/>
  <c r="U43" i="6"/>
  <c r="W41" i="6"/>
  <c r="V41" i="6"/>
  <c r="U41" i="6"/>
  <c r="T41" i="6"/>
  <c r="S41" i="6"/>
  <c r="R41" i="6"/>
  <c r="Q41" i="6"/>
  <c r="P41" i="6"/>
  <c r="O41" i="6"/>
  <c r="O98" i="6"/>
  <c r="W82" i="6"/>
  <c r="V82" i="6"/>
  <c r="U82" i="6"/>
  <c r="T82" i="6"/>
  <c r="S82" i="6"/>
  <c r="R82" i="6"/>
  <c r="Q82" i="6"/>
  <c r="P82" i="6"/>
  <c r="O82" i="6"/>
  <c r="Y98" i="6"/>
  <c r="P98" i="6"/>
  <c r="Q98" i="6"/>
  <c r="R98" i="6"/>
  <c r="S98" i="6"/>
  <c r="T98" i="6"/>
  <c r="U98" i="6"/>
  <c r="V98" i="6"/>
  <c r="W98" i="6"/>
  <c r="U105" i="6"/>
  <c r="U104" i="6"/>
  <c r="U103" i="6"/>
  <c r="U102" i="6"/>
  <c r="U101" i="6"/>
  <c r="U100" i="6"/>
  <c r="P104" i="6"/>
  <c r="P103" i="6"/>
  <c r="P102" i="6"/>
  <c r="U89" i="6"/>
  <c r="U88" i="6"/>
  <c r="U87" i="6"/>
  <c r="U86" i="6"/>
  <c r="U85" i="6"/>
  <c r="U84" i="6"/>
  <c r="P88" i="6"/>
  <c r="P87" i="6"/>
  <c r="P86" i="6"/>
  <c r="P84" i="6"/>
  <c r="M3" i="6"/>
  <c r="V3" i="6"/>
  <c r="V4" i="6"/>
  <c r="L1" i="12"/>
  <c r="D118" i="12"/>
  <c r="X127" i="12"/>
  <c r="W127" i="12"/>
  <c r="V127" i="12"/>
  <c r="U127" i="12"/>
  <c r="T127" i="12"/>
  <c r="S127" i="12"/>
  <c r="R127" i="12"/>
  <c r="Q127" i="12"/>
  <c r="P127" i="12"/>
  <c r="O127" i="12"/>
  <c r="X112" i="12"/>
  <c r="W112" i="12"/>
  <c r="V112" i="12"/>
  <c r="U112" i="12"/>
  <c r="T112" i="12"/>
  <c r="S112" i="12"/>
  <c r="R112" i="12"/>
  <c r="Q112" i="12"/>
  <c r="P112" i="12"/>
  <c r="O112" i="12"/>
  <c r="X83" i="12"/>
  <c r="W83" i="12"/>
  <c r="V83" i="12"/>
  <c r="U83" i="12"/>
  <c r="T83" i="12"/>
  <c r="S83" i="12"/>
  <c r="R83" i="12"/>
  <c r="Q83" i="12"/>
  <c r="P83" i="12"/>
  <c r="O83" i="12"/>
  <c r="X72" i="12"/>
  <c r="W72" i="12"/>
  <c r="V72" i="12"/>
  <c r="U72" i="12"/>
  <c r="T72" i="12"/>
  <c r="S72" i="12"/>
  <c r="R72" i="12"/>
  <c r="Q72" i="12"/>
  <c r="P72" i="12"/>
  <c r="O72" i="12"/>
  <c r="X61" i="12"/>
  <c r="W61" i="12"/>
  <c r="V61" i="12"/>
  <c r="U61" i="12"/>
  <c r="T61" i="12"/>
  <c r="S61" i="12"/>
  <c r="R61" i="12"/>
  <c r="Q61" i="12"/>
  <c r="P61" i="12"/>
  <c r="O61" i="12"/>
  <c r="Y49" i="12"/>
  <c r="X49" i="12"/>
  <c r="W49" i="12"/>
  <c r="V49" i="12"/>
  <c r="U49" i="12"/>
  <c r="S49" i="12"/>
  <c r="R49" i="12"/>
  <c r="Q49" i="12"/>
  <c r="P49" i="12"/>
  <c r="O49" i="12"/>
  <c r="S38" i="12"/>
  <c r="R38" i="12"/>
  <c r="Q38" i="12"/>
  <c r="P38" i="12"/>
  <c r="S28" i="12"/>
  <c r="R28" i="12"/>
  <c r="Q28" i="12"/>
  <c r="P28" i="12"/>
  <c r="O28" i="12"/>
  <c r="P7" i="12"/>
  <c r="Q7" i="12"/>
  <c r="R7" i="12"/>
  <c r="S7" i="12"/>
  <c r="P17" i="12"/>
  <c r="Q17" i="12"/>
  <c r="R17" i="12"/>
  <c r="S17" i="12"/>
  <c r="O7" i="12"/>
  <c r="U133" i="12"/>
  <c r="U132" i="12"/>
  <c r="U131" i="12"/>
  <c r="U130" i="12"/>
  <c r="U129" i="12"/>
  <c r="P133" i="12"/>
  <c r="P132" i="12"/>
  <c r="P131" i="12"/>
  <c r="U119" i="12"/>
  <c r="U118" i="12"/>
  <c r="U117" i="12"/>
  <c r="U116" i="12"/>
  <c r="U115" i="12"/>
  <c r="U114" i="12"/>
  <c r="P116" i="12"/>
  <c r="P115" i="12"/>
  <c r="P114" i="12"/>
  <c r="U89" i="12"/>
  <c r="U88" i="12"/>
  <c r="U87" i="12"/>
  <c r="U86" i="12"/>
  <c r="U85" i="12"/>
  <c r="P89" i="12"/>
  <c r="P88" i="12"/>
  <c r="P87" i="12"/>
  <c r="P85" i="12"/>
  <c r="U78" i="12"/>
  <c r="U77" i="12"/>
  <c r="U76" i="12"/>
  <c r="U75" i="12"/>
  <c r="U74" i="12"/>
  <c r="P78" i="12"/>
  <c r="P76" i="12"/>
  <c r="P75" i="12"/>
  <c r="U67" i="12"/>
  <c r="U66" i="12"/>
  <c r="U65" i="12"/>
  <c r="U64" i="12"/>
  <c r="U63" i="12"/>
  <c r="P67" i="12"/>
  <c r="P66" i="12"/>
  <c r="P65" i="12"/>
  <c r="U55" i="12"/>
  <c r="U54" i="12"/>
  <c r="U53" i="12"/>
  <c r="U52" i="12"/>
  <c r="U51" i="12"/>
  <c r="P55" i="12"/>
  <c r="P53" i="12"/>
  <c r="P51" i="12"/>
  <c r="P44" i="12"/>
  <c r="P42" i="12"/>
  <c r="P40" i="12"/>
  <c r="P34" i="12"/>
  <c r="P32" i="12"/>
  <c r="P30" i="12"/>
  <c r="P19" i="12"/>
  <c r="P23" i="12"/>
  <c r="P13" i="12"/>
  <c r="P22" i="12"/>
  <c r="P21" i="12"/>
  <c r="P11" i="12"/>
  <c r="P10" i="12"/>
  <c r="P9" i="12"/>
  <c r="V6" i="12"/>
  <c r="V5" i="12"/>
  <c r="V4" i="12"/>
  <c r="V3" i="12"/>
  <c r="D133" i="12"/>
  <c r="D132" i="12"/>
  <c r="D131" i="12"/>
  <c r="D130" i="12"/>
  <c r="D129" i="12"/>
  <c r="D89" i="12"/>
  <c r="D88" i="12"/>
  <c r="D87" i="12"/>
  <c r="D86" i="12"/>
  <c r="D85" i="12"/>
  <c r="D78" i="12"/>
  <c r="D77" i="12"/>
  <c r="D76" i="12"/>
  <c r="D75" i="12"/>
  <c r="D74" i="12"/>
  <c r="D67" i="12"/>
  <c r="D66" i="12"/>
  <c r="D65" i="12"/>
  <c r="D64" i="12"/>
  <c r="D63" i="12"/>
  <c r="D55" i="12"/>
  <c r="D54" i="12"/>
  <c r="D53" i="12"/>
  <c r="D52" i="12"/>
  <c r="D51" i="12"/>
  <c r="D44" i="12"/>
  <c r="D43" i="12"/>
  <c r="D42" i="12"/>
  <c r="D41" i="12"/>
  <c r="D40" i="12"/>
  <c r="D33" i="12"/>
  <c r="D34" i="12"/>
  <c r="D32" i="12"/>
  <c r="D31" i="12"/>
  <c r="D30" i="12"/>
  <c r="D117" i="12"/>
  <c r="D116" i="12"/>
  <c r="D115" i="12"/>
  <c r="D114" i="12"/>
  <c r="D23" i="12"/>
  <c r="D22" i="12"/>
  <c r="D21" i="12"/>
  <c r="D20" i="12"/>
  <c r="D19" i="12"/>
  <c r="D9" i="12"/>
  <c r="D13" i="12"/>
  <c r="D12" i="12"/>
  <c r="D11" i="12"/>
  <c r="D10" i="12"/>
  <c r="V7" i="2"/>
  <c r="W7" i="2"/>
  <c r="X7" i="2"/>
  <c r="U105" i="2"/>
  <c r="O105" i="2"/>
  <c r="V105" i="2" s="1"/>
  <c r="P105" i="2"/>
  <c r="W105" i="2" s="1"/>
  <c r="Q105" i="2"/>
  <c r="X105" i="2" s="1"/>
  <c r="R105" i="2"/>
  <c r="Y105" i="2" s="1"/>
  <c r="U125" i="2"/>
  <c r="O125" i="2"/>
  <c r="V125" i="2" s="1"/>
  <c r="Q125" i="2"/>
  <c r="X125" i="2" s="1"/>
  <c r="R125" i="2"/>
  <c r="Y125" i="2" s="1"/>
  <c r="L1" i="2"/>
  <c r="P48" i="2"/>
  <c r="U109" i="2"/>
  <c r="U147" i="2"/>
  <c r="P147" i="2"/>
  <c r="U146" i="2"/>
  <c r="P146" i="2"/>
  <c r="U145" i="2"/>
  <c r="P145" i="2"/>
  <c r="U144" i="2"/>
  <c r="P144" i="2"/>
  <c r="U143" i="2"/>
  <c r="X141" i="2"/>
  <c r="W141" i="2"/>
  <c r="V141" i="2"/>
  <c r="U141" i="2"/>
  <c r="T141" i="2"/>
  <c r="S141" i="2"/>
  <c r="R141" i="2"/>
  <c r="Q141" i="2"/>
  <c r="P141" i="2"/>
  <c r="O141" i="2"/>
  <c r="U133" i="2"/>
  <c r="U132" i="2"/>
  <c r="U131" i="2"/>
  <c r="P131" i="2"/>
  <c r="U130" i="2"/>
  <c r="P130" i="2"/>
  <c r="U129" i="2"/>
  <c r="P129" i="2"/>
  <c r="U128" i="2"/>
  <c r="S125" i="2"/>
  <c r="U112" i="2"/>
  <c r="U111" i="2"/>
  <c r="P111" i="2"/>
  <c r="U110" i="2"/>
  <c r="P110" i="2"/>
  <c r="P109" i="2"/>
  <c r="U108" i="2"/>
  <c r="U107" i="2"/>
  <c r="S105" i="2"/>
  <c r="U95" i="2"/>
  <c r="U94" i="2"/>
  <c r="U93" i="2"/>
  <c r="P93" i="2"/>
  <c r="U92" i="2"/>
  <c r="P92" i="2"/>
  <c r="U91" i="2"/>
  <c r="U90" i="2"/>
  <c r="P90" i="2"/>
  <c r="X88" i="2"/>
  <c r="W88" i="2"/>
  <c r="V88" i="2"/>
  <c r="U88" i="2"/>
  <c r="T88" i="2"/>
  <c r="S88" i="2"/>
  <c r="R88" i="2"/>
  <c r="Q88" i="2"/>
  <c r="P88" i="2"/>
  <c r="O88" i="2"/>
  <c r="P81" i="2"/>
  <c r="P71" i="2"/>
  <c r="P80" i="2"/>
  <c r="P70" i="2"/>
  <c r="P79" i="2"/>
  <c r="P69" i="2"/>
  <c r="P67" i="2"/>
  <c r="S75" i="2"/>
  <c r="R75" i="2"/>
  <c r="Q75" i="2"/>
  <c r="P75" i="2"/>
  <c r="S65" i="2"/>
  <c r="R65" i="2"/>
  <c r="Q65" i="2"/>
  <c r="P65" i="2"/>
  <c r="O65" i="2"/>
  <c r="U60" i="2"/>
  <c r="P60" i="2"/>
  <c r="U59" i="2"/>
  <c r="P59" i="2"/>
  <c r="U58" i="2"/>
  <c r="P58" i="2"/>
  <c r="U57" i="2"/>
  <c r="U56" i="2"/>
  <c r="Y54" i="2"/>
  <c r="X54" i="2"/>
  <c r="W54" i="2"/>
  <c r="V54" i="2"/>
  <c r="U54" i="2"/>
  <c r="S54" i="2"/>
  <c r="R54" i="2"/>
  <c r="Q54" i="2"/>
  <c r="P54" i="2"/>
  <c r="O54" i="2"/>
  <c r="U43" i="2"/>
  <c r="U42" i="2"/>
  <c r="U41" i="2"/>
  <c r="P41" i="2"/>
  <c r="U40" i="2"/>
  <c r="P40" i="2"/>
  <c r="U39" i="2"/>
  <c r="P39" i="2"/>
  <c r="U38" i="2"/>
  <c r="P38" i="2"/>
  <c r="X36" i="2"/>
  <c r="W36" i="2"/>
  <c r="V36" i="2"/>
  <c r="U36" i="2"/>
  <c r="T36" i="2"/>
  <c r="S36" i="2"/>
  <c r="R36" i="2"/>
  <c r="Q36" i="2"/>
  <c r="O36" i="2"/>
  <c r="Q19" i="2"/>
  <c r="R19" i="2"/>
  <c r="S19" i="2"/>
  <c r="T19" i="2"/>
  <c r="U19" i="2"/>
  <c r="V19" i="2"/>
  <c r="W19" i="2"/>
  <c r="X19" i="2"/>
  <c r="U26" i="2"/>
  <c r="U25" i="2"/>
  <c r="U24" i="2"/>
  <c r="U23" i="2"/>
  <c r="U22" i="2"/>
  <c r="U21" i="2"/>
  <c r="P24" i="2"/>
  <c r="P23" i="2"/>
  <c r="P22" i="2"/>
  <c r="P21" i="2"/>
  <c r="U13" i="2"/>
  <c r="U12" i="2"/>
  <c r="U11" i="2"/>
  <c r="U10" i="2"/>
  <c r="U9" i="2"/>
  <c r="P13" i="2"/>
  <c r="P12" i="2"/>
  <c r="P11" i="2"/>
  <c r="D81" i="2"/>
  <c r="D147" i="2"/>
  <c r="D146" i="2"/>
  <c r="D145" i="2"/>
  <c r="D144" i="2"/>
  <c r="D143" i="2"/>
  <c r="D132" i="2"/>
  <c r="D131" i="2"/>
  <c r="D130" i="2"/>
  <c r="D129" i="2"/>
  <c r="D128" i="2"/>
  <c r="D94" i="2"/>
  <c r="D93" i="2"/>
  <c r="D92" i="2"/>
  <c r="D91" i="2"/>
  <c r="D90" i="2"/>
  <c r="D80" i="2"/>
  <c r="D79" i="2"/>
  <c r="D78" i="2"/>
  <c r="D77" i="2"/>
  <c r="D71" i="2"/>
  <c r="D70" i="2"/>
  <c r="D69" i="2"/>
  <c r="D68" i="2"/>
  <c r="D67" i="2"/>
  <c r="D60" i="2"/>
  <c r="D59" i="2"/>
  <c r="D58" i="2"/>
  <c r="D57" i="2"/>
  <c r="D56" i="2"/>
  <c r="D42" i="2"/>
  <c r="D41" i="2"/>
  <c r="D40" i="2"/>
  <c r="D39" i="2"/>
  <c r="D38" i="2"/>
  <c r="D25" i="2"/>
  <c r="D24" i="2"/>
  <c r="D23" i="2"/>
  <c r="D22" i="2"/>
  <c r="D21" i="2"/>
  <c r="D13" i="2"/>
  <c r="D12" i="2"/>
  <c r="D11" i="2"/>
  <c r="D10" i="2"/>
  <c r="D9" i="2"/>
  <c r="O19" i="2"/>
  <c r="U7" i="2"/>
  <c r="S7" i="2"/>
  <c r="R7" i="2"/>
  <c r="Q7" i="2"/>
  <c r="P7" i="2"/>
  <c r="O7" i="2"/>
  <c r="Y6" i="2"/>
  <c r="Y5" i="2"/>
  <c r="Y4" i="2"/>
  <c r="Y3" i="2"/>
  <c r="L1" i="16"/>
  <c r="U14" i="16"/>
  <c r="U84" i="16"/>
  <c r="P84" i="16"/>
  <c r="U83" i="16"/>
  <c r="P83" i="16"/>
  <c r="U82" i="16"/>
  <c r="P82" i="16"/>
  <c r="U81" i="16"/>
  <c r="U80" i="16"/>
  <c r="X78" i="16"/>
  <c r="W78" i="16"/>
  <c r="V78" i="16"/>
  <c r="U78" i="16"/>
  <c r="T78" i="16"/>
  <c r="S78" i="16"/>
  <c r="R78" i="16"/>
  <c r="Q78" i="16"/>
  <c r="P78" i="16"/>
  <c r="O78" i="16"/>
  <c r="U65" i="16"/>
  <c r="U64" i="16"/>
  <c r="P64" i="16"/>
  <c r="U63" i="16"/>
  <c r="P63" i="16"/>
  <c r="U62" i="16"/>
  <c r="P62" i="16"/>
  <c r="U61" i="16"/>
  <c r="U60" i="16"/>
  <c r="X58" i="16"/>
  <c r="W58" i="16"/>
  <c r="V58" i="16"/>
  <c r="U58" i="16"/>
  <c r="T58" i="16"/>
  <c r="S58" i="16"/>
  <c r="R58" i="16"/>
  <c r="Q58" i="16"/>
  <c r="P58" i="16"/>
  <c r="O58" i="16"/>
  <c r="U46" i="16"/>
  <c r="U45" i="16"/>
  <c r="P45" i="16"/>
  <c r="U44" i="16"/>
  <c r="U43" i="16"/>
  <c r="P43" i="16"/>
  <c r="U42" i="16"/>
  <c r="U41" i="16"/>
  <c r="P41" i="16"/>
  <c r="X39" i="16"/>
  <c r="W39" i="16"/>
  <c r="V39" i="16"/>
  <c r="U39" i="16"/>
  <c r="T39" i="16"/>
  <c r="S39" i="16"/>
  <c r="R39" i="16"/>
  <c r="Q39" i="16"/>
  <c r="P39" i="16"/>
  <c r="O39" i="16"/>
  <c r="U34" i="16"/>
  <c r="P34" i="16"/>
  <c r="D34" i="16"/>
  <c r="U33" i="16"/>
  <c r="P33" i="16"/>
  <c r="D33" i="16"/>
  <c r="U32" i="16"/>
  <c r="P32" i="16"/>
  <c r="D32" i="16"/>
  <c r="U31" i="16"/>
  <c r="P31" i="16"/>
  <c r="D31" i="16"/>
  <c r="U30" i="16"/>
  <c r="P30" i="16"/>
  <c r="D30" i="16"/>
  <c r="X28" i="16"/>
  <c r="W28" i="16"/>
  <c r="V28" i="16"/>
  <c r="U28" i="16"/>
  <c r="T28" i="16"/>
  <c r="S28" i="16"/>
  <c r="R28" i="16"/>
  <c r="Q28" i="16"/>
  <c r="P28" i="16"/>
  <c r="O28" i="16"/>
  <c r="U13" i="16"/>
  <c r="P13" i="16"/>
  <c r="U12" i="16"/>
  <c r="P12" i="16"/>
  <c r="U11" i="16"/>
  <c r="P11" i="16"/>
  <c r="U10" i="16"/>
  <c r="U9" i="16"/>
  <c r="P9" i="16"/>
  <c r="X7" i="16"/>
  <c r="W7" i="16"/>
  <c r="V7" i="16"/>
  <c r="U7" i="16"/>
  <c r="T7" i="16"/>
  <c r="S7" i="16"/>
  <c r="R7" i="16"/>
  <c r="Q7" i="16"/>
  <c r="P7" i="16"/>
  <c r="O7" i="16"/>
  <c r="Y5" i="16"/>
  <c r="Y4" i="16"/>
  <c r="Y3" i="16"/>
  <c r="L82" i="9"/>
  <c r="L85" i="9"/>
  <c r="L80" i="9"/>
  <c r="AD8" i="9"/>
  <c r="W8" i="9"/>
  <c r="X8" i="9"/>
  <c r="AC8" i="9"/>
  <c r="AB8" i="9"/>
  <c r="E1" i="14"/>
  <c r="D44" i="4"/>
  <c r="D96" i="12"/>
  <c r="U75" i="9"/>
  <c r="T10" i="9"/>
  <c r="E55" i="9"/>
  <c r="V55" i="8" s="1"/>
  <c r="P55" i="8" s="1"/>
  <c r="M31" i="8"/>
  <c r="K31" i="9" s="1"/>
  <c r="V36" i="20" l="1"/>
  <c r="D73" i="3"/>
  <c r="N65" i="36"/>
  <c r="M65" i="36" s="1"/>
  <c r="L63" i="22" s="1"/>
  <c r="R38" i="22"/>
  <c r="D109" i="2"/>
  <c r="L37" i="34"/>
  <c r="D5" i="31"/>
  <c r="H25" i="20"/>
  <c r="AC30" i="9"/>
  <c r="D43" i="4"/>
  <c r="Z59" i="9"/>
  <c r="AD44" i="9"/>
  <c r="Y27" i="20"/>
  <c r="Y31" i="20" s="1"/>
  <c r="D127" i="4"/>
  <c r="L100" i="2"/>
  <c r="D88" i="2" s="1"/>
  <c r="S39" i="8" s="1"/>
  <c r="M39" i="8" s="1"/>
  <c r="K39" i="9" s="1"/>
  <c r="X75" i="9"/>
  <c r="S61" i="9"/>
  <c r="AA86" i="9"/>
  <c r="R70" i="9"/>
  <c r="C70" i="9" s="1"/>
  <c r="P75" i="9"/>
  <c r="B75" i="9" s="1"/>
  <c r="M28" i="8"/>
  <c r="K28" i="9" s="1"/>
  <c r="U72" i="9"/>
  <c r="P55" i="9"/>
  <c r="B55" i="9" s="1"/>
  <c r="T75" i="9"/>
  <c r="Q63" i="9"/>
  <c r="S33" i="9"/>
  <c r="U59" i="9"/>
  <c r="AC73" i="9"/>
  <c r="AB40" i="9"/>
  <c r="D63" i="16"/>
  <c r="S82" i="8"/>
  <c r="M82" i="8" s="1"/>
  <c r="K83" i="9" s="1"/>
  <c r="D46" i="6"/>
  <c r="D47" i="6"/>
  <c r="D99" i="12"/>
  <c r="D97" i="12"/>
  <c r="N20" i="7"/>
  <c r="W7" i="9" s="1"/>
  <c r="AB7" i="9" s="1"/>
  <c r="P50" i="22"/>
  <c r="P79" i="22" s="1"/>
  <c r="J75" i="36" s="1"/>
  <c r="S54" i="8"/>
  <c r="M54" i="8" s="1"/>
  <c r="K54" i="9" s="1"/>
  <c r="X52" i="9"/>
  <c r="AB74" i="9"/>
  <c r="Q42" i="9"/>
  <c r="U14" i="9"/>
  <c r="X21" i="9"/>
  <c r="V10" i="9"/>
  <c r="P70" i="9"/>
  <c r="B70" i="9" s="1"/>
  <c r="Z43" i="9"/>
  <c r="P74" i="9"/>
  <c r="B74" i="9" s="1"/>
  <c r="AB11" i="9"/>
  <c r="AD57" i="9"/>
  <c r="X26" i="9"/>
  <c r="W41" i="9"/>
  <c r="S7" i="9"/>
  <c r="R35" i="9"/>
  <c r="C35" i="9" s="1"/>
  <c r="AD75" i="9"/>
  <c r="S37" i="9"/>
  <c r="R11" i="9"/>
  <c r="C11" i="9" s="1"/>
  <c r="AA30" i="9"/>
  <c r="V30" i="9"/>
  <c r="P48" i="9"/>
  <c r="B48" i="9" s="1"/>
  <c r="Q83" i="9"/>
  <c r="T29" i="9"/>
  <c r="Z20" i="9"/>
  <c r="AB22" i="9"/>
  <c r="AB68" i="9"/>
  <c r="Q23" i="9"/>
  <c r="R28" i="9"/>
  <c r="C28" i="9" s="1"/>
  <c r="Q43" i="9"/>
  <c r="R29" i="9"/>
  <c r="C29" i="9" s="1"/>
  <c r="Y9" i="9"/>
  <c r="Z14" i="9"/>
  <c r="R68" i="9"/>
  <c r="C68" i="9" s="1"/>
  <c r="AD46" i="9"/>
  <c r="AD11" i="9"/>
  <c r="Q36" i="9"/>
  <c r="Z31" i="9"/>
  <c r="AA46" i="9"/>
  <c r="Y28" i="9"/>
  <c r="AB61" i="9"/>
  <c r="R33" i="9"/>
  <c r="C33" i="9" s="1"/>
  <c r="Q56" i="9"/>
  <c r="Y31" i="9"/>
  <c r="U79" i="9"/>
  <c r="S66" i="9"/>
  <c r="Y54" i="9"/>
  <c r="V54" i="9"/>
  <c r="T43" i="9"/>
  <c r="T63" i="9"/>
  <c r="R81" i="9"/>
  <c r="R77" i="9"/>
  <c r="C77" i="9" s="1"/>
  <c r="AB59" i="9"/>
  <c r="Y20" i="9"/>
  <c r="X56" i="9"/>
  <c r="S86" i="9"/>
  <c r="Y75" i="9"/>
  <c r="S69" i="9"/>
  <c r="AD32" i="9"/>
  <c r="S81" i="9"/>
  <c r="AB73" i="9"/>
  <c r="U84" i="9"/>
  <c r="X64" i="9"/>
  <c r="AA60" i="9"/>
  <c r="T61" i="9"/>
  <c r="W14" i="9"/>
  <c r="AA72" i="9"/>
  <c r="Z16" i="9"/>
  <c r="P18" i="9"/>
  <c r="B18" i="9" s="1"/>
  <c r="R27" i="9"/>
  <c r="C27" i="9" s="1"/>
  <c r="R54" i="9"/>
  <c r="C54" i="9" s="1"/>
  <c r="Q9" i="9"/>
  <c r="T59" i="9"/>
  <c r="X63" i="9"/>
  <c r="W57" i="9"/>
  <c r="T26" i="9"/>
  <c r="X12" i="9"/>
  <c r="R50" i="9"/>
  <c r="C50" i="9" s="1"/>
  <c r="Z73" i="9"/>
  <c r="AD39" i="9"/>
  <c r="Y63" i="9"/>
  <c r="W64" i="9"/>
  <c r="W23" i="9"/>
  <c r="V61" i="9"/>
  <c r="P25" i="9"/>
  <c r="B25" i="9" s="1"/>
  <c r="V74" i="9"/>
  <c r="S68" i="9"/>
  <c r="V38" i="9"/>
  <c r="Y64" i="9"/>
  <c r="P59" i="9"/>
  <c r="B59" i="9" s="1"/>
  <c r="V52" i="9"/>
  <c r="R37" i="9"/>
  <c r="C37" i="9" s="1"/>
  <c r="Y58" i="9"/>
  <c r="Z75" i="9"/>
  <c r="V23" i="9"/>
  <c r="R87" i="9"/>
  <c r="C87" i="9" s="1"/>
  <c r="AD45" i="9"/>
  <c r="P62" i="9"/>
  <c r="Z17" i="9"/>
  <c r="T49" i="9"/>
  <c r="AB79" i="9"/>
  <c r="S26" i="9"/>
  <c r="V25" i="9"/>
  <c r="AC61" i="9"/>
  <c r="AA31" i="9"/>
  <c r="AD52" i="9"/>
  <c r="AC54" i="9"/>
  <c r="T14" i="9"/>
  <c r="AA41" i="9"/>
  <c r="AD27" i="9"/>
  <c r="Y10" i="9"/>
  <c r="W46" i="9"/>
  <c r="P33" i="9"/>
  <c r="B33" i="9" s="1"/>
  <c r="AD59" i="9"/>
  <c r="AC84" i="9"/>
  <c r="Q21" i="9"/>
  <c r="X28" i="9"/>
  <c r="AB30" i="9"/>
  <c r="R30" i="9"/>
  <c r="C30" i="9" s="1"/>
  <c r="U87" i="9"/>
  <c r="S62" i="9"/>
  <c r="S56" i="9"/>
  <c r="V75" i="9"/>
  <c r="S12" i="9"/>
  <c r="AB52" i="9"/>
  <c r="Q72" i="9"/>
  <c r="X83" i="9"/>
  <c r="S73" i="9"/>
  <c r="U62" i="9"/>
  <c r="AA40" i="9"/>
  <c r="AB15" i="9"/>
  <c r="Q64" i="9"/>
  <c r="V57" i="9"/>
  <c r="X79" i="9"/>
  <c r="AA59" i="9"/>
  <c r="U54" i="9"/>
  <c r="U43" i="9"/>
  <c r="U27" i="9"/>
  <c r="P54" i="9"/>
  <c r="B54" i="9" s="1"/>
  <c r="Q12" i="9"/>
  <c r="AA53" i="9"/>
  <c r="V73" i="9"/>
  <c r="S18" i="9"/>
  <c r="U39" i="9"/>
  <c r="AA64" i="9"/>
  <c r="Q41" i="9"/>
  <c r="Z53" i="9"/>
  <c r="S47" i="9"/>
  <c r="P16" i="9"/>
  <c r="B16" i="9" s="1"/>
  <c r="P38" i="9"/>
  <c r="B38" i="9" s="1"/>
  <c r="Z68" i="9"/>
  <c r="V21" i="9"/>
  <c r="R12" i="9"/>
  <c r="C12" i="9" s="1"/>
  <c r="AB72" i="9"/>
  <c r="AA15" i="9"/>
  <c r="Y72" i="9"/>
  <c r="AD86" i="9"/>
  <c r="AB84" i="9"/>
  <c r="P35" i="9"/>
  <c r="B35" i="9" s="1"/>
  <c r="R9" i="9"/>
  <c r="C9" i="9" s="1"/>
  <c r="Q55" i="9"/>
  <c r="AB21" i="9"/>
  <c r="U25" i="9"/>
  <c r="T45" i="9"/>
  <c r="Q35" i="9"/>
  <c r="X38" i="9"/>
  <c r="Q25" i="9"/>
  <c r="S46" i="9"/>
  <c r="Q53" i="9"/>
  <c r="AD79" i="9"/>
  <c r="AD13" i="9"/>
  <c r="AC72" i="9"/>
  <c r="AC57" i="9"/>
  <c r="U31" i="9"/>
  <c r="R23" i="9"/>
  <c r="C23" i="9" s="1"/>
  <c r="R31" i="9"/>
  <c r="C31" i="9" s="1"/>
  <c r="AA9" i="9"/>
  <c r="Q32" i="9"/>
  <c r="V86" i="9"/>
  <c r="AA58" i="9"/>
  <c r="Z57" i="9"/>
  <c r="AA12" i="9"/>
  <c r="Q80" i="9"/>
  <c r="S44" i="9"/>
  <c r="S49" i="9"/>
  <c r="S87" i="9"/>
  <c r="AA57" i="9"/>
  <c r="Z54" i="9"/>
  <c r="S20" i="9"/>
  <c r="Y41" i="9"/>
  <c r="R79" i="9"/>
  <c r="C79" i="9" s="1"/>
  <c r="S54" i="9"/>
  <c r="V59" i="9"/>
  <c r="W11" i="9"/>
  <c r="X72" i="9"/>
  <c r="V43" i="9"/>
  <c r="AC21" i="9"/>
  <c r="X62" i="9"/>
  <c r="AB54" i="9"/>
  <c r="U68" i="9"/>
  <c r="Y43" i="9"/>
  <c r="W32" i="9"/>
  <c r="Q17" i="9"/>
  <c r="Z27" i="9"/>
  <c r="U58" i="9"/>
  <c r="T73" i="9"/>
  <c r="V15" i="9"/>
  <c r="AA16" i="9"/>
  <c r="R17" i="9"/>
  <c r="C17" i="9" s="1"/>
  <c r="Q16" i="9"/>
  <c r="AA10" i="9"/>
  <c r="Z26" i="9"/>
  <c r="W58" i="9"/>
  <c r="Y22" i="9"/>
  <c r="AA43" i="9"/>
  <c r="R48" i="9"/>
  <c r="C48" i="9" s="1"/>
  <c r="S21" i="9"/>
  <c r="P28" i="9"/>
  <c r="B28" i="9" s="1"/>
  <c r="AA20" i="9"/>
  <c r="P46" i="9"/>
  <c r="B46" i="9" s="1"/>
  <c r="U40" i="9"/>
  <c r="Q46" i="9"/>
  <c r="Z40" i="9"/>
  <c r="T44" i="9"/>
  <c r="R34" i="9"/>
  <c r="C34" i="9" s="1"/>
  <c r="P45" i="9"/>
  <c r="B45" i="9" s="1"/>
  <c r="T38" i="9"/>
  <c r="R36" i="9"/>
  <c r="C36" i="9" s="1"/>
  <c r="AB63" i="9"/>
  <c r="AC40" i="9"/>
  <c r="S50" i="9"/>
  <c r="R69" i="9"/>
  <c r="C69" i="9" s="1"/>
  <c r="R51" i="9"/>
  <c r="C51" i="9" s="1"/>
  <c r="AB17" i="9"/>
  <c r="P56" i="9"/>
  <c r="B56" i="9" s="1"/>
  <c r="Q62" i="9"/>
  <c r="Q59" i="9"/>
  <c r="V29" i="9"/>
  <c r="Y60" i="9"/>
  <c r="Y68" i="9"/>
  <c r="Z60" i="9"/>
  <c r="Y56" i="9"/>
  <c r="T41" i="9"/>
  <c r="AB23" i="9"/>
  <c r="S38" i="9"/>
  <c r="U53" i="9"/>
  <c r="AA61" i="9"/>
  <c r="W59" i="9"/>
  <c r="X40" i="9"/>
  <c r="P8" i="9"/>
  <c r="R64" i="9"/>
  <c r="C64" i="9" s="1"/>
  <c r="W73" i="9"/>
  <c r="T72" i="9"/>
  <c r="W17" i="9"/>
  <c r="X16" i="9"/>
  <c r="Z28" i="9"/>
  <c r="P22" i="9"/>
  <c r="B22" i="9" s="1"/>
  <c r="W15" i="9"/>
  <c r="AD26" i="9"/>
  <c r="X54" i="9"/>
  <c r="U21" i="9"/>
  <c r="P41" i="9"/>
  <c r="B41" i="9" s="1"/>
  <c r="Y7" i="9"/>
  <c r="AD7" i="9" s="1"/>
  <c r="Y15" i="9"/>
  <c r="Z72" i="9"/>
  <c r="R67" i="9"/>
  <c r="C67" i="9" s="1"/>
  <c r="Y26" i="9"/>
  <c r="AA52" i="9"/>
  <c r="U83" i="9"/>
  <c r="T62" i="9"/>
  <c r="V83" i="9"/>
  <c r="Y52" i="9"/>
  <c r="S28" i="9"/>
  <c r="W75" i="9"/>
  <c r="AD62" i="9"/>
  <c r="Z32" i="9"/>
  <c r="Q18" i="9"/>
  <c r="AD9" i="9"/>
  <c r="U7" i="9"/>
  <c r="R66" i="9"/>
  <c r="C66" i="9" s="1"/>
  <c r="AA26" i="9"/>
  <c r="AA23" i="9"/>
  <c r="AD73" i="9"/>
  <c r="AB75" i="9"/>
  <c r="P86" i="9"/>
  <c r="B86" i="9" s="1"/>
  <c r="W87" i="9"/>
  <c r="AA68" i="9"/>
  <c r="W54" i="9"/>
  <c r="X25" i="9"/>
  <c r="AA13" i="9"/>
  <c r="V68" i="9"/>
  <c r="U9" i="9"/>
  <c r="Z39" i="9"/>
  <c r="R26" i="9"/>
  <c r="C26" i="9" s="1"/>
  <c r="P50" i="9"/>
  <c r="B50" i="9" s="1"/>
  <c r="R13" i="9"/>
  <c r="C13" i="9" s="1"/>
  <c r="AA83" i="9"/>
  <c r="AA49" i="9"/>
  <c r="AD31" i="9"/>
  <c r="T15" i="9"/>
  <c r="R74" i="9"/>
  <c r="C74" i="9" s="1"/>
  <c r="AB10" i="9"/>
  <c r="AC56" i="9"/>
  <c r="P40" i="9"/>
  <c r="B40" i="9" s="1"/>
  <c r="P77" i="9"/>
  <c r="B77" i="9" s="1"/>
  <c r="P21" i="9"/>
  <c r="B21" i="9" s="1"/>
  <c r="D51" i="3"/>
  <c r="D55" i="3"/>
  <c r="D76" i="3"/>
  <c r="D54" i="3"/>
  <c r="E5" i="31"/>
  <c r="K218" i="30"/>
  <c r="S65" i="9"/>
  <c r="R43" i="9"/>
  <c r="C43" i="9" s="1"/>
  <c r="P65" i="9"/>
  <c r="B65" i="9" s="1"/>
  <c r="P80" i="9"/>
  <c r="B80" i="9" s="1"/>
  <c r="AB29" i="9"/>
  <c r="X14" i="9"/>
  <c r="Q74" i="9"/>
  <c r="AC32" i="9"/>
  <c r="AC45" i="9"/>
  <c r="P60" i="9"/>
  <c r="B60" i="9" s="1"/>
  <c r="S17" i="9"/>
  <c r="W43" i="9"/>
  <c r="AC11" i="9"/>
  <c r="Z13" i="9"/>
  <c r="P15" i="9"/>
  <c r="B15" i="9" s="1"/>
  <c r="X29" i="9"/>
  <c r="Z11" i="9"/>
  <c r="Q50" i="9"/>
  <c r="AD38" i="9"/>
  <c r="AB57" i="9"/>
  <c r="R55" i="9"/>
  <c r="C55" i="9" s="1"/>
  <c r="R78" i="9"/>
  <c r="C78" i="9" s="1"/>
  <c r="X17" i="9"/>
  <c r="AA27" i="9"/>
  <c r="V22" i="9"/>
  <c r="R14" i="9"/>
  <c r="C14" i="9" s="1"/>
  <c r="P69" i="9"/>
  <c r="B69" i="9" s="1"/>
  <c r="X31" i="9"/>
  <c r="AC12" i="9"/>
  <c r="Q66" i="9"/>
  <c r="S30" i="9"/>
  <c r="Y49" i="9"/>
  <c r="R58" i="9"/>
  <c r="C58" i="9" s="1"/>
  <c r="U20" i="9"/>
  <c r="P23" i="9"/>
  <c r="B23" i="9" s="1"/>
  <c r="V49" i="9"/>
  <c r="Q73" i="9"/>
  <c r="U38" i="9"/>
  <c r="R45" i="9"/>
  <c r="C45" i="9" s="1"/>
  <c r="U17" i="9"/>
  <c r="Q30" i="9"/>
  <c r="V28" i="9"/>
  <c r="Q75" i="9"/>
  <c r="AD61" i="9"/>
  <c r="Q52" i="9"/>
  <c r="P87" i="9"/>
  <c r="B87" i="9" s="1"/>
  <c r="R75" i="9"/>
  <c r="C75" i="9" s="1"/>
  <c r="AC53" i="9"/>
  <c r="V11" i="9"/>
  <c r="Q20" i="9"/>
  <c r="AD56" i="9"/>
  <c r="AB49" i="9"/>
  <c r="Y11" i="9"/>
  <c r="S23" i="9"/>
  <c r="P26" i="9"/>
  <c r="B26" i="9" s="1"/>
  <c r="Z46" i="9"/>
  <c r="AD16" i="9"/>
  <c r="Q33" i="9"/>
  <c r="AA45" i="9"/>
  <c r="AB44" i="9"/>
  <c r="S10" i="9"/>
  <c r="Y32" i="9"/>
  <c r="P73" i="9"/>
  <c r="B73" i="9" s="1"/>
  <c r="X44" i="9"/>
  <c r="AD10" i="9"/>
  <c r="Q11" i="9"/>
  <c r="X46" i="9"/>
  <c r="X10" i="9"/>
  <c r="R53" i="9"/>
  <c r="C53" i="9" s="1"/>
  <c r="R10" i="9"/>
  <c r="C10" i="9" s="1"/>
  <c r="AC74" i="9"/>
  <c r="P47" i="9"/>
  <c r="B47" i="9" s="1"/>
  <c r="AB12" i="9"/>
  <c r="T46" i="9"/>
  <c r="AD84" i="9"/>
  <c r="AB46" i="9"/>
  <c r="R86" i="9"/>
  <c r="C86" i="9" s="1"/>
  <c r="U41" i="9"/>
  <c r="AD20" i="9"/>
  <c r="X45" i="9"/>
  <c r="P79" i="9"/>
  <c r="P66" i="9"/>
  <c r="B66" i="9" s="1"/>
  <c r="P29" i="9"/>
  <c r="W28" i="9"/>
  <c r="Z49" i="9"/>
  <c r="R72" i="9"/>
  <c r="C72" i="9" s="1"/>
  <c r="AD21" i="9"/>
  <c r="Q84" i="9"/>
  <c r="AC38" i="9"/>
  <c r="AB26" i="9"/>
  <c r="AC86" i="9"/>
  <c r="Z38" i="9"/>
  <c r="P64" i="9"/>
  <c r="B64" i="9" s="1"/>
  <c r="P78" i="9"/>
  <c r="B78" i="9" s="1"/>
  <c r="V44" i="9"/>
  <c r="W25" i="9"/>
  <c r="R61" i="9"/>
  <c r="C61" i="9" s="1"/>
  <c r="X30" i="9"/>
  <c r="R15" i="9"/>
  <c r="C15" i="9" s="1"/>
  <c r="Q78" i="9"/>
  <c r="P43" i="9"/>
  <c r="B43" i="9" s="1"/>
  <c r="T11" i="9"/>
  <c r="Q13" i="9"/>
  <c r="AC41" i="9"/>
  <c r="U22" i="9"/>
  <c r="T20" i="9"/>
  <c r="Q76" i="9"/>
  <c r="S41" i="9"/>
  <c r="T25" i="9"/>
  <c r="P9" i="9"/>
  <c r="AD41" i="9"/>
  <c r="R39" i="9"/>
  <c r="C39" i="9" s="1"/>
  <c r="AA38" i="9"/>
  <c r="AD83" i="9"/>
  <c r="U45" i="9"/>
  <c r="P49" i="9"/>
  <c r="B49" i="9" s="1"/>
  <c r="AB62" i="9"/>
  <c r="AC87" i="9"/>
  <c r="U29" i="9"/>
  <c r="AC79" i="9"/>
  <c r="X41" i="9"/>
  <c r="AC58" i="9"/>
  <c r="P52" i="9"/>
  <c r="R84" i="9"/>
  <c r="C84" i="9" s="1"/>
  <c r="P42" i="9"/>
  <c r="B42" i="9" s="1"/>
  <c r="Z83" i="9"/>
  <c r="T84" i="9"/>
  <c r="X59" i="9"/>
  <c r="S74" i="9"/>
  <c r="Y83" i="9"/>
  <c r="S60" i="9"/>
  <c r="U73" i="9"/>
  <c r="Z79" i="9"/>
  <c r="S59" i="9"/>
  <c r="T68" i="9"/>
  <c r="W21" i="9"/>
  <c r="S71" i="9"/>
  <c r="Z23" i="9"/>
  <c r="W72" i="9"/>
  <c r="T39" i="9"/>
  <c r="X27" i="9"/>
  <c r="W13" i="9"/>
  <c r="R76" i="9"/>
  <c r="C76" i="9" s="1"/>
  <c r="W40" i="9"/>
  <c r="Q69" i="9"/>
  <c r="Z45" i="9"/>
  <c r="AB9" i="9"/>
  <c r="Q10" i="9"/>
  <c r="AB56" i="9"/>
  <c r="Q47" i="9"/>
  <c r="AA79" i="9"/>
  <c r="AA87" i="9"/>
  <c r="T79" i="9"/>
  <c r="S52" i="9"/>
  <c r="W74" i="9"/>
  <c r="X84" i="9"/>
  <c r="W60" i="9"/>
  <c r="S70" i="9"/>
  <c r="S83" i="9"/>
  <c r="X60" i="9"/>
  <c r="Z61" i="9"/>
  <c r="X15" i="9"/>
  <c r="AC42" i="9"/>
  <c r="R18" i="9"/>
  <c r="C18" i="9" s="1"/>
  <c r="Q38" i="9"/>
  <c r="AC44" i="9"/>
  <c r="AB45" i="9"/>
  <c r="Q27" i="9"/>
  <c r="R85" i="9"/>
  <c r="C85" i="9" s="1"/>
  <c r="W45" i="9"/>
  <c r="S11" i="9"/>
  <c r="S82" i="9"/>
  <c r="Z86" i="9"/>
  <c r="Y53" i="9"/>
  <c r="S63" i="9"/>
  <c r="AA62" i="9"/>
  <c r="Z56" i="9"/>
  <c r="Z64" i="9"/>
  <c r="Y62" i="9"/>
  <c r="T53" i="9"/>
  <c r="AD68" i="9"/>
  <c r="P57" i="9"/>
  <c r="B57" i="9" s="1"/>
  <c r="W79" i="9"/>
  <c r="V12" i="9"/>
  <c r="V79" i="9"/>
  <c r="R47" i="9"/>
  <c r="C47" i="9" s="1"/>
  <c r="U16" i="9"/>
  <c r="V62" i="9"/>
  <c r="W16" i="9"/>
  <c r="S48" i="9"/>
  <c r="R8" i="9"/>
  <c r="C8" i="9" s="1"/>
  <c r="U26" i="9"/>
  <c r="AD49" i="9"/>
  <c r="V40" i="9"/>
  <c r="R38" i="9"/>
  <c r="C38" i="9" s="1"/>
  <c r="S24" i="9"/>
  <c r="X87" i="9"/>
  <c r="AC46" i="9"/>
  <c r="R71" i="9"/>
  <c r="C71" i="9" s="1"/>
  <c r="AC26" i="9"/>
  <c r="P44" i="9"/>
  <c r="W38" i="9"/>
  <c r="V31" i="9"/>
  <c r="R57" i="9"/>
  <c r="C57" i="9" s="1"/>
  <c r="X42" i="9"/>
  <c r="AB31" i="9"/>
  <c r="AC83" i="9"/>
  <c r="AC39" i="9"/>
  <c r="R62" i="9"/>
  <c r="C62" i="9" s="1"/>
  <c r="AB25" i="9"/>
  <c r="Y42" i="9"/>
  <c r="S40" i="9"/>
  <c r="R83" i="9"/>
  <c r="C83" i="9" s="1"/>
  <c r="AD17" i="9"/>
  <c r="AA28" i="9"/>
  <c r="R25" i="9"/>
  <c r="C25" i="9" s="1"/>
  <c r="AD12" i="9"/>
  <c r="V17" i="9"/>
  <c r="W9" i="9"/>
  <c r="S45" i="9"/>
  <c r="P51" i="9"/>
  <c r="AD22" i="9"/>
  <c r="S31" i="9"/>
  <c r="Q71" i="9"/>
  <c r="AC60" i="9"/>
  <c r="W22" i="9"/>
  <c r="Z44" i="9"/>
  <c r="AC14" i="9"/>
  <c r="AC31" i="9"/>
  <c r="AC64" i="9"/>
  <c r="R65" i="9"/>
  <c r="C65" i="9" s="1"/>
  <c r="AB16" i="9"/>
  <c r="Q22" i="9"/>
  <c r="AB43" i="9"/>
  <c r="Q67" i="9"/>
  <c r="AB58" i="9"/>
  <c r="R73" i="9"/>
  <c r="C73" i="9" s="1"/>
  <c r="Q39" i="9"/>
  <c r="P72" i="9"/>
  <c r="B72" i="9" s="1"/>
  <c r="Y39" i="9"/>
  <c r="AD60" i="9"/>
  <c r="AB32" i="9"/>
  <c r="AD28" i="9"/>
  <c r="Y29" i="9"/>
  <c r="U49" i="9"/>
  <c r="S25" i="9"/>
  <c r="Q45" i="9"/>
  <c r="AC62" i="9"/>
  <c r="T9" i="9"/>
  <c r="AC43" i="9"/>
  <c r="AC29" i="9"/>
  <c r="AC75" i="9"/>
  <c r="Q79" i="9"/>
  <c r="Y25" i="9"/>
  <c r="P71" i="9"/>
  <c r="B71" i="9" s="1"/>
  <c r="X11" i="9"/>
  <c r="X9" i="9"/>
  <c r="Y84" i="9"/>
  <c r="T56" i="9"/>
  <c r="W68" i="9"/>
  <c r="Z12" i="9"/>
  <c r="W61" i="9"/>
  <c r="S78" i="9"/>
  <c r="T60" i="9"/>
  <c r="X74" i="9"/>
  <c r="V39" i="9"/>
  <c r="Y16" i="9"/>
  <c r="Z15" i="9"/>
  <c r="X23" i="9"/>
  <c r="S32" i="9"/>
  <c r="Q57" i="9"/>
  <c r="Q82" i="9"/>
  <c r="R82" i="9"/>
  <c r="C82" i="9" s="1"/>
  <c r="AC13" i="9"/>
  <c r="AC28" i="9"/>
  <c r="S79" i="9"/>
  <c r="T86" i="9"/>
  <c r="U61" i="9"/>
  <c r="AA75" i="9"/>
  <c r="V56" i="9"/>
  <c r="V64" i="9"/>
  <c r="U57" i="9"/>
  <c r="S64" i="9"/>
  <c r="Z62" i="9"/>
  <c r="AA25" i="9"/>
  <c r="AC68" i="9"/>
  <c r="Q44" i="9"/>
  <c r="T17" i="9"/>
  <c r="AC15" i="9"/>
  <c r="T13" i="9"/>
  <c r="AC23" i="9"/>
  <c r="P53" i="9"/>
  <c r="B53" i="9" s="1"/>
  <c r="Y87" i="9"/>
  <c r="Y61" i="9"/>
  <c r="AA74" i="9"/>
  <c r="S58" i="9"/>
  <c r="U63" i="9"/>
  <c r="T58" i="9"/>
  <c r="Y86" i="9"/>
  <c r="AC17" i="9"/>
  <c r="U60" i="9"/>
  <c r="S55" i="9"/>
  <c r="S57" i="9"/>
  <c r="W83" i="9"/>
  <c r="X39" i="9"/>
  <c r="P14" i="9"/>
  <c r="B14" i="9" s="1"/>
  <c r="Y40" i="9"/>
  <c r="Q65" i="9"/>
  <c r="P32" i="9"/>
  <c r="B32" i="9" s="1"/>
  <c r="R22" i="9"/>
  <c r="C22" i="9" s="1"/>
  <c r="R63" i="9"/>
  <c r="C63" i="9" s="1"/>
  <c r="V27" i="9"/>
  <c r="U44" i="9"/>
  <c r="AD42" i="9"/>
  <c r="AA84" i="9"/>
  <c r="AA73" i="9"/>
  <c r="U86" i="9"/>
  <c r="T12" i="9"/>
  <c r="U12" i="9"/>
  <c r="X73" i="9"/>
  <c r="X20" i="9"/>
  <c r="R16" i="9"/>
  <c r="C16" i="9" s="1"/>
  <c r="Y27" i="9"/>
  <c r="T32" i="9"/>
  <c r="P12" i="9"/>
  <c r="B12" i="9" s="1"/>
  <c r="S15" i="9"/>
  <c r="Y57" i="9"/>
  <c r="AB53" i="9"/>
  <c r="AD58" i="9"/>
  <c r="S75" i="9"/>
  <c r="Z84" i="9"/>
  <c r="Y12" i="9"/>
  <c r="Z74" i="9"/>
  <c r="Y59" i="9"/>
  <c r="V63" i="9"/>
  <c r="V42" i="9"/>
  <c r="R21" i="9"/>
  <c r="C21" i="9" s="1"/>
  <c r="V26" i="9"/>
  <c r="S42" i="9"/>
  <c r="P30" i="9"/>
  <c r="B30" i="9" s="1"/>
  <c r="R32" i="9"/>
  <c r="C32" i="9" s="1"/>
  <c r="Z21" i="9"/>
  <c r="V60" i="9"/>
  <c r="Y74" i="9"/>
  <c r="T27" i="9"/>
  <c r="P10" i="9"/>
  <c r="B10" i="9" s="1"/>
  <c r="X58" i="9"/>
  <c r="S34" i="9"/>
  <c r="W42" i="9"/>
  <c r="T54" i="9"/>
  <c r="X43" i="9"/>
  <c r="Z42" i="9"/>
  <c r="V13" i="9"/>
  <c r="AB87" i="9"/>
  <c r="V16" i="9"/>
  <c r="R46" i="9"/>
  <c r="C46" i="9" s="1"/>
  <c r="T83" i="9"/>
  <c r="U32" i="9"/>
  <c r="AD23" i="9"/>
  <c r="Q37" i="9"/>
  <c r="AD53" i="9"/>
  <c r="AC27" i="9"/>
  <c r="W27" i="9"/>
  <c r="AC22" i="9"/>
  <c r="Q70" i="9"/>
  <c r="AB60" i="9"/>
  <c r="P68" i="9"/>
  <c r="B68" i="9" s="1"/>
  <c r="AA14" i="9"/>
  <c r="R52" i="9"/>
  <c r="C52" i="9" s="1"/>
  <c r="R60" i="9"/>
  <c r="C60" i="9" s="1"/>
  <c r="P81" i="9"/>
  <c r="V9" i="9"/>
  <c r="AD63" i="9"/>
  <c r="T40" i="9"/>
  <c r="AB86" i="9"/>
  <c r="Z9" i="9"/>
  <c r="P58" i="9"/>
  <c r="B58" i="9" s="1"/>
  <c r="Q61" i="9"/>
  <c r="S14" i="9"/>
  <c r="AC63" i="9"/>
  <c r="Y46" i="9"/>
  <c r="AA11" i="9"/>
  <c r="S29" i="9"/>
  <c r="AB27" i="9"/>
  <c r="Y45" i="9"/>
  <c r="Q68" i="9"/>
  <c r="V46" i="9"/>
  <c r="P20" i="9"/>
  <c r="B20" i="9" s="1"/>
  <c r="R80" i="9"/>
  <c r="C80" i="9" s="1"/>
  <c r="U11" i="9"/>
  <c r="W30" i="9"/>
  <c r="V20" i="9"/>
  <c r="Q28" i="9"/>
  <c r="X22" i="9"/>
  <c r="U30" i="9"/>
  <c r="Q86" i="9"/>
  <c r="Q49" i="9"/>
  <c r="Z25" i="9"/>
  <c r="Q85" i="9"/>
  <c r="S35" i="9"/>
  <c r="X13" i="9"/>
  <c r="AD14" i="9"/>
  <c r="Q14" i="9"/>
  <c r="AB39" i="9"/>
  <c r="Q60" i="9"/>
  <c r="W49" i="9"/>
  <c r="AD29" i="9"/>
  <c r="AD15" i="9"/>
  <c r="P37" i="9"/>
  <c r="B37" i="9" s="1"/>
  <c r="Y30" i="9"/>
  <c r="Z41" i="9"/>
  <c r="AD74" i="9"/>
  <c r="AC20" i="9"/>
  <c r="Y44" i="9"/>
  <c r="AA17" i="9"/>
  <c r="R59" i="9"/>
  <c r="C59" i="9" s="1"/>
  <c r="S85" i="9"/>
  <c r="AA54" i="9"/>
  <c r="X57" i="9"/>
  <c r="U52" i="9"/>
  <c r="T87" i="9"/>
  <c r="Z52" i="9"/>
  <c r="S76" i="9"/>
  <c r="U56" i="9"/>
  <c r="P63" i="9"/>
  <c r="B63" i="9" s="1"/>
  <c r="Y21" i="9"/>
  <c r="AA39" i="9"/>
  <c r="P13" i="9"/>
  <c r="B13" i="9" s="1"/>
  <c r="AD40" i="9"/>
  <c r="S19" i="9"/>
  <c r="P76" i="9"/>
  <c r="B76" i="9" s="1"/>
  <c r="U10" i="9"/>
  <c r="W84" i="9"/>
  <c r="W86" i="9"/>
  <c r="T64" i="9"/>
  <c r="W62" i="9"/>
  <c r="S53" i="9"/>
  <c r="Y73" i="9"/>
  <c r="W56" i="9"/>
  <c r="Z58" i="9"/>
  <c r="AA21" i="9"/>
  <c r="Q31" i="9"/>
  <c r="Y14" i="9"/>
  <c r="P61" i="9"/>
  <c r="B61" i="9" s="1"/>
  <c r="P67" i="9"/>
  <c r="B67" i="9" s="1"/>
  <c r="AC52" i="9"/>
  <c r="AB42" i="9"/>
  <c r="Y79" i="9"/>
  <c r="V87" i="9"/>
  <c r="W52" i="9"/>
  <c r="V72" i="9"/>
  <c r="W53" i="9"/>
  <c r="U74" i="9"/>
  <c r="AA56" i="9"/>
  <c r="Z30" i="9"/>
  <c r="Q77" i="9"/>
  <c r="U64" i="9"/>
  <c r="Z63" i="9"/>
  <c r="X68" i="9"/>
  <c r="S39" i="9"/>
  <c r="S77" i="9"/>
  <c r="AA42" i="9"/>
  <c r="P36" i="9"/>
  <c r="B36" i="9" s="1"/>
  <c r="T52" i="9"/>
  <c r="V58" i="9"/>
  <c r="W10" i="9"/>
  <c r="T31" i="9"/>
  <c r="X86" i="9"/>
  <c r="Z87" i="9"/>
  <c r="X53" i="9"/>
  <c r="T21" i="9"/>
  <c r="W12" i="9"/>
  <c r="V84" i="9"/>
  <c r="AA44" i="9"/>
  <c r="P82" i="9"/>
  <c r="B82" i="9" s="1"/>
  <c r="V53" i="9"/>
  <c r="R41" i="9"/>
  <c r="C41" i="9" s="1"/>
  <c r="W39" i="9"/>
  <c r="AD72" i="9"/>
  <c r="S84" i="9"/>
  <c r="T57" i="9"/>
  <c r="X61" i="9"/>
  <c r="Y23" i="9"/>
  <c r="T74" i="9"/>
  <c r="S36" i="9"/>
  <c r="AA32" i="9"/>
  <c r="V45" i="9"/>
  <c r="X32" i="9"/>
  <c r="P34" i="9"/>
  <c r="B34" i="9" s="1"/>
  <c r="W26" i="9"/>
  <c r="AC9" i="9"/>
  <c r="S72" i="9"/>
  <c r="S43" i="9"/>
  <c r="T16" i="9"/>
  <c r="Q34" i="9"/>
  <c r="Q26" i="9"/>
  <c r="AC49" i="9"/>
  <c r="AA63" i="9"/>
  <c r="AC25" i="9"/>
  <c r="Z29" i="9"/>
  <c r="W63" i="9"/>
  <c r="U23" i="9"/>
  <c r="Y17" i="9"/>
  <c r="AD30" i="9"/>
  <c r="U15" i="9"/>
  <c r="Y13" i="9"/>
  <c r="R44" i="9"/>
  <c r="C44" i="9" s="1"/>
  <c r="P84" i="9"/>
  <c r="B84" i="9" s="1"/>
  <c r="S42" i="8"/>
  <c r="M42" i="8" s="1"/>
  <c r="K42" i="9" s="1"/>
  <c r="P125" i="2"/>
  <c r="W125" i="2" s="1"/>
  <c r="S86" i="8"/>
  <c r="M86" i="8" s="1"/>
  <c r="K87" i="9" s="1"/>
  <c r="D101" i="6"/>
  <c r="D88" i="6"/>
  <c r="D87" i="6"/>
  <c r="S49" i="8"/>
  <c r="D60" i="16"/>
  <c r="D107" i="2"/>
  <c r="D111" i="2"/>
  <c r="F76" i="6"/>
  <c r="D62" i="6" s="1"/>
  <c r="D66" i="6" s="1"/>
  <c r="S67" i="9"/>
  <c r="S24" i="8"/>
  <c r="M24" i="8" s="1"/>
  <c r="K24" i="9" s="1"/>
  <c r="D100" i="12"/>
  <c r="M115" i="4"/>
  <c r="D100" i="4" s="1"/>
  <c r="D101" i="4" s="1"/>
  <c r="M90" i="4"/>
  <c r="D76" i="4" s="1"/>
  <c r="D78" i="4" s="1"/>
  <c r="P36" i="2"/>
  <c r="S33" i="8"/>
  <c r="L15" i="34" s="1"/>
  <c r="L33" i="22"/>
  <c r="M33" i="22" s="1"/>
  <c r="L11" i="22"/>
  <c r="D81" i="16"/>
  <c r="D82" i="16"/>
  <c r="D83" i="16"/>
  <c r="D80" i="16"/>
  <c r="S50" i="8"/>
  <c r="D41" i="16"/>
  <c r="D44" i="16"/>
  <c r="D42" i="16"/>
  <c r="S48" i="8"/>
  <c r="M48" i="8" s="1"/>
  <c r="K48" i="9" s="1"/>
  <c r="D43" i="16"/>
  <c r="D61" i="4"/>
  <c r="D60" i="4"/>
  <c r="D62" i="4"/>
  <c r="D63" i="4"/>
  <c r="D59" i="4"/>
  <c r="D10" i="16"/>
  <c r="D13" i="16"/>
  <c r="S45" i="8"/>
  <c r="D9" i="16"/>
  <c r="D12" i="16"/>
  <c r="U31" i="20"/>
  <c r="V27" i="20"/>
  <c r="X27" i="20"/>
  <c r="U29" i="20"/>
  <c r="U32" i="20"/>
  <c r="W27" i="20"/>
  <c r="P19" i="2"/>
  <c r="S32" i="8"/>
  <c r="L14" i="34" s="1"/>
  <c r="Q54" i="9"/>
  <c r="R24" i="9"/>
  <c r="C24" i="9" s="1"/>
  <c r="S27" i="9"/>
  <c r="U42" i="9"/>
  <c r="R49" i="9"/>
  <c r="C49" i="9" s="1"/>
  <c r="AA22" i="9"/>
  <c r="P24" i="9"/>
  <c r="B24" i="9" s="1"/>
  <c r="Q24" i="9"/>
  <c r="Z22" i="9"/>
  <c r="U28" i="9"/>
  <c r="R40" i="9"/>
  <c r="C40" i="9" s="1"/>
  <c r="P11" i="9"/>
  <c r="B11" i="9" s="1"/>
  <c r="T23" i="9"/>
  <c r="P83" i="9"/>
  <c r="B83" i="9" s="1"/>
  <c r="R56" i="9"/>
  <c r="C56" i="9" s="1"/>
  <c r="AB38" i="9"/>
  <c r="W20" i="9"/>
  <c r="Z10" i="9"/>
  <c r="Q58" i="9"/>
  <c r="W29" i="9"/>
  <c r="W44" i="9"/>
  <c r="Q81" i="9"/>
  <c r="S22" i="9"/>
  <c r="S16" i="9"/>
  <c r="S80" i="9"/>
  <c r="V32" i="9"/>
  <c r="P31" i="9"/>
  <c r="B31" i="9" s="1"/>
  <c r="P39" i="9"/>
  <c r="B39" i="9" s="1"/>
  <c r="R20" i="9"/>
  <c r="C20" i="9" s="1"/>
  <c r="T22" i="9"/>
  <c r="AD25" i="9"/>
  <c r="AB13" i="9"/>
  <c r="Q87" i="9"/>
  <c r="Q15" i="9"/>
  <c r="AD54" i="9"/>
  <c r="U46" i="9"/>
  <c r="U13" i="9"/>
  <c r="AB20" i="9"/>
  <c r="AB83" i="9"/>
  <c r="Y38" i="9"/>
  <c r="R42" i="9"/>
  <c r="C42" i="9" s="1"/>
  <c r="S13" i="9"/>
  <c r="P85" i="9"/>
  <c r="B85" i="9" s="1"/>
  <c r="P27" i="9"/>
  <c r="B27" i="9" s="1"/>
  <c r="T28" i="9"/>
  <c r="AB14" i="9"/>
  <c r="AD87" i="9"/>
  <c r="Q29" i="9"/>
  <c r="V41" i="9"/>
  <c r="AB64" i="9"/>
  <c r="AB41" i="9"/>
  <c r="AC16" i="9"/>
  <c r="T42" i="9"/>
  <c r="P17" i="9"/>
  <c r="B17" i="9" s="1"/>
  <c r="T30" i="9"/>
  <c r="W31" i="9"/>
  <c r="AD64" i="9"/>
  <c r="Q48" i="9"/>
  <c r="AD43" i="9"/>
  <c r="AC59" i="9"/>
  <c r="AB28" i="9"/>
  <c r="S9" i="9"/>
  <c r="AA29" i="9"/>
  <c r="X49" i="9"/>
  <c r="AC10" i="9"/>
  <c r="S55" i="8"/>
  <c r="M55" i="8" s="1"/>
  <c r="K55" i="9" s="1"/>
  <c r="D53" i="3"/>
  <c r="D52" i="3"/>
  <c r="D61" i="16"/>
  <c r="D62" i="16"/>
  <c r="D85" i="6"/>
  <c r="S85" i="8"/>
  <c r="D84" i="6"/>
  <c r="D108" i="2"/>
  <c r="S40" i="8"/>
  <c r="L17" i="34" s="1"/>
  <c r="D110" i="2"/>
  <c r="P9" i="7"/>
  <c r="I15" i="7"/>
  <c r="D74" i="3"/>
  <c r="D72" i="3"/>
  <c r="S57" i="8"/>
  <c r="D75" i="3"/>
  <c r="S71" i="8"/>
  <c r="M71" i="8" s="1"/>
  <c r="K71" i="9" s="1"/>
  <c r="D129" i="4"/>
  <c r="D125" i="4"/>
  <c r="D126" i="4"/>
  <c r="D46" i="4"/>
  <c r="D45" i="4"/>
  <c r="D47" i="4"/>
  <c r="D45" i="6"/>
  <c r="D43" i="6"/>
  <c r="D44" i="6"/>
  <c r="D102" i="6"/>
  <c r="D103" i="6"/>
  <c r="D100" i="6"/>
  <c r="D104" i="6"/>
  <c r="P31" i="22"/>
  <c r="P78" i="22" s="1"/>
  <c r="J74" i="36" s="1"/>
  <c r="D104" i="4" l="1"/>
  <c r="K38" i="22"/>
  <c r="J38" i="22"/>
  <c r="Y32" i="20"/>
  <c r="E12" i="36"/>
  <c r="R37" i="34"/>
  <c r="R11" i="34" s="1"/>
  <c r="L23" i="22"/>
  <c r="M23" i="22" s="1"/>
  <c r="J45" i="22" s="1"/>
  <c r="K45" i="22" s="1"/>
  <c r="M45" i="22" s="1"/>
  <c r="S72" i="34"/>
  <c r="L39" i="34"/>
  <c r="L11" i="34"/>
  <c r="L32" i="34"/>
  <c r="M32" i="34" s="1"/>
  <c r="L38" i="34"/>
  <c r="J218" i="30"/>
  <c r="J219" i="30" s="1"/>
  <c r="K228" i="30" s="1"/>
  <c r="K236" i="30" s="1"/>
  <c r="E28" i="27"/>
  <c r="S73" i="22"/>
  <c r="D65" i="6"/>
  <c r="V7" i="9"/>
  <c r="X7" i="9"/>
  <c r="AC7" i="9" s="1"/>
  <c r="N74" i="9" s="1"/>
  <c r="AA74" i="8" s="1"/>
  <c r="D81" i="4"/>
  <c r="D63" i="6"/>
  <c r="AA7" i="9"/>
  <c r="S83" i="8"/>
  <c r="M83" i="8" s="1"/>
  <c r="K84" i="9" s="1"/>
  <c r="T7" i="9"/>
  <c r="Z7" i="9"/>
  <c r="O218" i="30"/>
  <c r="E29" i="27"/>
  <c r="D75" i="4"/>
  <c r="N25" i="9"/>
  <c r="AA25" i="8" s="1"/>
  <c r="D80" i="4"/>
  <c r="D99" i="4"/>
  <c r="D102" i="4"/>
  <c r="D103" i="4"/>
  <c r="D105" i="4"/>
  <c r="D79" i="4"/>
  <c r="D77" i="4"/>
  <c r="D67" i="6"/>
  <c r="D64" i="6"/>
  <c r="W49" i="8"/>
  <c r="Q49" i="8" s="1"/>
  <c r="Y50" i="20" s="1"/>
  <c r="Z50" i="20" s="1"/>
  <c r="M49" i="8"/>
  <c r="K49" i="9" s="1"/>
  <c r="H59" i="9"/>
  <c r="M33" i="8"/>
  <c r="K33" i="9" s="1"/>
  <c r="F6" i="27"/>
  <c r="F16" i="6"/>
  <c r="S39" i="20"/>
  <c r="M57" i="8"/>
  <c r="L62" i="34" s="1"/>
  <c r="M62" i="34" s="1"/>
  <c r="M64" i="34" s="1"/>
  <c r="W31" i="20"/>
  <c r="W30" i="20"/>
  <c r="W32" i="20"/>
  <c r="V30" i="20"/>
  <c r="V31" i="20"/>
  <c r="V32" i="20"/>
  <c r="V29" i="20"/>
  <c r="H16" i="9"/>
  <c r="L12" i="22"/>
  <c r="L13" i="22"/>
  <c r="M85" i="8"/>
  <c r="K86" i="9" s="1"/>
  <c r="W45" i="8"/>
  <c r="M45" i="8"/>
  <c r="K45" i="9" s="1"/>
  <c r="P75" i="4"/>
  <c r="S69" i="8"/>
  <c r="M69" i="8" s="1"/>
  <c r="K69" i="9" s="1"/>
  <c r="W50" i="8"/>
  <c r="Q50" i="8" s="1"/>
  <c r="Y51" i="20" s="1"/>
  <c r="Z51" i="20" s="1"/>
  <c r="M50" i="8"/>
  <c r="K50" i="9" s="1"/>
  <c r="H10" i="9"/>
  <c r="X30" i="20"/>
  <c r="X31" i="20"/>
  <c r="X32" i="20"/>
  <c r="M40" i="8"/>
  <c r="K40" i="9" s="1"/>
  <c r="M32" i="8"/>
  <c r="K32" i="9" s="1"/>
  <c r="T39" i="20"/>
  <c r="G16" i="6"/>
  <c r="F8" i="27"/>
  <c r="N83" i="9" l="1"/>
  <c r="AA82" i="8" s="1"/>
  <c r="N26" i="9"/>
  <c r="AA26" i="8" s="1"/>
  <c r="R38" i="34"/>
  <c r="R39" i="34" s="1"/>
  <c r="G39" i="27"/>
  <c r="J37" i="34"/>
  <c r="I37" i="34"/>
  <c r="K37" i="34"/>
  <c r="J46" i="22"/>
  <c r="K46" i="22" s="1"/>
  <c r="M46" i="22" s="1"/>
  <c r="K38" i="34"/>
  <c r="J38" i="34"/>
  <c r="I38" i="34"/>
  <c r="R13" i="34"/>
  <c r="I11" i="34"/>
  <c r="R12" i="34"/>
  <c r="J11" i="34"/>
  <c r="K11" i="34"/>
  <c r="J47" i="22"/>
  <c r="K47" i="22" s="1"/>
  <c r="M47" i="22" s="1"/>
  <c r="J48" i="22"/>
  <c r="K48" i="22" s="1"/>
  <c r="M48" i="22" s="1"/>
  <c r="M76" i="9"/>
  <c r="Y76" i="8" s="1"/>
  <c r="K55" i="34"/>
  <c r="K73" i="34" s="1"/>
  <c r="M73" i="34" s="1"/>
  <c r="M69" i="34" s="1"/>
  <c r="M79" i="34" s="1"/>
  <c r="I26" i="22"/>
  <c r="J26" i="22" s="1"/>
  <c r="M26" i="22" s="1"/>
  <c r="K56" i="22"/>
  <c r="K74" i="22" s="1"/>
  <c r="M74" i="22" s="1"/>
  <c r="L22" i="34"/>
  <c r="M22" i="34" s="1"/>
  <c r="L13" i="34"/>
  <c r="L12" i="34"/>
  <c r="M10" i="9"/>
  <c r="Y10" i="8" s="1"/>
  <c r="G67" i="9"/>
  <c r="N9" i="9"/>
  <c r="AA9" i="8" s="1"/>
  <c r="N72" i="9"/>
  <c r="AA72" i="8" s="1"/>
  <c r="H76" i="9"/>
  <c r="M21" i="9"/>
  <c r="Y21" i="8" s="1"/>
  <c r="H52" i="9"/>
  <c r="N47" i="9"/>
  <c r="AA47" i="8" s="1"/>
  <c r="N49" i="9"/>
  <c r="AA49" i="8" s="1"/>
  <c r="H87" i="9"/>
  <c r="N34" i="9"/>
  <c r="AA34" i="8" s="1"/>
  <c r="H19" i="9"/>
  <c r="G12" i="9"/>
  <c r="H61" i="9"/>
  <c r="N64" i="9"/>
  <c r="AA64" i="8" s="1"/>
  <c r="N16" i="9"/>
  <c r="AA16" i="8" s="1"/>
  <c r="N69" i="9"/>
  <c r="AA69" i="8" s="1"/>
  <c r="H15" i="9"/>
  <c r="N10" i="9"/>
  <c r="AA10" i="8" s="1"/>
  <c r="N39" i="9"/>
  <c r="AA39" i="8" s="1"/>
  <c r="N12" i="9"/>
  <c r="AA12" i="8" s="1"/>
  <c r="N86" i="9"/>
  <c r="AA85" i="8" s="1"/>
  <c r="N67" i="9"/>
  <c r="AA67" i="8" s="1"/>
  <c r="N44" i="9"/>
  <c r="AA44" i="8" s="1"/>
  <c r="N21" i="9"/>
  <c r="AA21" i="8" s="1"/>
  <c r="G24" i="9"/>
  <c r="H17" i="9"/>
  <c r="N76" i="9"/>
  <c r="AA76" i="8" s="1"/>
  <c r="N11" i="9"/>
  <c r="AA11" i="8" s="1"/>
  <c r="N66" i="9"/>
  <c r="AA66" i="8" s="1"/>
  <c r="N30" i="9"/>
  <c r="AA30" i="8" s="1"/>
  <c r="N41" i="9"/>
  <c r="AA41" i="8" s="1"/>
  <c r="N33" i="9"/>
  <c r="AA33" i="8" s="1"/>
  <c r="H77" i="9"/>
  <c r="M23" i="9"/>
  <c r="G86" i="9"/>
  <c r="H63" i="9"/>
  <c r="N14" i="9"/>
  <c r="AA14" i="8" s="1"/>
  <c r="N52" i="9"/>
  <c r="AA52" i="8" s="1"/>
  <c r="N27" i="9"/>
  <c r="AA27" i="8" s="1"/>
  <c r="N79" i="9"/>
  <c r="AA79" i="8" s="1"/>
  <c r="N35" i="9"/>
  <c r="AA35" i="8" s="1"/>
  <c r="N59" i="9"/>
  <c r="AA59" i="8" s="1"/>
  <c r="N80" i="9"/>
  <c r="AA80" i="8" s="1"/>
  <c r="H29" i="9"/>
  <c r="N63" i="9"/>
  <c r="AA63" i="8" s="1"/>
  <c r="H11" i="9"/>
  <c r="N18" i="9"/>
  <c r="AA18" i="8" s="1"/>
  <c r="N85" i="9"/>
  <c r="AA84" i="8" s="1"/>
  <c r="M41" i="9"/>
  <c r="Y41" i="8" s="1"/>
  <c r="M46" i="9"/>
  <c r="Y46" i="8" s="1"/>
  <c r="M64" i="9"/>
  <c r="Y64" i="8" s="1"/>
  <c r="G19" i="9"/>
  <c r="M45" i="9"/>
  <c r="G55" i="9"/>
  <c r="M17" i="9"/>
  <c r="Y17" i="8" s="1"/>
  <c r="N17" i="9"/>
  <c r="AA17" i="8" s="1"/>
  <c r="M16" i="9"/>
  <c r="G50" i="9"/>
  <c r="G45" i="9"/>
  <c r="M22" i="9"/>
  <c r="Y22" i="8" s="1"/>
  <c r="G58" i="9"/>
  <c r="M12" i="9"/>
  <c r="M7" i="12" s="1"/>
  <c r="T7" i="12" s="1"/>
  <c r="G21" i="9"/>
  <c r="M52" i="9"/>
  <c r="Y52" i="8" s="1"/>
  <c r="M25" i="9"/>
  <c r="Y25" i="8" s="1"/>
  <c r="M75" i="9"/>
  <c r="H70" i="9"/>
  <c r="G18" i="9"/>
  <c r="I17" i="9" s="1"/>
  <c r="D18" i="9" s="1"/>
  <c r="T18" i="8" s="1"/>
  <c r="S17" i="8" s="1"/>
  <c r="M17" i="8" s="1"/>
  <c r="K17" i="9" s="1"/>
  <c r="G17" i="9" s="1"/>
  <c r="G31" i="9"/>
  <c r="G16" i="9"/>
  <c r="M13" i="9"/>
  <c r="Y13" i="8" s="1"/>
  <c r="G27" i="9"/>
  <c r="M39" i="9"/>
  <c r="M65" i="9"/>
  <c r="M11" i="4" s="1"/>
  <c r="Y11" i="4" s="1"/>
  <c r="G43" i="9"/>
  <c r="G23" i="9"/>
  <c r="G61" i="9"/>
  <c r="H71" i="9"/>
  <c r="H68" i="9"/>
  <c r="M62" i="9"/>
  <c r="Y62" i="8" s="1"/>
  <c r="G84" i="9"/>
  <c r="N13" i="9"/>
  <c r="AA13" i="8" s="1"/>
  <c r="G32" i="9"/>
  <c r="G40" i="9"/>
  <c r="M61" i="12"/>
  <c r="Y61" i="12" s="1"/>
  <c r="G69" i="9"/>
  <c r="M42" i="9"/>
  <c r="Y42" i="8" s="1"/>
  <c r="H53" i="9"/>
  <c r="J52" i="9" s="1"/>
  <c r="G49" i="9"/>
  <c r="G54" i="9"/>
  <c r="M84" i="9"/>
  <c r="M61" i="6" s="1"/>
  <c r="X61" i="6" s="1"/>
  <c r="M74" i="9"/>
  <c r="Y74" i="8" s="1"/>
  <c r="M67" i="9"/>
  <c r="M41" i="4" s="1"/>
  <c r="T41" i="4" s="1"/>
  <c r="H56" i="9"/>
  <c r="G48" i="9"/>
  <c r="M44" i="9"/>
  <c r="Y44" i="8" s="1"/>
  <c r="N46" i="9"/>
  <c r="AA46" i="8" s="1"/>
  <c r="M55" i="9"/>
  <c r="Y55" i="8" s="1"/>
  <c r="M40" i="9"/>
  <c r="N36" i="9"/>
  <c r="AA36" i="8" s="1"/>
  <c r="H81" i="9"/>
  <c r="J80" i="9" s="1"/>
  <c r="N48" i="9"/>
  <c r="AA48" i="8" s="1"/>
  <c r="M29" i="9"/>
  <c r="Y29" i="8" s="1"/>
  <c r="M68" i="9"/>
  <c r="M57" i="4" s="1"/>
  <c r="T57" i="4" s="1"/>
  <c r="H12" i="9"/>
  <c r="M35" i="9"/>
  <c r="Y35" i="8" s="1"/>
  <c r="G78" i="9"/>
  <c r="H79" i="9"/>
  <c r="H62" i="9"/>
  <c r="N24" i="9"/>
  <c r="AA24" i="8" s="1"/>
  <c r="N37" i="9"/>
  <c r="AA37" i="8" s="1"/>
  <c r="N75" i="9"/>
  <c r="AA75" i="8" s="1"/>
  <c r="H57" i="9"/>
  <c r="M28" i="9"/>
  <c r="Y28" i="8" s="1"/>
  <c r="G22" i="9"/>
  <c r="J14" i="9"/>
  <c r="E16" i="9" s="1"/>
  <c r="V16" i="8" s="1"/>
  <c r="P16" i="8" s="1"/>
  <c r="G13" i="9"/>
  <c r="G33" i="9"/>
  <c r="N54" i="9"/>
  <c r="AA54" i="8" s="1"/>
  <c r="M73" i="9"/>
  <c r="Y73" i="8" s="1"/>
  <c r="M83" i="9"/>
  <c r="Y82" i="8" s="1"/>
  <c r="M60" i="9"/>
  <c r="M32" i="9"/>
  <c r="N43" i="9"/>
  <c r="AA43" i="8" s="1"/>
  <c r="M54" i="9"/>
  <c r="Y54" i="8" s="1"/>
  <c r="G74" i="9"/>
  <c r="M30" i="9"/>
  <c r="Y30" i="8" s="1"/>
  <c r="M14" i="9"/>
  <c r="Y14" i="8" s="1"/>
  <c r="M26" i="9"/>
  <c r="G28" i="9"/>
  <c r="H58" i="9"/>
  <c r="M48" i="9"/>
  <c r="N22" i="9"/>
  <c r="AA22" i="8" s="1"/>
  <c r="N68" i="9"/>
  <c r="AA68" i="8" s="1"/>
  <c r="M15" i="9"/>
  <c r="M28" i="12" s="1"/>
  <c r="T28" i="12" s="1"/>
  <c r="N60" i="9"/>
  <c r="AA60" i="8" s="1"/>
  <c r="G73" i="9"/>
  <c r="M18" i="9"/>
  <c r="G68" i="9"/>
  <c r="H55" i="9"/>
  <c r="M78" i="9"/>
  <c r="Y78" i="8" s="1"/>
  <c r="H44" i="9"/>
  <c r="N45" i="9"/>
  <c r="AA45" i="8" s="1"/>
  <c r="N38" i="9"/>
  <c r="AA38" i="8" s="1"/>
  <c r="M38" i="9"/>
  <c r="Y38" i="8" s="1"/>
  <c r="M49" i="9"/>
  <c r="H72" i="9"/>
  <c r="M47" i="9"/>
  <c r="N73" i="9"/>
  <c r="AA73" i="8" s="1"/>
  <c r="M80" i="9"/>
  <c r="Y80" i="8" s="1"/>
  <c r="M9" i="9"/>
  <c r="Y9" i="8" s="1"/>
  <c r="N84" i="9"/>
  <c r="AA83" i="8" s="1"/>
  <c r="N61" i="9"/>
  <c r="AA61" i="8" s="1"/>
  <c r="N82" i="9"/>
  <c r="AA81" i="8" s="1"/>
  <c r="G71" i="9"/>
  <c r="M82" i="9"/>
  <c r="Y81" i="8" s="1"/>
  <c r="H9" i="9"/>
  <c r="N15" i="9"/>
  <c r="AA15" i="8" s="1"/>
  <c r="H54" i="9"/>
  <c r="H74" i="9"/>
  <c r="N56" i="9"/>
  <c r="AA56" i="8" s="1"/>
  <c r="N32" i="9"/>
  <c r="AA32" i="8" s="1"/>
  <c r="N23" i="9"/>
  <c r="AA23" i="8" s="1"/>
  <c r="N62" i="9"/>
  <c r="AA62" i="8" s="1"/>
  <c r="N55" i="9"/>
  <c r="AA55" i="8" s="1"/>
  <c r="H18" i="9"/>
  <c r="J17" i="9" s="1"/>
  <c r="E18" i="9" s="1"/>
  <c r="V18" i="8" s="1"/>
  <c r="P18" i="8" s="1"/>
  <c r="H78" i="9"/>
  <c r="J76" i="9" s="1"/>
  <c r="G42" i="9"/>
  <c r="H64" i="9"/>
  <c r="N87" i="9"/>
  <c r="AA86" i="8" s="1"/>
  <c r="M27" i="9"/>
  <c r="Y27" i="8" s="1"/>
  <c r="M58" i="9"/>
  <c r="Y58" i="8" s="1"/>
  <c r="G87" i="9"/>
  <c r="G15" i="9"/>
  <c r="M61" i="9"/>
  <c r="M110" i="3" s="1"/>
  <c r="Y110" i="3" s="1"/>
  <c r="G65" i="9"/>
  <c r="M86" i="9"/>
  <c r="M82" i="6" s="1"/>
  <c r="X82" i="6" s="1"/>
  <c r="M19" i="9"/>
  <c r="Y19" i="8" s="1"/>
  <c r="H83" i="9"/>
  <c r="M11" i="9"/>
  <c r="Y11" i="8" s="1"/>
  <c r="H60" i="9"/>
  <c r="J59" i="9" s="1"/>
  <c r="M20" i="9"/>
  <c r="Y20" i="8" s="1"/>
  <c r="M49" i="3"/>
  <c r="Y49" i="3" s="1"/>
  <c r="H67" i="9"/>
  <c r="M70" i="9"/>
  <c r="N31" i="9"/>
  <c r="AA31" i="8" s="1"/>
  <c r="G39" i="9"/>
  <c r="N42" i="9"/>
  <c r="AA42" i="8" s="1"/>
  <c r="G26" i="9"/>
  <c r="H14" i="9"/>
  <c r="J10" i="9" s="1"/>
  <c r="M56" i="9"/>
  <c r="Y56" i="8" s="1"/>
  <c r="G34" i="9"/>
  <c r="H75" i="9"/>
  <c r="N77" i="9"/>
  <c r="AA77" i="8" s="1"/>
  <c r="M36" i="9"/>
  <c r="N53" i="9"/>
  <c r="AA53" i="8" s="1"/>
  <c r="N20" i="9"/>
  <c r="AA20" i="8" s="1"/>
  <c r="H13" i="9"/>
  <c r="J11" i="9" s="1"/>
  <c r="M31" i="9"/>
  <c r="H69" i="9"/>
  <c r="N57" i="9"/>
  <c r="AA57" i="8" s="1"/>
  <c r="N78" i="9"/>
  <c r="AA78" i="8" s="1"/>
  <c r="H85" i="9"/>
  <c r="M50" i="9"/>
  <c r="H73" i="9"/>
  <c r="H84" i="9"/>
  <c r="N28" i="9"/>
  <c r="AA28" i="8" s="1"/>
  <c r="N58" i="9"/>
  <c r="AA58" i="8" s="1"/>
  <c r="N71" i="9"/>
  <c r="AA71" i="8" s="1"/>
  <c r="N29" i="9"/>
  <c r="AA29" i="8" s="1"/>
  <c r="N40" i="9"/>
  <c r="AA40" i="8" s="1"/>
  <c r="N65" i="9"/>
  <c r="AA65" i="8" s="1"/>
  <c r="H86" i="9"/>
  <c r="J85" i="9" s="1"/>
  <c r="N70" i="9"/>
  <c r="AA70" i="8" s="1"/>
  <c r="H82" i="9"/>
  <c r="N50" i="9"/>
  <c r="AA50" i="8" s="1"/>
  <c r="H80" i="9"/>
  <c r="N19" i="9"/>
  <c r="AA19" i="8" s="1"/>
  <c r="M66" i="9"/>
  <c r="M71" i="9"/>
  <c r="M69" i="9"/>
  <c r="G75" i="9"/>
  <c r="H66" i="9"/>
  <c r="G47" i="9"/>
  <c r="G37" i="9"/>
  <c r="M77" i="9"/>
  <c r="M87" i="9"/>
  <c r="M59" i="9"/>
  <c r="Y59" i="8" s="1"/>
  <c r="G60" i="9"/>
  <c r="I59" i="9" s="1"/>
  <c r="M85" i="9"/>
  <c r="Y84" i="8" s="1"/>
  <c r="G77" i="9"/>
  <c r="G36" i="9"/>
  <c r="M63" i="9"/>
  <c r="Y63" i="8" s="1"/>
  <c r="M37" i="9"/>
  <c r="M24" i="9"/>
  <c r="Y24" i="8" s="1"/>
  <c r="M34" i="9"/>
  <c r="M33" i="9"/>
  <c r="M79" i="9"/>
  <c r="Y79" i="8" s="1"/>
  <c r="G83" i="9"/>
  <c r="M53" i="9"/>
  <c r="Y53" i="8" s="1"/>
  <c r="M57" i="9"/>
  <c r="M43" i="9"/>
  <c r="H65" i="9"/>
  <c r="G66" i="9"/>
  <c r="M72" i="9"/>
  <c r="Y72" i="8" s="1"/>
  <c r="M7" i="6"/>
  <c r="X7" i="6" s="1"/>
  <c r="H39" i="27"/>
  <c r="H40" i="27" s="1"/>
  <c r="M41" i="6"/>
  <c r="X41" i="6" s="1"/>
  <c r="M7" i="16"/>
  <c r="Y7" i="16" s="1"/>
  <c r="Y45" i="8"/>
  <c r="Y85" i="8"/>
  <c r="P99" i="4"/>
  <c r="S70" i="8"/>
  <c r="M70" i="8" s="1"/>
  <c r="K70" i="9" s="1"/>
  <c r="G70" i="9" s="1"/>
  <c r="M7" i="3"/>
  <c r="Y7" i="3" s="1"/>
  <c r="Y83" i="8"/>
  <c r="Y12" i="8"/>
  <c r="M88" i="2"/>
  <c r="Y88" i="2" s="1"/>
  <c r="Y39" i="8"/>
  <c r="Y16" i="8"/>
  <c r="M38" i="12"/>
  <c r="T38" i="12" s="1"/>
  <c r="M63" i="22"/>
  <c r="M65" i="22" s="1"/>
  <c r="K57" i="9"/>
  <c r="G57" i="9" s="1"/>
  <c r="I56" i="9" s="1"/>
  <c r="M127" i="12"/>
  <c r="Y127" i="12" s="1"/>
  <c r="Q45" i="8"/>
  <c r="Y48" i="20" s="1"/>
  <c r="Z48" i="20" s="1"/>
  <c r="Y23" i="8"/>
  <c r="M83" i="12"/>
  <c r="Y83" i="12" s="1"/>
  <c r="I53" i="9" l="1"/>
  <c r="D55" i="9" s="1"/>
  <c r="T55" i="8" s="1"/>
  <c r="N55" i="8" s="1"/>
  <c r="J56" i="9"/>
  <c r="E57" i="9" s="1"/>
  <c r="V57" i="8" s="1"/>
  <c r="P57" i="8" s="1"/>
  <c r="J64" i="9"/>
  <c r="J62" i="9"/>
  <c r="E72" i="9" s="1"/>
  <c r="V72" i="8" s="1"/>
  <c r="P72" i="8" s="1"/>
  <c r="I11" i="9"/>
  <c r="D12" i="9" s="1"/>
  <c r="T12" i="8" s="1"/>
  <c r="N12" i="8" s="1"/>
  <c r="M11" i="34"/>
  <c r="M37" i="34"/>
  <c r="M38" i="34"/>
  <c r="Y67" i="8"/>
  <c r="M70" i="22"/>
  <c r="M80" i="22" s="1"/>
  <c r="I76" i="36" s="1"/>
  <c r="P56" i="22"/>
  <c r="P53" i="22" s="1"/>
  <c r="M56" i="22"/>
  <c r="K60" i="22"/>
  <c r="P60" i="22" s="1"/>
  <c r="P55" i="34"/>
  <c r="P52" i="34" s="1"/>
  <c r="P79" i="34" s="1"/>
  <c r="P80" i="34" s="1"/>
  <c r="K59" i="34"/>
  <c r="M59" i="34" s="1"/>
  <c r="M55" i="34"/>
  <c r="I85" i="9"/>
  <c r="D86" i="9" s="1"/>
  <c r="T85" i="8" s="1"/>
  <c r="N85" i="8" s="1"/>
  <c r="I82" i="9"/>
  <c r="D83" i="9" s="1"/>
  <c r="T82" i="8" s="1"/>
  <c r="N82" i="8" s="1"/>
  <c r="J39" i="34"/>
  <c r="K39" i="34"/>
  <c r="I39" i="34"/>
  <c r="J13" i="34"/>
  <c r="I13" i="34"/>
  <c r="K13" i="34"/>
  <c r="K12" i="34"/>
  <c r="J12" i="34"/>
  <c r="I12" i="34"/>
  <c r="Y65" i="8"/>
  <c r="M28" i="34"/>
  <c r="M25" i="34"/>
  <c r="M27" i="34"/>
  <c r="J44" i="34"/>
  <c r="K44" i="34" s="1"/>
  <c r="M44" i="34" s="1"/>
  <c r="J46" i="34"/>
  <c r="K46" i="34" s="1"/>
  <c r="M46" i="34" s="1"/>
  <c r="J45" i="34"/>
  <c r="K45" i="34" s="1"/>
  <c r="M45" i="34" s="1"/>
  <c r="J47" i="34"/>
  <c r="K47" i="34" s="1"/>
  <c r="M47" i="34" s="1"/>
  <c r="M26" i="34"/>
  <c r="M125" i="2"/>
  <c r="T125" i="2" s="1"/>
  <c r="M17" i="12"/>
  <c r="T17" i="12" s="1"/>
  <c r="Y61" i="8"/>
  <c r="Y15" i="8"/>
  <c r="I46" i="9"/>
  <c r="D47" i="9" s="1"/>
  <c r="T47" i="8" s="1"/>
  <c r="N47" i="8" s="1"/>
  <c r="L47" i="9" s="1"/>
  <c r="H47" i="9" s="1"/>
  <c r="M94" i="12"/>
  <c r="Y94" i="12" s="1"/>
  <c r="I76" i="9"/>
  <c r="I41" i="9"/>
  <c r="D42" i="9" s="1"/>
  <c r="T42" i="8" s="1"/>
  <c r="N42" i="8" s="1"/>
  <c r="L42" i="9" s="1"/>
  <c r="H42" i="9" s="1"/>
  <c r="M141" i="4"/>
  <c r="T141" i="4" s="1"/>
  <c r="M87" i="3"/>
  <c r="Y87" i="3" s="1"/>
  <c r="N18" i="8"/>
  <c r="Y68" i="8"/>
  <c r="I20" i="9"/>
  <c r="D22" i="9" s="1"/>
  <c r="T22" i="8" s="1"/>
  <c r="N22" i="8" s="1"/>
  <c r="L22" i="9" s="1"/>
  <c r="H22" i="9" s="1"/>
  <c r="E15" i="9"/>
  <c r="V15" i="8" s="1"/>
  <c r="P15" i="8" s="1"/>
  <c r="M72" i="12"/>
  <c r="Y72" i="12" s="1"/>
  <c r="M152" i="4"/>
  <c r="I25" i="9"/>
  <c r="D27" i="9" s="1"/>
  <c r="T27" i="8" s="1"/>
  <c r="N27" i="8" s="1"/>
  <c r="L27" i="9" s="1"/>
  <c r="H27" i="9" s="1"/>
  <c r="I38" i="9"/>
  <c r="D39" i="9" s="1"/>
  <c r="T39" i="8" s="1"/>
  <c r="N39" i="8" s="1"/>
  <c r="L39" i="9" s="1"/>
  <c r="H39" i="9" s="1"/>
  <c r="I14" i="9"/>
  <c r="D16" i="9" s="1"/>
  <c r="T16" i="8" s="1"/>
  <c r="N16" i="8" s="1"/>
  <c r="E56" i="9"/>
  <c r="V56" i="8" s="1"/>
  <c r="P56" i="8" s="1"/>
  <c r="E53" i="9"/>
  <c r="V53" i="8" s="1"/>
  <c r="P53" i="8" s="1"/>
  <c r="E54" i="9"/>
  <c r="V54" i="8" s="1"/>
  <c r="E60" i="9"/>
  <c r="V60" i="8" s="1"/>
  <c r="P60" i="8" s="1"/>
  <c r="E61" i="9"/>
  <c r="V61" i="8" s="1"/>
  <c r="P61" i="8" s="1"/>
  <c r="J79" i="9"/>
  <c r="E86" i="9" s="1"/>
  <c r="V85" i="8" s="1"/>
  <c r="P85" i="8" s="1"/>
  <c r="I72" i="9"/>
  <c r="D73" i="9" s="1"/>
  <c r="T73" i="8" s="1"/>
  <c r="Y40" i="8"/>
  <c r="M105" i="2"/>
  <c r="T105" i="2" s="1"/>
  <c r="Y75" i="8"/>
  <c r="M163" i="4"/>
  <c r="J72" i="9"/>
  <c r="E73" i="9" s="1"/>
  <c r="V73" i="8" s="1"/>
  <c r="P73" i="8" s="1"/>
  <c r="J53" i="9"/>
  <c r="J51" i="9"/>
  <c r="E63" i="9"/>
  <c r="V63" i="8" s="1"/>
  <c r="P63" i="8" s="1"/>
  <c r="E76" i="9"/>
  <c r="V76" i="8" s="1"/>
  <c r="P76" i="8" s="1"/>
  <c r="E85" i="9"/>
  <c r="V84" i="8" s="1"/>
  <c r="E13" i="9"/>
  <c r="V13" i="8" s="1"/>
  <c r="P13" i="8" s="1"/>
  <c r="E12" i="9"/>
  <c r="V12" i="8" s="1"/>
  <c r="P12" i="8" s="1"/>
  <c r="E17" i="9"/>
  <c r="V17" i="8" s="1"/>
  <c r="P17" i="8" s="1"/>
  <c r="E14" i="9"/>
  <c r="V14" i="8" s="1"/>
  <c r="P14" i="8" s="1"/>
  <c r="E11" i="9"/>
  <c r="V11" i="8" s="1"/>
  <c r="P11" i="8" s="1"/>
  <c r="Y50" i="8"/>
  <c r="M78" i="16"/>
  <c r="Y78" i="16" s="1"/>
  <c r="Y47" i="8"/>
  <c r="M28" i="16"/>
  <c r="Y28" i="16" s="1"/>
  <c r="Y48" i="8"/>
  <c r="M39" i="16"/>
  <c r="Y39" i="16" s="1"/>
  <c r="E78" i="9"/>
  <c r="V78" i="8" s="1"/>
  <c r="P78" i="8" s="1"/>
  <c r="E77" i="9"/>
  <c r="V77" i="8" s="1"/>
  <c r="P77" i="8" s="1"/>
  <c r="E59" i="9"/>
  <c r="V59" i="8" s="1"/>
  <c r="P59" i="8" s="1"/>
  <c r="I35" i="9"/>
  <c r="Y31" i="8"/>
  <c r="M7" i="2"/>
  <c r="M65" i="2"/>
  <c r="T65" i="2" s="1"/>
  <c r="Y36" i="8"/>
  <c r="J82" i="9"/>
  <c r="M19" i="2"/>
  <c r="Y19" i="2" s="1"/>
  <c r="Y32" i="8"/>
  <c r="M58" i="16"/>
  <c r="Y58" i="16" s="1"/>
  <c r="Y49" i="8"/>
  <c r="Y18" i="8"/>
  <c r="M49" i="12"/>
  <c r="T49" i="12" s="1"/>
  <c r="Y60" i="8"/>
  <c r="M99" i="3"/>
  <c r="Y99" i="3" s="1"/>
  <c r="I64" i="9"/>
  <c r="D66" i="9" s="1"/>
  <c r="T66" i="8" s="1"/>
  <c r="N66" i="8" s="1"/>
  <c r="Y70" i="8"/>
  <c r="M99" i="4"/>
  <c r="T99" i="4" s="1"/>
  <c r="J63" i="9"/>
  <c r="J8" i="9"/>
  <c r="Y26" i="8"/>
  <c r="M112" i="12"/>
  <c r="Y112" i="12" s="1"/>
  <c r="E67" i="9"/>
  <c r="V67" i="8" s="1"/>
  <c r="P67" i="8" s="1"/>
  <c r="E65" i="9"/>
  <c r="V65" i="8" s="1"/>
  <c r="P65" i="8" s="1"/>
  <c r="E66" i="9"/>
  <c r="V66" i="8" s="1"/>
  <c r="P66" i="8" s="1"/>
  <c r="D77" i="9"/>
  <c r="T77" i="8" s="1"/>
  <c r="D78" i="9"/>
  <c r="T78" i="8" s="1"/>
  <c r="N78" i="8" s="1"/>
  <c r="D61" i="9"/>
  <c r="T61" i="8" s="1"/>
  <c r="N61" i="8" s="1"/>
  <c r="D60" i="9"/>
  <c r="T60" i="8" s="1"/>
  <c r="M141" i="2"/>
  <c r="Y141" i="2" s="1"/>
  <c r="Y43" i="8"/>
  <c r="Y34" i="8"/>
  <c r="M54" i="2"/>
  <c r="T54" i="2" s="1"/>
  <c r="M98" i="6"/>
  <c r="X98" i="6" s="1"/>
  <c r="Y86" i="8"/>
  <c r="M75" i="4"/>
  <c r="T75" i="4" s="1"/>
  <c r="Y69" i="8"/>
  <c r="M27" i="4"/>
  <c r="T27" i="4" s="1"/>
  <c r="Y66" i="8"/>
  <c r="Y57" i="8"/>
  <c r="M70" i="3"/>
  <c r="Y70" i="3" s="1"/>
  <c r="Y33" i="8"/>
  <c r="M36" i="2"/>
  <c r="Y36" i="2" s="1"/>
  <c r="M75" i="2"/>
  <c r="T75" i="2" s="1"/>
  <c r="Y37" i="8"/>
  <c r="M175" i="4"/>
  <c r="Y77" i="8"/>
  <c r="M123" i="4"/>
  <c r="T123" i="4" s="1"/>
  <c r="Y71" i="8"/>
  <c r="D54" i="9"/>
  <c r="T54" i="8" s="1"/>
  <c r="N54" i="8" s="1"/>
  <c r="D57" i="9"/>
  <c r="T57" i="8" s="1"/>
  <c r="D58" i="9"/>
  <c r="T58" i="8" s="1"/>
  <c r="N58" i="8" s="1"/>
  <c r="R11" i="22"/>
  <c r="I38" i="22"/>
  <c r="M38" i="22" s="1"/>
  <c r="R39" i="22"/>
  <c r="E82" i="9" l="1"/>
  <c r="M13" i="34"/>
  <c r="E58" i="9"/>
  <c r="V58" i="8" s="1"/>
  <c r="P58" i="8" s="1"/>
  <c r="M53" i="22"/>
  <c r="K39" i="22"/>
  <c r="J39" i="22"/>
  <c r="D13" i="9"/>
  <c r="T13" i="8" s="1"/>
  <c r="N13" i="8" s="1"/>
  <c r="D87" i="9"/>
  <c r="T86" i="8" s="1"/>
  <c r="N86" i="8" s="1"/>
  <c r="D23" i="9"/>
  <c r="T23" i="8" s="1"/>
  <c r="N23" i="8" s="1"/>
  <c r="L23" i="9" s="1"/>
  <c r="H23" i="9" s="1"/>
  <c r="D84" i="9"/>
  <c r="T83" i="8" s="1"/>
  <c r="N83" i="8" s="1"/>
  <c r="D21" i="9"/>
  <c r="T21" i="8" s="1"/>
  <c r="N21" i="8" s="1"/>
  <c r="L21" i="9" s="1"/>
  <c r="H21" i="9" s="1"/>
  <c r="M12" i="34"/>
  <c r="M30" i="34" s="1"/>
  <c r="M77" i="34" s="1"/>
  <c r="D48" i="9"/>
  <c r="T48" i="8" s="1"/>
  <c r="N48" i="8" s="1"/>
  <c r="L48" i="9" s="1"/>
  <c r="H48" i="9" s="1"/>
  <c r="J46" i="9" s="1"/>
  <c r="D24" i="9"/>
  <c r="T24" i="8" s="1"/>
  <c r="N24" i="8" s="1"/>
  <c r="L24" i="9" s="1"/>
  <c r="H24" i="9" s="1"/>
  <c r="M39" i="34"/>
  <c r="M49" i="34" s="1"/>
  <c r="M78" i="34" s="1"/>
  <c r="P59" i="34"/>
  <c r="M60" i="22"/>
  <c r="M52" i="34"/>
  <c r="F10" i="27"/>
  <c r="P80" i="22"/>
  <c r="J76" i="36" s="1"/>
  <c r="E87" i="9"/>
  <c r="V86" i="8" s="1"/>
  <c r="P86" i="8" s="1"/>
  <c r="D43" i="9"/>
  <c r="T43" i="8" s="1"/>
  <c r="N43" i="8" s="1"/>
  <c r="L43" i="9" s="1"/>
  <c r="H43" i="9" s="1"/>
  <c r="J41" i="9" s="1"/>
  <c r="E75" i="9"/>
  <c r="V75" i="8" s="1"/>
  <c r="P75" i="8" s="1"/>
  <c r="D26" i="9"/>
  <c r="T26" i="8" s="1"/>
  <c r="N26" i="8" s="1"/>
  <c r="L26" i="9" s="1"/>
  <c r="H26" i="9" s="1"/>
  <c r="J25" i="9" s="1"/>
  <c r="E74" i="9"/>
  <c r="V74" i="8" s="1"/>
  <c r="P74" i="8" s="1"/>
  <c r="E83" i="9"/>
  <c r="V82" i="8" s="1"/>
  <c r="P82" i="8" s="1"/>
  <c r="D74" i="9"/>
  <c r="T74" i="8" s="1"/>
  <c r="N74" i="8" s="1"/>
  <c r="D75" i="9"/>
  <c r="T75" i="8" s="1"/>
  <c r="N75" i="8" s="1"/>
  <c r="D40" i="9"/>
  <c r="T40" i="8" s="1"/>
  <c r="N40" i="8" s="1"/>
  <c r="L40" i="9" s="1"/>
  <c r="H40" i="9" s="1"/>
  <c r="J38" i="9" s="1"/>
  <c r="D15" i="9"/>
  <c r="T15" i="8" s="1"/>
  <c r="N15" i="8" s="1"/>
  <c r="S11" i="8"/>
  <c r="M11" i="8" s="1"/>
  <c r="K11" i="9" s="1"/>
  <c r="G11" i="9" s="1"/>
  <c r="N73" i="8"/>
  <c r="E52" i="9"/>
  <c r="V52" i="8" s="1"/>
  <c r="P52" i="8" s="1"/>
  <c r="E79" i="9"/>
  <c r="V79" i="8" s="1"/>
  <c r="P79" i="8" s="1"/>
  <c r="E62" i="9"/>
  <c r="V62" i="8" s="1"/>
  <c r="P62" i="8" s="1"/>
  <c r="E84" i="9"/>
  <c r="V83" i="8" s="1"/>
  <c r="P83" i="8" s="1"/>
  <c r="D65" i="9"/>
  <c r="T65" i="8" s="1"/>
  <c r="N65" i="8" s="1"/>
  <c r="E29" i="9"/>
  <c r="V29" i="8" s="1"/>
  <c r="P29" i="8" s="1"/>
  <c r="E44" i="9"/>
  <c r="V44" i="8" s="1"/>
  <c r="P44" i="8" s="1"/>
  <c r="E9" i="9"/>
  <c r="V9" i="8" s="1"/>
  <c r="P9" i="8" s="1"/>
  <c r="T7" i="2"/>
  <c r="Y7" i="2"/>
  <c r="D8" i="4"/>
  <c r="D67" i="9"/>
  <c r="T67" i="8" s="1"/>
  <c r="N67" i="8" s="1"/>
  <c r="E70" i="9"/>
  <c r="V70" i="8" s="1"/>
  <c r="P70" i="8" s="1"/>
  <c r="E71" i="9"/>
  <c r="V71" i="8" s="1"/>
  <c r="P71" i="8" s="1"/>
  <c r="E64" i="9"/>
  <c r="V64" i="8" s="1"/>
  <c r="P64" i="8" s="1"/>
  <c r="E69" i="9"/>
  <c r="V69" i="8" s="1"/>
  <c r="P69" i="8" s="1"/>
  <c r="E68" i="9"/>
  <c r="V68" i="8" s="1"/>
  <c r="P68" i="8" s="1"/>
  <c r="D37" i="9"/>
  <c r="T37" i="8" s="1"/>
  <c r="N37" i="8" s="1"/>
  <c r="L37" i="9" s="1"/>
  <c r="H37" i="9" s="1"/>
  <c r="D36" i="9"/>
  <c r="T36" i="8" s="1"/>
  <c r="S59" i="8"/>
  <c r="N60" i="8"/>
  <c r="S76" i="8"/>
  <c r="N77" i="8"/>
  <c r="S53" i="8"/>
  <c r="M53" i="8" s="1"/>
  <c r="K53" i="9" s="1"/>
  <c r="G53" i="9" s="1"/>
  <c r="N57" i="8"/>
  <c r="S56" i="8"/>
  <c r="R12" i="22"/>
  <c r="K11" i="22"/>
  <c r="J11" i="22"/>
  <c r="I11" i="22"/>
  <c r="R13" i="22"/>
  <c r="H17" i="6"/>
  <c r="H11" i="27"/>
  <c r="H32" i="27" s="1"/>
  <c r="H33" i="27" s="1"/>
  <c r="I39" i="22"/>
  <c r="R40" i="22"/>
  <c r="M39" i="22" l="1"/>
  <c r="U40" i="20"/>
  <c r="K40" i="22"/>
  <c r="J40" i="22"/>
  <c r="S84" i="8"/>
  <c r="M84" i="8" s="1"/>
  <c r="K85" i="9" s="1"/>
  <c r="G85" i="9" s="1"/>
  <c r="S81" i="8"/>
  <c r="W81" i="8" s="1"/>
  <c r="Q81" i="8" s="1"/>
  <c r="Y59" i="20" s="1"/>
  <c r="Z59" i="20" s="1"/>
  <c r="M80" i="34"/>
  <c r="J20" i="9"/>
  <c r="E21" i="9" s="1"/>
  <c r="V21" i="8" s="1"/>
  <c r="P21" i="8" s="1"/>
  <c r="S20" i="8"/>
  <c r="W20" i="8" s="1"/>
  <c r="Q20" i="8" s="1"/>
  <c r="S49" i="20" s="1"/>
  <c r="T49" i="20" s="1"/>
  <c r="S41" i="8"/>
  <c r="W41" i="8" s="1"/>
  <c r="Q41" i="8" s="1"/>
  <c r="V50" i="20" s="1"/>
  <c r="W50" i="20" s="1"/>
  <c r="S46" i="8"/>
  <c r="M46" i="8" s="1"/>
  <c r="K46" i="9" s="1"/>
  <c r="G46" i="9" s="1"/>
  <c r="I44" i="9" s="1"/>
  <c r="D49" i="9" s="1"/>
  <c r="T49" i="8" s="1"/>
  <c r="N49" i="8" s="1"/>
  <c r="L49" i="9" s="1"/>
  <c r="H49" i="9" s="1"/>
  <c r="S25" i="8"/>
  <c r="M11" i="22"/>
  <c r="P81" i="22"/>
  <c r="J77" i="36" s="1"/>
  <c r="E43" i="9"/>
  <c r="V43" i="8" s="1"/>
  <c r="P43" i="8" s="1"/>
  <c r="E42" i="9"/>
  <c r="V42" i="8" s="1"/>
  <c r="P42" i="8" s="1"/>
  <c r="S14" i="8"/>
  <c r="M14" i="8" s="1"/>
  <c r="K14" i="9" s="1"/>
  <c r="G14" i="9" s="1"/>
  <c r="I10" i="9" s="1"/>
  <c r="D11" i="9" s="1"/>
  <c r="T11" i="8" s="1"/>
  <c r="E27" i="9"/>
  <c r="V27" i="8" s="1"/>
  <c r="P27" i="8" s="1"/>
  <c r="E26" i="9"/>
  <c r="V26" i="8" s="1"/>
  <c r="P26" i="8" s="1"/>
  <c r="E22" i="9"/>
  <c r="V22" i="8" s="1"/>
  <c r="P22" i="8" s="1"/>
  <c r="H10" i="27"/>
  <c r="H12" i="27" s="1"/>
  <c r="S72" i="8"/>
  <c r="E40" i="9"/>
  <c r="V40" i="8" s="1"/>
  <c r="P40" i="8" s="1"/>
  <c r="E39" i="9"/>
  <c r="V39" i="8" s="1"/>
  <c r="P39" i="8" s="1"/>
  <c r="S38" i="8"/>
  <c r="M38" i="8" s="1"/>
  <c r="K38" i="9" s="1"/>
  <c r="G38" i="9" s="1"/>
  <c r="S64" i="8"/>
  <c r="M64" i="8" s="1"/>
  <c r="K64" i="9" s="1"/>
  <c r="G64" i="9" s="1"/>
  <c r="I63" i="9" s="1"/>
  <c r="D64" i="9" s="1"/>
  <c r="T64" i="8" s="1"/>
  <c r="N64" i="8" s="1"/>
  <c r="S35" i="8"/>
  <c r="M35" i="8" s="1"/>
  <c r="K35" i="9" s="1"/>
  <c r="G35" i="9" s="1"/>
  <c r="I30" i="9" s="1"/>
  <c r="N36" i="8"/>
  <c r="L36" i="9" s="1"/>
  <c r="H36" i="9" s="1"/>
  <c r="J35" i="9" s="1"/>
  <c r="E47" i="9"/>
  <c r="V47" i="8" s="1"/>
  <c r="P47" i="8" s="1"/>
  <c r="E48" i="9"/>
  <c r="V48" i="8" s="1"/>
  <c r="P48" i="8" s="1"/>
  <c r="M76" i="8"/>
  <c r="K76" i="9" s="1"/>
  <c r="G76" i="9" s="1"/>
  <c r="W76" i="8"/>
  <c r="Q76" i="8" s="1"/>
  <c r="V60" i="20" s="1"/>
  <c r="W60" i="20" s="1"/>
  <c r="W59" i="8"/>
  <c r="Q59" i="8" s="1"/>
  <c r="S60" i="20" s="1"/>
  <c r="T60" i="20" s="1"/>
  <c r="M59" i="8"/>
  <c r="K59" i="9" s="1"/>
  <c r="G59" i="9" s="1"/>
  <c r="U39" i="20"/>
  <c r="AC39" i="20" s="1"/>
  <c r="AG40" i="20" s="1"/>
  <c r="H16" i="6"/>
  <c r="H34" i="27"/>
  <c r="H35" i="27" s="1"/>
  <c r="G34" i="27"/>
  <c r="W53" i="8"/>
  <c r="Q53" i="8" s="1"/>
  <c r="S58" i="20" s="1"/>
  <c r="T58" i="20" s="1"/>
  <c r="I13" i="22"/>
  <c r="J13" i="22"/>
  <c r="K13" i="22"/>
  <c r="I12" i="22"/>
  <c r="K12" i="22"/>
  <c r="J12" i="22"/>
  <c r="I40" i="22"/>
  <c r="M56" i="8"/>
  <c r="K56" i="9" s="1"/>
  <c r="G56" i="9" s="1"/>
  <c r="W56" i="8"/>
  <c r="Q56" i="8" s="1"/>
  <c r="S59" i="20" s="1"/>
  <c r="T59" i="20" s="1"/>
  <c r="E23" i="9" l="1"/>
  <c r="V23" i="8" s="1"/>
  <c r="P23" i="8" s="1"/>
  <c r="E24" i="9"/>
  <c r="V24" i="8" s="1"/>
  <c r="P24" i="8" s="1"/>
  <c r="M20" i="8"/>
  <c r="K20" i="9" s="1"/>
  <c r="G20" i="9" s="1"/>
  <c r="M40" i="22"/>
  <c r="W84" i="8"/>
  <c r="Q84" i="8" s="1"/>
  <c r="Y60" i="20" s="1"/>
  <c r="Z60" i="20" s="1"/>
  <c r="M81" i="8"/>
  <c r="K81" i="9" s="1"/>
  <c r="G81" i="9" s="1"/>
  <c r="M41" i="8"/>
  <c r="K41" i="9" s="1"/>
  <c r="G41" i="9" s="1"/>
  <c r="D46" i="9"/>
  <c r="T46" i="8" s="1"/>
  <c r="N46" i="8" s="1"/>
  <c r="L46" i="9" s="1"/>
  <c r="H46" i="9" s="1"/>
  <c r="D50" i="9"/>
  <c r="T50" i="8" s="1"/>
  <c r="N50" i="8" s="1"/>
  <c r="L50" i="9" s="1"/>
  <c r="H50" i="9" s="1"/>
  <c r="W46" i="8"/>
  <c r="Q46" i="8" s="1"/>
  <c r="Y49" i="20" s="1"/>
  <c r="Z49" i="20" s="1"/>
  <c r="D45" i="9"/>
  <c r="T45" i="8" s="1"/>
  <c r="N45" i="8" s="1"/>
  <c r="L45" i="9" s="1"/>
  <c r="H45" i="9" s="1"/>
  <c r="M25" i="8"/>
  <c r="K25" i="9" s="1"/>
  <c r="G25" i="9" s="1"/>
  <c r="W25" i="8"/>
  <c r="Q25" i="8" s="1"/>
  <c r="S50" i="20" s="1"/>
  <c r="T50" i="20" s="1"/>
  <c r="M12" i="22"/>
  <c r="M13" i="22"/>
  <c r="I16" i="6"/>
  <c r="I52" i="9"/>
  <c r="D53" i="9" s="1"/>
  <c r="T53" i="8" s="1"/>
  <c r="D69" i="9"/>
  <c r="T69" i="8" s="1"/>
  <c r="N69" i="8" s="1"/>
  <c r="W38" i="8"/>
  <c r="Q38" i="8" s="1"/>
  <c r="V49" i="20" s="1"/>
  <c r="W49" i="20" s="1"/>
  <c r="M72" i="8"/>
  <c r="K72" i="9" s="1"/>
  <c r="G72" i="9" s="1"/>
  <c r="W72" i="8"/>
  <c r="Q72" i="8" s="1"/>
  <c r="V59" i="20" s="1"/>
  <c r="W59" i="20" s="1"/>
  <c r="D14" i="9"/>
  <c r="T14" i="8" s="1"/>
  <c r="N14" i="8" s="1"/>
  <c r="D70" i="9"/>
  <c r="T70" i="8" s="1"/>
  <c r="N70" i="8" s="1"/>
  <c r="D71" i="9"/>
  <c r="T71" i="8" s="1"/>
  <c r="N71" i="8" s="1"/>
  <c r="D17" i="9"/>
  <c r="T17" i="8" s="1"/>
  <c r="N17" i="8" s="1"/>
  <c r="D68" i="9"/>
  <c r="T68" i="8" s="1"/>
  <c r="N68" i="8" s="1"/>
  <c r="E37" i="9"/>
  <c r="V37" i="8" s="1"/>
  <c r="P37" i="8" s="1"/>
  <c r="E36" i="9"/>
  <c r="V36" i="8" s="1"/>
  <c r="P36" i="8" s="1"/>
  <c r="D32" i="9"/>
  <c r="T32" i="8" s="1"/>
  <c r="N32" i="8" s="1"/>
  <c r="L32" i="9" s="1"/>
  <c r="H32" i="9" s="1"/>
  <c r="D35" i="9"/>
  <c r="T35" i="8" s="1"/>
  <c r="N35" i="8" s="1"/>
  <c r="L35" i="9" s="1"/>
  <c r="H35" i="9" s="1"/>
  <c r="D31" i="9"/>
  <c r="T31" i="8" s="1"/>
  <c r="D34" i="9"/>
  <c r="T34" i="8" s="1"/>
  <c r="N34" i="8" s="1"/>
  <c r="L34" i="9" s="1"/>
  <c r="H34" i="9" s="1"/>
  <c r="D33" i="9"/>
  <c r="T33" i="8" s="1"/>
  <c r="N33" i="8" s="1"/>
  <c r="L33" i="9" s="1"/>
  <c r="H33" i="9" s="1"/>
  <c r="M50" i="22"/>
  <c r="M79" i="22" s="1"/>
  <c r="I75" i="36" s="1"/>
  <c r="N11" i="8"/>
  <c r="H19" i="27"/>
  <c r="H15" i="27" s="1"/>
  <c r="K82" i="9" l="1"/>
  <c r="G82" i="9" s="1"/>
  <c r="J44" i="9"/>
  <c r="E45" i="9" s="1"/>
  <c r="V45" i="8" s="1"/>
  <c r="P45" i="8" s="1"/>
  <c r="W44" i="8"/>
  <c r="Q44" i="8" s="1"/>
  <c r="K44" i="9" s="1"/>
  <c r="G44" i="9" s="1"/>
  <c r="D56" i="9"/>
  <c r="T56" i="8" s="1"/>
  <c r="N56" i="8" s="1"/>
  <c r="M31" i="22"/>
  <c r="M78" i="22" s="1"/>
  <c r="I74" i="36" s="1"/>
  <c r="D59" i="9"/>
  <c r="T59" i="8" s="1"/>
  <c r="N59" i="8" s="1"/>
  <c r="S63" i="8"/>
  <c r="S10" i="8"/>
  <c r="M10" i="8" s="1"/>
  <c r="K10" i="9" s="1"/>
  <c r="G10" i="9" s="1"/>
  <c r="I9" i="9" s="1"/>
  <c r="N31" i="8"/>
  <c r="L31" i="9" s="1"/>
  <c r="H31" i="9" s="1"/>
  <c r="J30" i="9" s="1"/>
  <c r="S30" i="8"/>
  <c r="G17" i="6"/>
  <c r="H8" i="27"/>
  <c r="T40" i="20"/>
  <c r="N53" i="8"/>
  <c r="E49" i="9" l="1"/>
  <c r="V49" i="8" s="1"/>
  <c r="P49" i="8" s="1"/>
  <c r="W10" i="8"/>
  <c r="E50" i="9"/>
  <c r="V50" i="8" s="1"/>
  <c r="P50" i="8" s="1"/>
  <c r="E46" i="9"/>
  <c r="V46" i="8" s="1"/>
  <c r="P46" i="8" s="1"/>
  <c r="E80" i="9"/>
  <c r="V80" i="8" s="1"/>
  <c r="Z45" i="20"/>
  <c r="Y45" i="20"/>
  <c r="Z10" i="20" s="1"/>
  <c r="F17" i="6"/>
  <c r="W52" i="8"/>
  <c r="T55" i="20" s="1"/>
  <c r="M63" i="8"/>
  <c r="K63" i="9" s="1"/>
  <c r="G63" i="9" s="1"/>
  <c r="I62" i="9" s="1"/>
  <c r="W63" i="8"/>
  <c r="Q63" i="8" s="1"/>
  <c r="V58" i="20" s="1"/>
  <c r="W58" i="20" s="1"/>
  <c r="M81" i="22"/>
  <c r="I77" i="36" s="1"/>
  <c r="W30" i="8"/>
  <c r="Q30" i="8" s="1"/>
  <c r="V48" i="20" s="1"/>
  <c r="W48" i="20" s="1"/>
  <c r="M30" i="8"/>
  <c r="K30" i="9" s="1"/>
  <c r="G30" i="9" s="1"/>
  <c r="I29" i="9" s="1"/>
  <c r="H6" i="27"/>
  <c r="E32" i="9"/>
  <c r="V32" i="8" s="1"/>
  <c r="P32" i="8" s="1"/>
  <c r="E33" i="9"/>
  <c r="V33" i="8" s="1"/>
  <c r="P33" i="8" s="1"/>
  <c r="E31" i="9"/>
  <c r="V31" i="8" s="1"/>
  <c r="P31" i="8" s="1"/>
  <c r="E34" i="9"/>
  <c r="V34" i="8" s="1"/>
  <c r="P34" i="8" s="1"/>
  <c r="E35" i="9"/>
  <c r="V35" i="8" s="1"/>
  <c r="P35" i="8" s="1"/>
  <c r="S40" i="20"/>
  <c r="W42" i="20" s="1"/>
  <c r="AC42" i="20" s="1"/>
  <c r="AB42" i="20" s="1"/>
  <c r="D28" i="9"/>
  <c r="T28" i="8" s="1"/>
  <c r="N28" i="8" s="1"/>
  <c r="L28" i="9" s="1"/>
  <c r="H28" i="9" s="1"/>
  <c r="D25" i="9"/>
  <c r="T25" i="8" s="1"/>
  <c r="N25" i="8" s="1"/>
  <c r="L25" i="9" s="1"/>
  <c r="H25" i="9" s="1"/>
  <c r="D10" i="9"/>
  <c r="T10" i="8" s="1"/>
  <c r="N10" i="8" s="1"/>
  <c r="D20" i="9"/>
  <c r="T20" i="8" s="1"/>
  <c r="N20" i="8" s="1"/>
  <c r="L20" i="9" s="1"/>
  <c r="H20" i="9" s="1"/>
  <c r="Q10" i="8"/>
  <c r="S48" i="20" s="1"/>
  <c r="T48" i="20" s="1"/>
  <c r="O40" i="20"/>
  <c r="Q52" i="8" l="1"/>
  <c r="K52" i="9" s="1"/>
  <c r="G52" i="9" s="1"/>
  <c r="I78" i="36"/>
  <c r="P72" i="36" s="1"/>
  <c r="P73" i="36" s="1"/>
  <c r="I17" i="6"/>
  <c r="J17" i="6" s="1"/>
  <c r="AC40" i="20"/>
  <c r="AB40" i="20" s="1"/>
  <c r="V41" i="20"/>
  <c r="AC41" i="20" s="1"/>
  <c r="AB41" i="20" s="1"/>
  <c r="T35" i="20" s="1"/>
  <c r="D76" i="9"/>
  <c r="T76" i="8" s="1"/>
  <c r="N76" i="8" s="1"/>
  <c r="D72" i="9"/>
  <c r="T72" i="8" s="1"/>
  <c r="N72" i="8" s="1"/>
  <c r="D63" i="9"/>
  <c r="T63" i="8" s="1"/>
  <c r="N63" i="8" s="1"/>
  <c r="D30" i="9"/>
  <c r="T30" i="8" s="1"/>
  <c r="D38" i="9"/>
  <c r="T38" i="8" s="1"/>
  <c r="N38" i="8" s="1"/>
  <c r="L38" i="9" s="1"/>
  <c r="H38" i="9" s="1"/>
  <c r="D41" i="9"/>
  <c r="T41" i="8" s="1"/>
  <c r="N41" i="8" s="1"/>
  <c r="L41" i="9" s="1"/>
  <c r="H41" i="9" s="1"/>
  <c r="J9" i="9"/>
  <c r="E28" i="9" s="1"/>
  <c r="V28" i="8" s="1"/>
  <c r="P28" i="8" s="1"/>
  <c r="W9" i="8"/>
  <c r="S55" i="20" l="1"/>
  <c r="Z13" i="20" s="1"/>
  <c r="B73" i="36"/>
  <c r="T18" i="6"/>
  <c r="S35" i="20"/>
  <c r="S36" i="20" s="1"/>
  <c r="T17" i="6"/>
  <c r="AI40" i="20"/>
  <c r="AF40" i="20"/>
  <c r="X40" i="20" s="1"/>
  <c r="AG41" i="20"/>
  <c r="AH39" i="20"/>
  <c r="AI42" i="20"/>
  <c r="AF42" i="20"/>
  <c r="X42" i="20" s="1"/>
  <c r="AI41" i="20"/>
  <c r="AG42" i="20"/>
  <c r="AF41" i="20"/>
  <c r="X41" i="20" s="1"/>
  <c r="W62" i="8"/>
  <c r="N30" i="8"/>
  <c r="L30" i="9" s="1"/>
  <c r="H30" i="9" s="1"/>
  <c r="J29" i="9" s="1"/>
  <c r="W29" i="8"/>
  <c r="E20" i="9"/>
  <c r="V20" i="8" s="1"/>
  <c r="P20" i="8" s="1"/>
  <c r="E10" i="9"/>
  <c r="V10" i="8" s="1"/>
  <c r="P10" i="8" s="1"/>
  <c r="E25" i="9"/>
  <c r="V25" i="8" s="1"/>
  <c r="P25" i="8" s="1"/>
  <c r="G51" i="20"/>
  <c r="T45" i="20"/>
  <c r="Q9" i="8"/>
  <c r="M16" i="6" l="1"/>
  <c r="D8" i="6" s="1"/>
  <c r="S80" i="8" s="1"/>
  <c r="W80" i="8" s="1"/>
  <c r="Q80" i="8" s="1"/>
  <c r="Y58" i="20" s="1"/>
  <c r="Z58" i="20" s="1"/>
  <c r="W55" i="20"/>
  <c r="Q62" i="8"/>
  <c r="Q29" i="8"/>
  <c r="W45" i="20"/>
  <c r="E38" i="9"/>
  <c r="V38" i="8" s="1"/>
  <c r="P38" i="8" s="1"/>
  <c r="E30" i="9"/>
  <c r="V30" i="8" s="1"/>
  <c r="P30" i="8" s="1"/>
  <c r="E41" i="9"/>
  <c r="V41" i="8" s="1"/>
  <c r="P41" i="8" s="1"/>
  <c r="S45" i="20"/>
  <c r="K9" i="9"/>
  <c r="G9" i="9" s="1"/>
  <c r="M80" i="8" l="1"/>
  <c r="K80" i="9" s="1"/>
  <c r="G80" i="9" s="1"/>
  <c r="I79" i="9" s="1"/>
  <c r="D85" i="9" s="1"/>
  <c r="T84" i="8" s="1"/>
  <c r="N84" i="8" s="1"/>
  <c r="V55" i="20"/>
  <c r="K62" i="9"/>
  <c r="G62" i="9" s="1"/>
  <c r="K29" i="9"/>
  <c r="G29" i="9" s="1"/>
  <c r="I8" i="9" s="1"/>
  <c r="V45" i="20"/>
  <c r="G40" i="20"/>
  <c r="Z14" i="20"/>
  <c r="D80" i="9" l="1"/>
  <c r="T80" i="8" s="1"/>
  <c r="N80" i="8" s="1"/>
  <c r="D82" i="9"/>
  <c r="T81" i="8" s="1"/>
  <c r="N81" i="8" s="1"/>
  <c r="D81" i="9"/>
  <c r="K51" i="20"/>
  <c r="Z12" i="20"/>
  <c r="D29" i="9"/>
  <c r="T29" i="8" s="1"/>
  <c r="N29" i="8" s="1"/>
  <c r="D9" i="9"/>
  <c r="T9" i="8" s="1"/>
  <c r="N9" i="8" s="1"/>
  <c r="D44" i="9"/>
  <c r="T44" i="8" s="1"/>
  <c r="N44" i="8" s="1"/>
  <c r="K40" i="20"/>
  <c r="Z9" i="20"/>
  <c r="W79" i="8" l="1"/>
  <c r="Q79" i="8" s="1"/>
  <c r="K79" i="9" s="1"/>
  <c r="G79" i="9" s="1"/>
  <c r="I51" i="9" s="1"/>
  <c r="D79" i="9" s="1"/>
  <c r="T79" i="8" s="1"/>
  <c r="N79" i="8" s="1"/>
  <c r="W8" i="8"/>
  <c r="Q8" i="8" s="1"/>
  <c r="N38" i="20" s="1"/>
  <c r="Z55" i="20" l="1"/>
  <c r="Y55" i="20"/>
  <c r="Z11" i="20" s="1"/>
  <c r="D52" i="9"/>
  <c r="T52" i="8" s="1"/>
  <c r="N52" i="8" s="1"/>
  <c r="D62" i="9"/>
  <c r="T62" i="8" s="1"/>
  <c r="N62" i="8" s="1"/>
  <c r="S8" i="20"/>
  <c r="S10" i="20" s="1"/>
  <c r="T23" i="20" s="1"/>
  <c r="O51" i="20" l="1"/>
  <c r="W51" i="8"/>
  <c r="S9" i="20" s="1"/>
  <c r="S11" i="20" s="1"/>
  <c r="T22" i="20" s="1"/>
  <c r="T24" i="20" s="1"/>
  <c r="T25" i="20"/>
  <c r="U25" i="20"/>
  <c r="S12" i="20" l="1"/>
  <c r="S13" i="20" s="1"/>
  <c r="C22" i="20" s="1"/>
  <c r="Q51" i="8"/>
  <c r="N49" i="20" s="1"/>
  <c r="S24" i="20"/>
  <c r="S15" i="20" l="1"/>
  <c r="S16" i="20" s="1"/>
</calcChain>
</file>

<file path=xl/comments1.xml><?xml version="1.0" encoding="utf-8"?>
<comments xmlns="http://schemas.openxmlformats.org/spreadsheetml/2006/main">
  <authors>
    <author xml:space="preserve">日建設計 </author>
  </authors>
  <commentList>
    <comment ref="H11" authorId="0" shapeId="0">
      <text>
        <r>
          <rPr>
            <sz val="9"/>
            <color indexed="81"/>
            <rFont val="ＭＳ Ｐゴシック"/>
            <family val="3"/>
            <charset val="128"/>
          </rPr>
          <t>2010/7/29等と入力して下さい。2010年7月29日と表示されます。</t>
        </r>
      </text>
    </comment>
  </commentList>
</comments>
</file>

<file path=xl/comments2.xml><?xml version="1.0" encoding="utf-8"?>
<comments xmlns="http://schemas.openxmlformats.org/spreadsheetml/2006/main">
  <authors>
    <author xml:space="preserve">日建設計 </author>
    <author>Junko ENDO</author>
  </authors>
  <commentList>
    <comment ref="C12" authorId="0" shapeId="0">
      <text>
        <r>
          <rPr>
            <sz val="9"/>
            <color indexed="81"/>
            <rFont val="ＭＳ Ｐゴシック"/>
            <family val="3"/>
            <charset val="128"/>
          </rPr>
          <t>2003/6等と入力して下さい。2003年6月と表示されます。</t>
        </r>
      </text>
    </comment>
    <comment ref="C31" authorId="0" shapeId="0">
      <text>
        <r>
          <rPr>
            <sz val="9"/>
            <color indexed="81"/>
            <rFont val="ＭＳ Ｐゴシック"/>
            <family val="3"/>
            <charset val="128"/>
          </rPr>
          <t>2010/7/29等と入力して下さい。2010年7月29日と表示されます。</t>
        </r>
      </text>
    </comment>
    <comment ref="B33" authorId="1" shapeId="0">
      <text>
        <r>
          <rPr>
            <sz val="9"/>
            <color indexed="81"/>
            <rFont val="ＭＳ Ｐゴシック"/>
            <family val="3"/>
            <charset val="128"/>
          </rPr>
          <t>第３者による評価結果の確認などを行っている場合は記述する。</t>
        </r>
      </text>
    </comment>
    <comment ref="C33" authorId="0" shapeId="0">
      <text>
        <r>
          <rPr>
            <sz val="9"/>
            <color indexed="81"/>
            <rFont val="ＭＳ Ｐゴシック"/>
            <family val="3"/>
            <charset val="128"/>
          </rPr>
          <t>2010/7/29等と入力して下さい。2010年7月29日と表示されます。</t>
        </r>
      </text>
    </comment>
  </commentList>
</comments>
</file>

<file path=xl/sharedStrings.xml><?xml version="1.0" encoding="utf-8"?>
<sst xmlns="http://schemas.openxmlformats.org/spreadsheetml/2006/main" count="2961" uniqueCount="1353">
  <si>
    <t>■建物全体</t>
    <rPh sb="1" eb="3">
      <t>タテモノ</t>
    </rPh>
    <rPh sb="3" eb="5">
      <t>ゼンタイ</t>
    </rPh>
    <phoneticPr fontId="4"/>
  </si>
  <si>
    <t>㎡</t>
    <phoneticPr fontId="4"/>
  </si>
  <si>
    <t>重み係数＝</t>
    <rPh sb="0" eb="1">
      <t>オモ</t>
    </rPh>
    <rPh sb="2" eb="4">
      <t>ケイスウ</t>
    </rPh>
    <phoneticPr fontId="4"/>
  </si>
  <si>
    <r>
      <t>具体的な取組み</t>
    </r>
    <r>
      <rPr>
        <sz val="9"/>
        <rFont val="ＭＳ Ｐゴシック"/>
        <family val="3"/>
        <charset val="128"/>
      </rPr>
      <t>（概ね30文字）</t>
    </r>
    <rPh sb="0" eb="3">
      <t>グタイテキ</t>
    </rPh>
    <rPh sb="4" eb="6">
      <t>トリク</t>
    </rPh>
    <rPh sb="8" eb="9">
      <t>オオム</t>
    </rPh>
    <rPh sb="12" eb="14">
      <t>モジ</t>
    </rPh>
    <phoneticPr fontId="4"/>
  </si>
  <si>
    <t>ａ</t>
    <phoneticPr fontId="4"/>
  </si>
  <si>
    <t>ｂ</t>
    <phoneticPr fontId="4"/>
  </si>
  <si>
    <t>ｃ</t>
    <phoneticPr fontId="4"/>
  </si>
  <si>
    <t>ａ</t>
    <phoneticPr fontId="4"/>
  </si>
  <si>
    <t>ｂ</t>
    <phoneticPr fontId="4"/>
  </si>
  <si>
    <t>その１．
配管の増設・交換容易性</t>
    <rPh sb="11" eb="13">
      <t>コウカン</t>
    </rPh>
    <rPh sb="13" eb="16">
      <t>ヨウイセイ</t>
    </rPh>
    <phoneticPr fontId="4"/>
  </si>
  <si>
    <t>その２．
電気幹線容量計画</t>
    <phoneticPr fontId="4"/>
  </si>
  <si>
    <t>取組みなし。</t>
    <phoneticPr fontId="4"/>
  </si>
  <si>
    <t>評価する取組みのうち１つに該当する。</t>
    <phoneticPr fontId="4"/>
  </si>
  <si>
    <t>評価する取組みのうち２つ以上に該当する。</t>
    <phoneticPr fontId="4"/>
  </si>
  <si>
    <t>評価する取組み</t>
    <phoneticPr fontId="4"/>
  </si>
  <si>
    <t>評価する取組みの１～５のうち、何れか１つ以上に取組んでいる。</t>
    <phoneticPr fontId="4"/>
  </si>
  <si>
    <t>評価する取組みの１～５のうち、何れか３つ以上に取組んでいる。</t>
    <phoneticPr fontId="4"/>
  </si>
  <si>
    <t>野鳥等が隠れたり営巣したりできる空間の確保に取組んでいる。</t>
    <phoneticPr fontId="4"/>
  </si>
  <si>
    <t>野鳥等が水を飲んだり水浴びができるような水場の確保に取組んでいる。</t>
    <phoneticPr fontId="4"/>
  </si>
  <si>
    <t>分類</t>
    <rPh sb="0" eb="2">
      <t>ブンルイ</t>
    </rPh>
    <phoneticPr fontId="4"/>
  </si>
  <si>
    <t>一部</t>
    <rPh sb="0" eb="2">
      <t>イチブ</t>
    </rPh>
    <phoneticPr fontId="4"/>
  </si>
  <si>
    <t>過半</t>
    <rPh sb="0" eb="2">
      <t>カハン</t>
    </rPh>
    <phoneticPr fontId="4"/>
  </si>
  <si>
    <t>その1</t>
    <phoneticPr fontId="4"/>
  </si>
  <si>
    <t>その２</t>
    <phoneticPr fontId="4"/>
  </si>
  <si>
    <t>0.4≦評価する取組みにおける得点率（③）＜0.6</t>
    <phoneticPr fontId="4"/>
  </si>
  <si>
    <t>0.6≦評価する取組みにおける得点率（③）＜0.8</t>
    <phoneticPr fontId="4"/>
  </si>
  <si>
    <t>0.8≦評価する取組みにおける得点率（③）</t>
    <phoneticPr fontId="4"/>
  </si>
  <si>
    <t>構造躯体用部材の生産・加工段階における副産物の発生抑制、リサイクル推進に対する取組みの指示が無く、かつ実際の取組みも行われていない。</t>
    <phoneticPr fontId="4"/>
  </si>
  <si>
    <t>構造躯体用部材の生産・加工段階における副産物の発生抑制、リサイクル推進に対する取組みについて設計図書等で指示されているか、または実際の取組みが行われている。</t>
    <phoneticPr fontId="4"/>
  </si>
  <si>
    <t>生産・加工段階で副産物の発生抑制、リサイクル推進に取組んでいる構造躯体用部材以外の建材を１つあるいは２つ採用するよう設計図書等で指示されているか、実際の取組みが行われている。</t>
    <phoneticPr fontId="4"/>
  </si>
  <si>
    <t>生産・加工段階で副産物の発生抑制、リサイクル推進に取組んでいる構造躯体用部材以外の建材を３つ以上採用するよう設計図書等で指示されているか、実際の取組みが行われている。</t>
    <phoneticPr fontId="4"/>
  </si>
  <si>
    <t>施工段階における副産物の発生抑制、リサイクル推進に対する取組みの指示が無く、かつ実際の取組みも行われていない。</t>
    <phoneticPr fontId="4"/>
  </si>
  <si>
    <t>施工段階における副産物の発生抑制、リサイクル推進に対する取組みについて設計図書等で指示されているか、または実際の取組みが行われている。</t>
    <rPh sb="35" eb="37">
      <t>セッケイ</t>
    </rPh>
    <phoneticPr fontId="4"/>
  </si>
  <si>
    <t>住まい手に対して、住宅に使用されている材料のリサイクルや廃棄に対する情報提供を行っていない。</t>
    <phoneticPr fontId="4"/>
  </si>
  <si>
    <t>騒音・振動の発生源への取組み</t>
    <phoneticPr fontId="4"/>
  </si>
  <si>
    <t>排気・排熱の発生源への取組み</t>
    <phoneticPr fontId="4"/>
  </si>
  <si>
    <t>■階数</t>
    <rPh sb="1" eb="3">
      <t>カイスウ</t>
    </rPh>
    <phoneticPr fontId="4"/>
  </si>
  <si>
    <r>
      <t xml:space="preserve">■ </t>
    </r>
    <r>
      <rPr>
        <sz val="10"/>
        <rFont val="ＭＳ Ｐゴシック"/>
        <family val="3"/>
        <charset val="128"/>
      </rPr>
      <t>確認日</t>
    </r>
    <rPh sb="2" eb="4">
      <t>カクニン</t>
    </rPh>
    <rPh sb="4" eb="5">
      <t>ビ</t>
    </rPh>
    <phoneticPr fontId="4"/>
  </si>
  <si>
    <r>
      <t xml:space="preserve">■ </t>
    </r>
    <r>
      <rPr>
        <sz val="10"/>
        <rFont val="ＭＳ Ｐゴシック"/>
        <family val="3"/>
        <charset val="128"/>
      </rPr>
      <t>確認者</t>
    </r>
    <rPh sb="2" eb="4">
      <t>カクニン</t>
    </rPh>
    <rPh sb="4" eb="5">
      <t>シャ</t>
    </rPh>
    <phoneticPr fontId="4"/>
  </si>
  <si>
    <t>延床面積</t>
    <rPh sb="0" eb="1">
      <t>ﾉ</t>
    </rPh>
    <rPh sb="1" eb="4">
      <t>ﾕｶﾒﾝｾｷ</t>
    </rPh>
    <phoneticPr fontId="18" type="noConversion"/>
  </si>
  <si>
    <t>重み係数（既定）</t>
    <rPh sb="0" eb="1">
      <t>オモ</t>
    </rPh>
    <rPh sb="2" eb="4">
      <t>ケイスウ</t>
    </rPh>
    <rPh sb="5" eb="7">
      <t>キテイ</t>
    </rPh>
    <phoneticPr fontId="4"/>
  </si>
  <si>
    <t>評価する取組み</t>
    <rPh sb="0" eb="2">
      <t>ヒョウカ</t>
    </rPh>
    <rPh sb="4" eb="5">
      <t>ト</t>
    </rPh>
    <rPh sb="5" eb="6">
      <t>ク</t>
    </rPh>
    <phoneticPr fontId="4"/>
  </si>
  <si>
    <t>該当する開口部の日射侵入率を、夏期には0.30以下とでき、かつ冬期には概ね0.6以上とできる。</t>
    <phoneticPr fontId="4"/>
  </si>
  <si>
    <t>レベル３を満たさない。</t>
    <phoneticPr fontId="4"/>
  </si>
  <si>
    <t>主要な居室において、二方向に開口部がある、または一方向開口でも通風・排熱を促進する取組みがなされている。</t>
    <phoneticPr fontId="4"/>
  </si>
  <si>
    <r>
      <t>本採点項目のレベルはライフサイクルCO</t>
    </r>
    <r>
      <rPr>
        <vertAlign val="subscript"/>
        <sz val="9"/>
        <rFont val="ＭＳ Ｐゴシック"/>
        <family val="3"/>
        <charset val="128"/>
      </rPr>
      <t>2</t>
    </r>
    <r>
      <rPr>
        <sz val="9"/>
        <rFont val="ＭＳ Ｐゴシック"/>
        <family val="3"/>
        <charset val="128"/>
      </rPr>
      <t>の排出率を１～５に換算した値（小数第１位まで）で表される。
なお、レベル１、３、５は以下の排出率で定義される。
レベル１ ： ライフサイクルCO</t>
    </r>
    <r>
      <rPr>
        <vertAlign val="subscript"/>
        <sz val="9"/>
        <rFont val="ＭＳ Ｐゴシック"/>
        <family val="3"/>
        <charset val="128"/>
      </rPr>
      <t>2</t>
    </r>
    <r>
      <rPr>
        <sz val="9"/>
        <rFont val="ＭＳ Ｐゴシック"/>
        <family val="3"/>
        <charset val="128"/>
      </rPr>
      <t>排出率が、一般的な住宅（参照値）に対して１２５％以上
レベル３ ： ライフサイクルCO</t>
    </r>
    <r>
      <rPr>
        <vertAlign val="subscript"/>
        <sz val="9"/>
        <rFont val="ＭＳ Ｐゴシック"/>
        <family val="3"/>
        <charset val="128"/>
      </rPr>
      <t>2</t>
    </r>
    <r>
      <rPr>
        <sz val="9"/>
        <rFont val="ＭＳ Ｐゴシック"/>
        <family val="3"/>
        <charset val="128"/>
      </rPr>
      <t>排出率が、一般的な住宅（参照値）と同等
レベル５ ： ライフサイクルCO</t>
    </r>
    <r>
      <rPr>
        <vertAlign val="subscript"/>
        <sz val="9"/>
        <rFont val="ＭＳ Ｐゴシック"/>
        <family val="3"/>
        <charset val="128"/>
      </rPr>
      <t>2</t>
    </r>
    <r>
      <rPr>
        <sz val="9"/>
        <rFont val="ＭＳ Ｐゴシック"/>
        <family val="3"/>
        <charset val="128"/>
      </rPr>
      <t>排出率が、一般的な住宅（参照値）に対して５０％以下</t>
    </r>
    <phoneticPr fontId="4"/>
  </si>
  <si>
    <t>レベル1</t>
    <phoneticPr fontId="4"/>
  </si>
  <si>
    <t>レベル3</t>
    <phoneticPr fontId="4"/>
  </si>
  <si>
    <t>レベル5</t>
    <phoneticPr fontId="4"/>
  </si>
  <si>
    <t>主要な居室において、適切な冷房計画が行われている。</t>
    <phoneticPr fontId="4"/>
  </si>
  <si>
    <t>主要な居室において、特に配慮なし。</t>
    <phoneticPr fontId="4"/>
  </si>
  <si>
    <t>長寿命に対する基本性能</t>
  </si>
  <si>
    <t>外壁材</t>
  </si>
  <si>
    <t>&lt;備考&gt;</t>
    <rPh sb="1" eb="3">
      <t>ビコウ</t>
    </rPh>
    <phoneticPr fontId="4"/>
  </si>
  <si>
    <t>■評価ソフト：</t>
    <rPh sb="1" eb="3">
      <t>ヒョウカ</t>
    </rPh>
    <phoneticPr fontId="4"/>
  </si>
  <si>
    <t>住まい方の堤示</t>
  </si>
  <si>
    <t>1.1.1.3</t>
  </si>
  <si>
    <t>1.2.1.1</t>
  </si>
  <si>
    <t>1.3</t>
  </si>
  <si>
    <t>1.3.2</t>
  </si>
  <si>
    <t>スコアシート</t>
    <phoneticPr fontId="18" type="noConversion"/>
  </si>
  <si>
    <t>全体</t>
    <phoneticPr fontId="4"/>
  </si>
  <si>
    <t>-</t>
    <phoneticPr fontId="4"/>
  </si>
  <si>
    <t>① 建物概要</t>
    <rPh sb="2" eb="4">
      <t>タテモノ</t>
    </rPh>
    <rPh sb="4" eb="6">
      <t>ガイヨウ</t>
    </rPh>
    <phoneticPr fontId="4"/>
  </si>
  <si>
    <t>■建築面積</t>
    <rPh sb="1" eb="3">
      <t>ｹﾝﾁｸ</t>
    </rPh>
    <rPh sb="3" eb="5">
      <t>ﾒﾝｾｷ</t>
    </rPh>
    <phoneticPr fontId="18" type="noConversion"/>
  </si>
  <si>
    <t>㎡</t>
    <phoneticPr fontId="4"/>
  </si>
  <si>
    <t>集合住宅</t>
  </si>
  <si>
    <t>■延床面積</t>
    <rPh sb="1" eb="2">
      <t>ﾉ</t>
    </rPh>
    <rPh sb="2" eb="5">
      <t>ﾕｶﾒﾝｾｷ</t>
    </rPh>
    <phoneticPr fontId="18" type="noConversion"/>
  </si>
  <si>
    <t>集会所</t>
    <rPh sb="2" eb="3">
      <t>ショ</t>
    </rPh>
    <phoneticPr fontId="4"/>
  </si>
  <si>
    <t>工場</t>
    <rPh sb="0" eb="2">
      <t>コウジョウ</t>
    </rPh>
    <phoneticPr fontId="4"/>
  </si>
  <si>
    <t>合計</t>
    <rPh sb="0" eb="2">
      <t>ゴウケイ</t>
    </rPh>
    <phoneticPr fontId="4"/>
  </si>
  <si>
    <t>補正前</t>
    <rPh sb="0" eb="2">
      <t>ホセイ</t>
    </rPh>
    <rPh sb="2" eb="3">
      <t>マエ</t>
    </rPh>
    <phoneticPr fontId="4"/>
  </si>
  <si>
    <t>補正後</t>
    <rPh sb="0" eb="2">
      <t>ホセイ</t>
    </rPh>
    <rPh sb="2" eb="3">
      <t>ゴ</t>
    </rPh>
    <phoneticPr fontId="4"/>
  </si>
  <si>
    <t>色欄について、プルダウンメニューから選択、または数値・コメントを記入のこと</t>
    <rPh sb="0" eb="1">
      <t>イロ</t>
    </rPh>
    <rPh sb="1" eb="2">
      <t>ラン</t>
    </rPh>
    <rPh sb="18" eb="20">
      <t>センタク</t>
    </rPh>
    <rPh sb="24" eb="26">
      <t>スウチ</t>
    </rPh>
    <rPh sb="32" eb="34">
      <t>キニュウ</t>
    </rPh>
    <phoneticPr fontId="4"/>
  </si>
  <si>
    <t>←</t>
    <phoneticPr fontId="4"/>
  </si>
  <si>
    <t>-</t>
    <phoneticPr fontId="4"/>
  </si>
  <si>
    <t>建物用途名</t>
  </si>
  <si>
    <t>延床面積</t>
  </si>
  <si>
    <t>■建物名称</t>
    <rPh sb="1" eb="3">
      <t>ﾀﾃﾓﾉ</t>
    </rPh>
    <rPh sb="3" eb="5">
      <t>ﾒｲｼｮｳ</t>
    </rPh>
    <phoneticPr fontId="18" type="noConversion"/>
  </si>
  <si>
    <t>学校</t>
  </si>
  <si>
    <t>㎡</t>
    <phoneticPr fontId="4"/>
  </si>
  <si>
    <t>物販店</t>
  </si>
  <si>
    <t>飲食店</t>
  </si>
  <si>
    <t>周辺温熱環境の改善</t>
  </si>
  <si>
    <t>特に取り組みなし</t>
    <phoneticPr fontId="4"/>
  </si>
  <si>
    <t>No.</t>
    <phoneticPr fontId="4"/>
  </si>
  <si>
    <t>既存の自然環境の保全</t>
    <rPh sb="0" eb="2">
      <t>キソン</t>
    </rPh>
    <rPh sb="3" eb="5">
      <t>シゼン</t>
    </rPh>
    <rPh sb="5" eb="7">
      <t>カンキョウ</t>
    </rPh>
    <rPh sb="8" eb="10">
      <t>ホゼン</t>
    </rPh>
    <phoneticPr fontId="4"/>
  </si>
  <si>
    <t>ポイント</t>
    <phoneticPr fontId="4"/>
  </si>
  <si>
    <t>＜地形の保全＞
従前の地形を改変せず、保全している。</t>
    <phoneticPr fontId="4"/>
  </si>
  <si>
    <t>←セルＮ8の式の設定を「１」に変更（Ｐ8が元の式）</t>
    <rPh sb="6" eb="7">
      <t>シキ</t>
    </rPh>
    <rPh sb="8" eb="10">
      <t>セッテイ</t>
    </rPh>
    <rPh sb="15" eb="17">
      <t>ヘンコウ</t>
    </rPh>
    <rPh sb="21" eb="22">
      <t>モト</t>
    </rPh>
    <rPh sb="23" eb="24">
      <t>シキ</t>
    </rPh>
    <phoneticPr fontId="4"/>
  </si>
  <si>
    <t>＜表土の保全＞
従前の表土を概ね保全している。（従前の表土が植栽に適さないため、良質な土壌を客土した場合も含む）</t>
    <phoneticPr fontId="4"/>
  </si>
  <si>
    <t>取組み</t>
    <phoneticPr fontId="4"/>
  </si>
  <si>
    <t>評価結果表示シート</t>
    <rPh sb="0" eb="2">
      <t>ヒョウカ</t>
    </rPh>
    <rPh sb="2" eb="4">
      <t>ケッカ</t>
    </rPh>
    <rPh sb="4" eb="6">
      <t>ヒョウジ</t>
    </rPh>
    <phoneticPr fontId="4"/>
  </si>
  <si>
    <t>●結果　</t>
    <rPh sb="1" eb="3">
      <t>ケッカ</t>
    </rPh>
    <phoneticPr fontId="4"/>
  </si>
  <si>
    <t>■レベル　1</t>
    <phoneticPr fontId="4"/>
  </si>
  <si>
    <t>■レベル　2</t>
  </si>
  <si>
    <t>■レベル　3</t>
  </si>
  <si>
    <t>■レベル　4</t>
  </si>
  <si>
    <t>■レベル　5</t>
  </si>
  <si>
    <t>対象外</t>
    <rPh sb="0" eb="2">
      <t>タイショウ</t>
    </rPh>
    <rPh sb="2" eb="3">
      <t>ガイ</t>
    </rPh>
    <phoneticPr fontId="4"/>
  </si>
  <si>
    <t>プルダウン選択肢</t>
    <rPh sb="5" eb="8">
      <t>センタクシ</t>
    </rPh>
    <phoneticPr fontId="4"/>
  </si>
  <si>
    <t>ON</t>
    <phoneticPr fontId="4"/>
  </si>
  <si>
    <t>○</t>
    <phoneticPr fontId="4"/>
  </si>
  <si>
    <t>はい</t>
    <phoneticPr fontId="4"/>
  </si>
  <si>
    <t>○</t>
    <phoneticPr fontId="4"/>
  </si>
  <si>
    <t>いいえ</t>
    <phoneticPr fontId="4"/>
  </si>
  <si>
    <t>ON</t>
    <phoneticPr fontId="4"/>
  </si>
  <si>
    <t>■使用評価マニュアル：</t>
    <rPh sb="1" eb="3">
      <t>シヨウ</t>
    </rPh>
    <rPh sb="3" eb="5">
      <t>ヒョウカ</t>
    </rPh>
    <phoneticPr fontId="4"/>
  </si>
  <si>
    <t>-</t>
    <phoneticPr fontId="4"/>
  </si>
  <si>
    <t>評価しない</t>
    <rPh sb="0" eb="2">
      <t>ヒョウカ</t>
    </rPh>
    <phoneticPr fontId="4"/>
  </si>
  <si>
    <t>既定重み</t>
    <rPh sb="0" eb="2">
      <t>キテイ</t>
    </rPh>
    <rPh sb="2" eb="3">
      <t>オモ</t>
    </rPh>
    <phoneticPr fontId="4"/>
  </si>
  <si>
    <t>住居宿泊</t>
    <rPh sb="0" eb="2">
      <t>ジュウキョ</t>
    </rPh>
    <rPh sb="2" eb="4">
      <t>シュクハク</t>
    </rPh>
    <phoneticPr fontId="4"/>
  </si>
  <si>
    <t>適切な換気計画</t>
    <phoneticPr fontId="4"/>
  </si>
  <si>
    <t>その他</t>
  </si>
  <si>
    <t>採点表2</t>
    <rPh sb="0" eb="2">
      <t>サイテン</t>
    </rPh>
    <rPh sb="2" eb="3">
      <t>ヒョウ</t>
    </rPh>
    <phoneticPr fontId="4"/>
  </si>
  <si>
    <t>採点表1</t>
    <rPh sb="0" eb="2">
      <t>サイテン</t>
    </rPh>
    <rPh sb="2" eb="3">
      <t>ヒョウ</t>
    </rPh>
    <phoneticPr fontId="4"/>
  </si>
  <si>
    <t>採点表3</t>
    <rPh sb="0" eb="2">
      <t>サイテン</t>
    </rPh>
    <rPh sb="2" eb="3">
      <t>ヒョウ</t>
    </rPh>
    <phoneticPr fontId="4"/>
  </si>
  <si>
    <t>混合セメント（高炉セメント、フライアッシュセメント）またはエコセメントを用いている。</t>
    <phoneticPr fontId="4"/>
  </si>
  <si>
    <t>再生骨材またはコンクリート用スラグ骨材を用いている。</t>
    <phoneticPr fontId="4"/>
  </si>
  <si>
    <t>地盤改良材として、地盤改良用製鋼スラグを用いている。</t>
    <phoneticPr fontId="4"/>
  </si>
  <si>
    <t>background</t>
    <phoneticPr fontId="4"/>
  </si>
  <si>
    <t>仮称</t>
    <rPh sb="0" eb="2">
      <t>カショウ</t>
    </rPh>
    <phoneticPr fontId="4"/>
  </si>
  <si>
    <t>予定</t>
    <rPh sb="0" eb="2">
      <t>ヨテイ</t>
    </rPh>
    <phoneticPr fontId="4"/>
  </si>
  <si>
    <t>竣工</t>
    <rPh sb="0" eb="2">
      <t>シュンコウ</t>
    </rPh>
    <phoneticPr fontId="4"/>
  </si>
  <si>
    <t>竣工年月</t>
    <rPh sb="0" eb="2">
      <t>ｼｭﾝｺｳ</t>
    </rPh>
    <rPh sb="2" eb="3">
      <t>ﾈﾝ</t>
    </rPh>
    <rPh sb="3" eb="4">
      <t>げつ</t>
    </rPh>
    <phoneticPr fontId="18" type="noConversion"/>
  </si>
  <si>
    <t>■竣工年月 (予定/竣工)</t>
    <rPh sb="1" eb="3">
      <t>ｼｭﾝｺｳ</t>
    </rPh>
    <rPh sb="3" eb="4">
      <t>ﾈﾝ</t>
    </rPh>
    <rPh sb="4" eb="5">
      <t>げつ</t>
    </rPh>
    <rPh sb="7" eb="9">
      <t>ﾖﾃｲ</t>
    </rPh>
    <rPh sb="10" eb="12">
      <t>ｼｭﾝｺｳ</t>
    </rPh>
    <phoneticPr fontId="18" type="noConversion"/>
  </si>
  <si>
    <t>radar chart</t>
    <phoneticPr fontId="4"/>
  </si>
  <si>
    <t>Q2</t>
    <phoneticPr fontId="4"/>
  </si>
  <si>
    <t>Q3</t>
    <phoneticPr fontId="4"/>
  </si>
  <si>
    <t>LR3</t>
    <phoneticPr fontId="4"/>
  </si>
  <si>
    <t>LR2</t>
    <phoneticPr fontId="4"/>
  </si>
  <si>
    <t>LR1</t>
    <phoneticPr fontId="4"/>
  </si>
  <si>
    <t>Q1</t>
    <phoneticPr fontId="4"/>
  </si>
  <si>
    <t>Rank(red star)</t>
    <phoneticPr fontId="4"/>
  </si>
  <si>
    <t>(blank star)</t>
    <phoneticPr fontId="4"/>
  </si>
  <si>
    <t>BEE rank</t>
    <phoneticPr fontId="4"/>
  </si>
  <si>
    <t>BEE chart</t>
    <phoneticPr fontId="4"/>
  </si>
  <si>
    <t>BEE(Round)</t>
    <phoneticPr fontId="4"/>
  </si>
  <si>
    <t>Ref</t>
    <phoneticPr fontId="4"/>
  </si>
  <si>
    <t>Sum</t>
    <phoneticPr fontId="4"/>
  </si>
  <si>
    <t>％</t>
    <phoneticPr fontId="4"/>
  </si>
  <si>
    <t>LCCO2(kg-CO2/ym2)</t>
    <phoneticPr fontId="4"/>
  </si>
  <si>
    <t>建設</t>
    <rPh sb="0" eb="2">
      <t>ケンセツ</t>
    </rPh>
    <phoneticPr fontId="4"/>
  </si>
  <si>
    <t>居住</t>
    <rPh sb="0" eb="2">
      <t>キョジュウ</t>
    </rPh>
    <phoneticPr fontId="4"/>
  </si>
  <si>
    <t>地球環境に配慮する</t>
    <rPh sb="0" eb="2">
      <t>チキュウ</t>
    </rPh>
    <rPh sb="2" eb="4">
      <t>カンキョウ</t>
    </rPh>
    <rPh sb="5" eb="7">
      <t>ハイリョ</t>
    </rPh>
    <phoneticPr fontId="4"/>
  </si>
  <si>
    <t>地域環境に配慮する</t>
    <rPh sb="0" eb="2">
      <t>チイキ</t>
    </rPh>
    <rPh sb="2" eb="4">
      <t>カンキョウ</t>
    </rPh>
    <rPh sb="5" eb="7">
      <t>ハイリョ</t>
    </rPh>
    <phoneticPr fontId="4"/>
  </si>
  <si>
    <t>周辺環境に配慮する</t>
    <rPh sb="0" eb="2">
      <t>シュウヘン</t>
    </rPh>
    <rPh sb="2" eb="4">
      <t>カンキョウ</t>
    </rPh>
    <rPh sb="5" eb="7">
      <t>ハイリョ</t>
    </rPh>
    <phoneticPr fontId="4"/>
  </si>
  <si>
    <r>
      <t>1.5.1</t>
    </r>
    <r>
      <rPr>
        <b/>
        <sz val="12"/>
        <rFont val="ＭＳ Ｐゴシック"/>
        <family val="3"/>
        <charset val="128"/>
      </rPr>
      <t>　火災に耐える構造</t>
    </r>
    <phoneticPr fontId="4"/>
  </si>
  <si>
    <t>維持管理の計画・体制</t>
    <rPh sb="0" eb="2">
      <t>イジ</t>
    </rPh>
    <rPh sb="2" eb="4">
      <t>カンリ</t>
    </rPh>
    <rPh sb="5" eb="7">
      <t>ケイカク</t>
    </rPh>
    <rPh sb="8" eb="10">
      <t>タイセイ</t>
    </rPh>
    <phoneticPr fontId="4"/>
  </si>
  <si>
    <t>建築時から将来を見据えて、定期的な点検・補修等に関する計画が策定されている。</t>
    <rPh sb="0" eb="2">
      <t>ケンチク</t>
    </rPh>
    <rPh sb="2" eb="3">
      <t>ジ</t>
    </rPh>
    <rPh sb="5" eb="7">
      <t>ショウライ</t>
    </rPh>
    <rPh sb="8" eb="10">
      <t>ミス</t>
    </rPh>
    <rPh sb="13" eb="16">
      <t>テイキテキ</t>
    </rPh>
    <rPh sb="17" eb="19">
      <t>テンケン</t>
    </rPh>
    <rPh sb="20" eb="22">
      <t>ホシュウ</t>
    </rPh>
    <rPh sb="22" eb="23">
      <t>ナド</t>
    </rPh>
    <rPh sb="24" eb="25">
      <t>カン</t>
    </rPh>
    <rPh sb="27" eb="29">
      <t>ケイカク</t>
    </rPh>
    <rPh sb="30" eb="32">
      <t>サクテイ</t>
    </rPh>
    <phoneticPr fontId="4"/>
  </si>
  <si>
    <t>周辺のまちなみや景観に対して配慮されておらず、まちなみや景観から突出し、調和していない。</t>
    <phoneticPr fontId="4"/>
  </si>
  <si>
    <t>評価する取組み１を行っている。または評価する取組み２の①～⑤のいずれか３つを行っている。</t>
    <phoneticPr fontId="4"/>
  </si>
  <si>
    <t>近隣のまちなみとの調和</t>
    <rPh sb="0" eb="2">
      <t>キンリン</t>
    </rPh>
    <rPh sb="9" eb="11">
      <t>チョウワ</t>
    </rPh>
    <phoneticPr fontId="4"/>
  </si>
  <si>
    <t>良好な景観形成への積極的な配慮</t>
    <rPh sb="0" eb="2">
      <t>リョウコウ</t>
    </rPh>
    <rPh sb="3" eb="5">
      <t>ケイカン</t>
    </rPh>
    <rPh sb="5" eb="7">
      <t>ケイセイ</t>
    </rPh>
    <rPh sb="9" eb="12">
      <t>セッキョクテキ</t>
    </rPh>
    <rPh sb="13" eb="15">
      <t>ハイリョ</t>
    </rPh>
    <phoneticPr fontId="4"/>
  </si>
  <si>
    <t>以下の全ての要素が、近隣の住宅や街区のまちなみから突出せず、連続或いは調和させている。
・住宅本体の配置（特に前面道路との関係）
・住宅本体の高さ・屋根形状
・住宅本体の外壁・屋根の色彩
・接道部の塀・垣、緑
・その他、カーポート、屋外設備、物置などの配置、色、形状</t>
    <rPh sb="3" eb="4">
      <t>スベ</t>
    </rPh>
    <rPh sb="6" eb="8">
      <t>ヨウソ</t>
    </rPh>
    <rPh sb="16" eb="18">
      <t>ガイク</t>
    </rPh>
    <phoneticPr fontId="4"/>
  </si>
  <si>
    <t>住宅本体の配置や高さ・屋根形状などについて、場所に応じた工夫が行われている。</t>
    <rPh sb="0" eb="2">
      <t>ジュウタク</t>
    </rPh>
    <rPh sb="2" eb="4">
      <t>ホンタイ</t>
    </rPh>
    <rPh sb="5" eb="7">
      <t>ハイチ</t>
    </rPh>
    <rPh sb="8" eb="9">
      <t>タカ</t>
    </rPh>
    <rPh sb="11" eb="13">
      <t>ヤネ</t>
    </rPh>
    <rPh sb="13" eb="15">
      <t>ケイジョウ</t>
    </rPh>
    <rPh sb="22" eb="24">
      <t>バショ</t>
    </rPh>
    <rPh sb="25" eb="26">
      <t>オウ</t>
    </rPh>
    <rPh sb="28" eb="30">
      <t>クフウ</t>
    </rPh>
    <rPh sb="31" eb="32">
      <t>オコナ</t>
    </rPh>
    <phoneticPr fontId="4"/>
  </si>
  <si>
    <t>住宅本体の外壁や屋根の色彩、窓の形状や配置などについて、場所に応じた工夫が行われている。</t>
    <rPh sb="0" eb="2">
      <t>ジュウタク</t>
    </rPh>
    <rPh sb="2" eb="4">
      <t>ホンタイ</t>
    </rPh>
    <rPh sb="5" eb="7">
      <t>ガイヘキ</t>
    </rPh>
    <rPh sb="8" eb="10">
      <t>ヤネ</t>
    </rPh>
    <rPh sb="11" eb="13">
      <t>シキサイ</t>
    </rPh>
    <rPh sb="14" eb="15">
      <t>マド</t>
    </rPh>
    <rPh sb="16" eb="18">
      <t>ケイジョウ</t>
    </rPh>
    <rPh sb="19" eb="21">
      <t>ハイチ</t>
    </rPh>
    <rPh sb="28" eb="30">
      <t>バショ</t>
    </rPh>
    <rPh sb="31" eb="32">
      <t>オウ</t>
    </rPh>
    <rPh sb="34" eb="36">
      <t>クフウ</t>
    </rPh>
    <rPh sb="37" eb="38">
      <t>オコナ</t>
    </rPh>
    <phoneticPr fontId="4"/>
  </si>
  <si>
    <t>庭のつくり方や植栽の樹種、配置などについて工夫が行われ、良好な景観形成に寄与している。</t>
    <rPh sb="21" eb="23">
      <t>クフウ</t>
    </rPh>
    <rPh sb="24" eb="25">
      <t>オコナ</t>
    </rPh>
    <rPh sb="28" eb="30">
      <t>リョウコウ</t>
    </rPh>
    <rPh sb="31" eb="33">
      <t>ケイカン</t>
    </rPh>
    <rPh sb="33" eb="35">
      <t>ケイセイ</t>
    </rPh>
    <rPh sb="36" eb="38">
      <t>キヨ</t>
    </rPh>
    <phoneticPr fontId="4"/>
  </si>
  <si>
    <t>接道部について、照明・ファニチュア・塀・垣など道や通りを演出する工夫が行われている。</t>
    <rPh sb="0" eb="1">
      <t>セツ</t>
    </rPh>
    <rPh sb="1" eb="2">
      <t>ドウ</t>
    </rPh>
    <rPh sb="2" eb="3">
      <t>ブ</t>
    </rPh>
    <rPh sb="32" eb="34">
      <t>クフウ</t>
    </rPh>
    <rPh sb="35" eb="36">
      <t>オコナ</t>
    </rPh>
    <phoneticPr fontId="4"/>
  </si>
  <si>
    <t>外構に設置する設備機器やゴミ収集設備などを、ルーバーや植栽などで目立たない工夫がされている。</t>
    <rPh sb="0" eb="1">
      <t>ガイ</t>
    </rPh>
    <rPh sb="1" eb="2">
      <t>コウ</t>
    </rPh>
    <rPh sb="3" eb="5">
      <t>セッチ</t>
    </rPh>
    <rPh sb="7" eb="9">
      <t>セツビ</t>
    </rPh>
    <phoneticPr fontId="4"/>
  </si>
  <si>
    <t>見通しの確保</t>
    <phoneticPr fontId="4"/>
  </si>
  <si>
    <t>防犯性の
向上</t>
    <rPh sb="0" eb="3">
      <t>ボウハンセイ</t>
    </rPh>
    <rPh sb="5" eb="7">
      <t>コウジョウ</t>
    </rPh>
    <phoneticPr fontId="4"/>
  </si>
  <si>
    <t>上記以外の地域インフラの負荷抑制に努めている。</t>
    <phoneticPr fontId="4"/>
  </si>
  <si>
    <t>◆戸建標準計算に用いる排出係数</t>
    <phoneticPr fontId="4"/>
  </si>
  <si>
    <t>事業者名</t>
    <phoneticPr fontId="4"/>
  </si>
  <si>
    <t>実排出係数</t>
    <phoneticPr fontId="4"/>
  </si>
  <si>
    <t>（参考）調整後排出係数（「戸建独自計算」で使用可能）</t>
    <phoneticPr fontId="4"/>
  </si>
  <si>
    <t>調整後排出係数</t>
    <phoneticPr fontId="4"/>
  </si>
  <si>
    <t>その他</t>
    <phoneticPr fontId="4"/>
  </si>
  <si>
    <t>(2) 上記以外の排出係数</t>
    <phoneticPr fontId="4"/>
  </si>
  <si>
    <t>その他/事業社名、根拠等</t>
    <phoneticPr fontId="4"/>
  </si>
  <si>
    <t>↑</t>
    <phoneticPr fontId="4"/>
  </si>
  <si>
    <t>「メイン」シートの「電力会社等」で「その他」を選択した場合は必ず入力する。</t>
    <phoneticPr fontId="4"/>
  </si>
  <si>
    <t>注）</t>
    <phoneticPr fontId="4"/>
  </si>
  <si>
    <t>が「戸建標準計算」で用いられる値</t>
    <phoneticPr fontId="4"/>
  </si>
  <si>
    <t>既存の自然環境・自然資源の保全について、一部配慮されているがレベル４を満たさない。</t>
    <rPh sb="20" eb="22">
      <t>イチブ</t>
    </rPh>
    <rPh sb="35" eb="36">
      <t>ミ</t>
    </rPh>
    <phoneticPr fontId="4"/>
  </si>
  <si>
    <t>既存の自然環境・自然資源の保全について、標準的な配慮や取組みを行っている（ポイント３以上）</t>
    <phoneticPr fontId="4"/>
  </si>
  <si>
    <t>既存の自然環境をほとんど改変せず、積極的に保全に努めている（ポイント５以上）</t>
    <phoneticPr fontId="4"/>
  </si>
  <si>
    <t>評価する取り組み１～４のうち、何れか１つに取組んでいる</t>
    <rPh sb="15" eb="16">
      <t>イズ</t>
    </rPh>
    <phoneticPr fontId="4"/>
  </si>
  <si>
    <t>評価する取り組み１～４のうち、何れか２つ以上に取組んでいる</t>
    <rPh sb="20" eb="22">
      <t>イジョウ</t>
    </rPh>
    <phoneticPr fontId="4"/>
  </si>
  <si>
    <t>敷地周辺への風通しに配慮する</t>
    <phoneticPr fontId="4"/>
  </si>
  <si>
    <t>敷地内の避難ルート・消火活動空間の確保</t>
    <rPh sb="0" eb="2">
      <t>シキチ</t>
    </rPh>
    <rPh sb="2" eb="3">
      <t>ナイ</t>
    </rPh>
    <rPh sb="4" eb="6">
      <t>ヒナン</t>
    </rPh>
    <rPh sb="10" eb="12">
      <t>ショウカ</t>
    </rPh>
    <rPh sb="12" eb="14">
      <t>カツドウ</t>
    </rPh>
    <rPh sb="14" eb="16">
      <t>クウカン</t>
    </rPh>
    <rPh sb="17" eb="19">
      <t>カクホ</t>
    </rPh>
    <phoneticPr fontId="4"/>
  </si>
  <si>
    <t>地域の避難路の確保</t>
    <rPh sb="0" eb="2">
      <t>チイキ</t>
    </rPh>
    <rPh sb="3" eb="6">
      <t>ヒナンロ</t>
    </rPh>
    <rPh sb="7" eb="9">
      <t>カクホ</t>
    </rPh>
    <phoneticPr fontId="4"/>
  </si>
  <si>
    <t>自住戸や隣接住戸への侵入の足掛かりを作らない配慮</t>
    <rPh sb="0" eb="3">
      <t>ジジュウコ</t>
    </rPh>
    <rPh sb="4" eb="6">
      <t>リンセツ</t>
    </rPh>
    <rPh sb="6" eb="8">
      <t>ジュウコ</t>
    </rPh>
    <rPh sb="10" eb="12">
      <t>シンニュウ</t>
    </rPh>
    <rPh sb="13" eb="15">
      <t>アシガ</t>
    </rPh>
    <rPh sb="18" eb="19">
      <t>ツク</t>
    </rPh>
    <rPh sb="22" eb="24">
      <t>ハイリョ</t>
    </rPh>
    <phoneticPr fontId="4"/>
  </si>
  <si>
    <t>＜既存樹木の保全（高木）＞
①従前生えていた高木（樹高4m以上）を保全している。</t>
    <phoneticPr fontId="4"/>
  </si>
  <si>
    <t>＜既存樹木の保全（低・中木）＞
②従前生えていた低・中木（樹高0.3m以上4m未満）を保全している。</t>
    <rPh sb="11" eb="12">
      <t>チュウ</t>
    </rPh>
    <rPh sb="26" eb="27">
      <t>チュウ</t>
    </rPh>
    <rPh sb="35" eb="37">
      <t>イジョウ</t>
    </rPh>
    <phoneticPr fontId="4"/>
  </si>
  <si>
    <t>＜地域の自生種の採用（高木）＞
新植する高木に地域の自生種を採用している。</t>
    <rPh sb="1" eb="3">
      <t>チイキ</t>
    </rPh>
    <rPh sb="4" eb="6">
      <t>ジセイ</t>
    </rPh>
    <rPh sb="23" eb="25">
      <t>チイキ</t>
    </rPh>
    <rPh sb="26" eb="28">
      <t>ジセイ</t>
    </rPh>
    <rPh sb="28" eb="29">
      <t>シュ</t>
    </rPh>
    <rPh sb="30" eb="32">
      <t>サイヨウ</t>
    </rPh>
    <phoneticPr fontId="4"/>
  </si>
  <si>
    <t>＜地域の自生種の採用（低・中木）＞
新植する低・中木に地域の自生種を採用している。</t>
    <rPh sb="1" eb="3">
      <t>チイキ</t>
    </rPh>
    <rPh sb="4" eb="6">
      <t>ジセイ</t>
    </rPh>
    <rPh sb="6" eb="7">
      <t>シュ</t>
    </rPh>
    <rPh sb="11" eb="12">
      <t>テイ</t>
    </rPh>
    <rPh sb="13" eb="14">
      <t>チュウ</t>
    </rPh>
    <rPh sb="24" eb="25">
      <t>チュウ</t>
    </rPh>
    <rPh sb="27" eb="29">
      <t>チイキ</t>
    </rPh>
    <rPh sb="30" eb="32">
      <t>ジセイ</t>
    </rPh>
    <rPh sb="32" eb="33">
      <t>シュ</t>
    </rPh>
    <rPh sb="34" eb="36">
      <t>サイヨウ</t>
    </rPh>
    <phoneticPr fontId="4"/>
  </si>
  <si>
    <t>エアコン室外機や給湯設備など、屋外に設置される設備機器の騒音・振動源について、
・敷地境界における騒音値を40dB(A)以下としていること。
・機器と基礎を分離するための防振ゴムの挿入、共鳴等を防止するための配管支持固定を完全に行うなどの措置をとっていること。</t>
    <phoneticPr fontId="4"/>
  </si>
  <si>
    <t>事業者名</t>
  </si>
  <si>
    <t>北海道電力株式会社</t>
  </si>
  <si>
    <t>東北電力株式会社</t>
  </si>
  <si>
    <t>中部電力株式会社</t>
  </si>
  <si>
    <t>北陸電力株式会社</t>
  </si>
  <si>
    <t>関西電力株式会社</t>
  </si>
  <si>
    <t>中国電力株式会社</t>
  </si>
  <si>
    <t>四国電力株式会社</t>
  </si>
  <si>
    <t>九州電力株式会社</t>
  </si>
  <si>
    <t>沖縄電力株式会社</t>
  </si>
  <si>
    <t>N.A.</t>
    <phoneticPr fontId="4"/>
  </si>
  <si>
    <t>N.A.</t>
    <phoneticPr fontId="4"/>
  </si>
  <si>
    <r>
      <t xml:space="preserve">Q1 </t>
    </r>
    <r>
      <rPr>
        <b/>
        <sz val="11"/>
        <color indexed="9"/>
        <rFont val="ＭＳ Ｐゴシック"/>
        <family val="3"/>
        <charset val="128"/>
      </rPr>
      <t>室内環境を快適・健康・安心にする</t>
    </r>
    <phoneticPr fontId="4"/>
  </si>
  <si>
    <r>
      <t xml:space="preserve">Q2 </t>
    </r>
    <r>
      <rPr>
        <b/>
        <sz val="11"/>
        <color indexed="9"/>
        <rFont val="ＭＳ Ｐゴシック"/>
        <family val="3"/>
        <charset val="128"/>
      </rPr>
      <t>長く使い続ける</t>
    </r>
    <phoneticPr fontId="4"/>
  </si>
  <si>
    <r>
      <t xml:space="preserve">Q3 </t>
    </r>
    <r>
      <rPr>
        <b/>
        <sz val="11"/>
        <color indexed="9"/>
        <rFont val="ＭＳ Ｐゴシック"/>
        <family val="3"/>
        <charset val="128"/>
      </rPr>
      <t>まちなみ・生態系を豊かにする</t>
    </r>
    <phoneticPr fontId="4"/>
  </si>
  <si>
    <r>
      <t xml:space="preserve">LR1 </t>
    </r>
    <r>
      <rPr>
        <b/>
        <sz val="11"/>
        <color indexed="9"/>
        <rFont val="ＭＳ Ｐゴシック"/>
        <family val="3"/>
        <charset val="128"/>
      </rPr>
      <t>エネルギーと水を大切に使う</t>
    </r>
    <phoneticPr fontId="4"/>
  </si>
  <si>
    <r>
      <t xml:space="preserve">LR2 </t>
    </r>
    <r>
      <rPr>
        <b/>
        <sz val="11"/>
        <color indexed="9"/>
        <rFont val="ＭＳ Ｐゴシック"/>
        <family val="3"/>
        <charset val="128"/>
      </rPr>
      <t>資源を大切に使いゴミを減らす</t>
    </r>
    <phoneticPr fontId="4"/>
  </si>
  <si>
    <r>
      <t xml:space="preserve">LR3 </t>
    </r>
    <r>
      <rPr>
        <b/>
        <sz val="11"/>
        <color indexed="9"/>
        <rFont val="ＭＳ Ｐゴシック"/>
        <family val="3"/>
        <charset val="128"/>
      </rPr>
      <t>地球・地域・周辺環境に配慮する</t>
    </r>
    <rPh sb="4" eb="6">
      <t>チキュウ</t>
    </rPh>
    <rPh sb="10" eb="12">
      <t>シュウヘン</t>
    </rPh>
    <rPh sb="12" eb="14">
      <t>カンキョウ</t>
    </rPh>
    <phoneticPr fontId="4"/>
  </si>
  <si>
    <t>バージョン</t>
    <phoneticPr fontId="4"/>
  </si>
  <si>
    <t>仕様等の確定状況</t>
    <rPh sb="0" eb="2">
      <t>シヨウ</t>
    </rPh>
    <rPh sb="2" eb="3">
      <t>トウ</t>
    </rPh>
    <phoneticPr fontId="4"/>
  </si>
  <si>
    <t>延面積比率</t>
    <rPh sb="0" eb="1">
      <t>ノ</t>
    </rPh>
    <rPh sb="1" eb="3">
      <t>メンセキ</t>
    </rPh>
    <rPh sb="3" eb="5">
      <t>ヒリツ</t>
    </rPh>
    <phoneticPr fontId="4"/>
  </si>
  <si>
    <t>延べ面積　＜　４０㎡</t>
    <phoneticPr fontId="4"/>
  </si>
  <si>
    <t>＜入居者数　2人＞</t>
  </si>
  <si>
    <t>延べ面積　＜　３０㎡</t>
    <phoneticPr fontId="4"/>
  </si>
  <si>
    <t>７５㎡≦　延べ面積</t>
    <phoneticPr fontId="4"/>
  </si>
  <si>
    <t>＜入居者数　1人＞</t>
    <phoneticPr fontId="4"/>
  </si>
  <si>
    <t>延べ面積　＜　２５㎡</t>
    <phoneticPr fontId="4"/>
  </si>
  <si>
    <t>建物名称</t>
    <rPh sb="0" eb="2">
      <t>ﾀﾃﾓﾉ</t>
    </rPh>
    <rPh sb="2" eb="4">
      <t>ﾒｲｼｮｳ</t>
    </rPh>
    <phoneticPr fontId="18" type="noConversion"/>
  </si>
  <si>
    <r>
      <t>2-4</t>
    </r>
    <r>
      <rPr>
        <b/>
        <sz val="12"/>
        <color indexed="9"/>
        <rFont val="ＭＳ Ｐゴシック"/>
        <family val="3"/>
        <charset val="128"/>
      </rPr>
      <t>　中項目の評価（バーチャート）</t>
    </r>
    <phoneticPr fontId="4"/>
  </si>
  <si>
    <t>2.1.3</t>
  </si>
  <si>
    <t>2.1.4</t>
  </si>
  <si>
    <t>住居・宿泊</t>
    <rPh sb="0" eb="2">
      <t>ジュウキョ</t>
    </rPh>
    <rPh sb="3" eb="5">
      <t>シュクハク</t>
    </rPh>
    <phoneticPr fontId="4"/>
  </si>
  <si>
    <t>補正前計</t>
    <rPh sb="0" eb="2">
      <t>ホセイ</t>
    </rPh>
    <rPh sb="2" eb="3">
      <t>マエ</t>
    </rPh>
    <rPh sb="3" eb="4">
      <t>ケイ</t>
    </rPh>
    <phoneticPr fontId="4"/>
  </si>
  <si>
    <t>Q</t>
    <phoneticPr fontId="4"/>
  </si>
  <si>
    <t>■敷地面積</t>
    <rPh sb="1" eb="3">
      <t>ｼｷﾁ</t>
    </rPh>
    <rPh sb="3" eb="5">
      <t>ﾒﾝｾｷ</t>
    </rPh>
    <phoneticPr fontId="18" type="noConversion"/>
  </si>
  <si>
    <t>㎡</t>
    <phoneticPr fontId="4"/>
  </si>
  <si>
    <t>建設地</t>
    <rPh sb="0" eb="3">
      <t>ｹﾝｾﾂﾁ</t>
    </rPh>
    <phoneticPr fontId="18" type="noConversion"/>
  </si>
  <si>
    <t>躯体</t>
  </si>
  <si>
    <r>
      <t>Q-1</t>
    </r>
    <r>
      <rPr>
        <sz val="11"/>
        <rFont val="ＭＳ Ｐゴシック"/>
        <family val="3"/>
        <charset val="128"/>
      </rPr>
      <t>　室内環境</t>
    </r>
    <rPh sb="4" eb="6">
      <t>シツナイ</t>
    </rPh>
    <rPh sb="6" eb="8">
      <t>カンキョウ</t>
    </rPh>
    <phoneticPr fontId="4"/>
  </si>
  <si>
    <t>ホテル</t>
    <phoneticPr fontId="4"/>
  </si>
  <si>
    <t>2) 個別用途入力</t>
    <rPh sb="3" eb="5">
      <t>コベツ</t>
    </rPh>
    <rPh sb="5" eb="7">
      <t>ヨウト</t>
    </rPh>
    <rPh sb="7" eb="9">
      <t>ニュウリョク</t>
    </rPh>
    <phoneticPr fontId="4"/>
  </si>
  <si>
    <t>日本住宅性能表示基準「6-1ホルムアルデヒド対策（内装及び天井裏等）」における等級１を満たしている。</t>
    <phoneticPr fontId="4"/>
  </si>
  <si>
    <t>日本住宅性能表示基準「6-1ホルムアルデヒド対策（内装及び天井裏等）」における等級２を満たしている。</t>
    <phoneticPr fontId="4"/>
  </si>
  <si>
    <t>日本住宅性能表示基準「6-1ホルムアルデヒド対策（内装及び天井裏等）」における等級３を満たしている。</t>
    <phoneticPr fontId="4"/>
  </si>
  <si>
    <t>std</t>
    <phoneticPr fontId="4"/>
  </si>
  <si>
    <t>台所、便所、浴室で発生する汚染物質に対して、換気等の適切な処理計画がなされている。</t>
    <phoneticPr fontId="4"/>
  </si>
  <si>
    <t>レベル３</t>
    <phoneticPr fontId="4"/>
  </si>
  <si>
    <r>
      <t>Q</t>
    </r>
    <r>
      <rPr>
        <b/>
        <i/>
        <sz val="14"/>
        <color indexed="9"/>
        <rFont val="ＭＳ Ｐゴシック"/>
        <family val="3"/>
        <charset val="128"/>
      </rPr>
      <t>のスコア</t>
    </r>
    <r>
      <rPr>
        <b/>
        <i/>
        <sz val="14"/>
        <color indexed="9"/>
        <rFont val="Arial"/>
        <family val="2"/>
      </rPr>
      <t>=</t>
    </r>
    <phoneticPr fontId="4"/>
  </si>
  <si>
    <r>
      <t>LR</t>
    </r>
    <r>
      <rPr>
        <b/>
        <i/>
        <sz val="14"/>
        <color indexed="9"/>
        <rFont val="ＭＳ Ｐゴシック"/>
        <family val="3"/>
        <charset val="128"/>
      </rPr>
      <t>のスコア</t>
    </r>
    <r>
      <rPr>
        <b/>
        <i/>
        <sz val="14"/>
        <color indexed="9"/>
        <rFont val="Arial"/>
        <family val="2"/>
      </rPr>
      <t>=</t>
    </r>
    <phoneticPr fontId="4"/>
  </si>
  <si>
    <r>
      <t>Q</t>
    </r>
    <r>
      <rPr>
        <b/>
        <sz val="11"/>
        <color indexed="43"/>
        <rFont val="ＭＳ Ｐゴシック"/>
        <family val="3"/>
        <charset val="128"/>
      </rPr>
      <t>　環境品質</t>
    </r>
    <rPh sb="2" eb="4">
      <t>カンキョウ</t>
    </rPh>
    <rPh sb="4" eb="6">
      <t>ヒンシツ</t>
    </rPh>
    <phoneticPr fontId="4"/>
  </si>
  <si>
    <r>
      <t>LR</t>
    </r>
    <r>
      <rPr>
        <b/>
        <sz val="11"/>
        <color indexed="42"/>
        <rFont val="ＭＳ Ｐゴシック"/>
        <family val="3"/>
        <charset val="128"/>
      </rPr>
      <t>　環境負荷低減性</t>
    </r>
    <phoneticPr fontId="4"/>
  </si>
  <si>
    <r>
      <t>Q</t>
    </r>
    <r>
      <rPr>
        <b/>
        <sz val="11"/>
        <rFont val="Arial"/>
        <family val="2"/>
      </rPr>
      <t xml:space="preserve">1 </t>
    </r>
    <r>
      <rPr>
        <b/>
        <sz val="11"/>
        <rFont val="ＭＳ Ｐゴシック"/>
        <family val="3"/>
        <charset val="128"/>
      </rPr>
      <t>室内環境を快適・健康・安心にする</t>
    </r>
    <phoneticPr fontId="4"/>
  </si>
  <si>
    <r>
      <t xml:space="preserve">  Q</t>
    </r>
    <r>
      <rPr>
        <b/>
        <sz val="11"/>
        <rFont val="Arial"/>
        <family val="2"/>
      </rPr>
      <t xml:space="preserve">2 </t>
    </r>
    <r>
      <rPr>
        <b/>
        <sz val="11"/>
        <rFont val="ＭＳ Ｐゴシック"/>
        <family val="3"/>
        <charset val="128"/>
      </rPr>
      <t>長く使い続ける</t>
    </r>
    <rPh sb="5" eb="6">
      <t>ナガ</t>
    </rPh>
    <rPh sb="7" eb="8">
      <t>ツカ</t>
    </rPh>
    <rPh sb="9" eb="10">
      <t>ツヅ</t>
    </rPh>
    <phoneticPr fontId="4"/>
  </si>
  <si>
    <r>
      <t>Q</t>
    </r>
    <r>
      <rPr>
        <b/>
        <sz val="11"/>
        <rFont val="Arial"/>
        <family val="2"/>
      </rPr>
      <t xml:space="preserve">3 </t>
    </r>
    <r>
      <rPr>
        <b/>
        <sz val="11"/>
        <rFont val="ＭＳ Ｐゴシック"/>
        <family val="3"/>
        <charset val="128"/>
      </rPr>
      <t>まちなみ・生態系を豊かにする</t>
    </r>
    <rPh sb="8" eb="11">
      <t>セイタイケイ</t>
    </rPh>
    <rPh sb="12" eb="13">
      <t>ユタ</t>
    </rPh>
    <phoneticPr fontId="4"/>
  </si>
  <si>
    <r>
      <t xml:space="preserve">   LR</t>
    </r>
    <r>
      <rPr>
        <b/>
        <sz val="11"/>
        <rFont val="Arial"/>
        <family val="2"/>
      </rPr>
      <t xml:space="preserve">2 </t>
    </r>
    <r>
      <rPr>
        <b/>
        <sz val="11"/>
        <rFont val="ＭＳ Ｐゴシック"/>
        <family val="3"/>
        <charset val="128"/>
      </rPr>
      <t>資源を大切に使いゴミを減らす</t>
    </r>
    <rPh sb="7" eb="9">
      <t>シゲン</t>
    </rPh>
    <rPh sb="10" eb="12">
      <t>タイセツ</t>
    </rPh>
    <rPh sb="13" eb="14">
      <t>ツカ</t>
    </rPh>
    <rPh sb="18" eb="19">
      <t>ヘ</t>
    </rPh>
    <phoneticPr fontId="4"/>
  </si>
  <si>
    <r>
      <t>LR</t>
    </r>
    <r>
      <rPr>
        <b/>
        <sz val="11"/>
        <rFont val="Arial"/>
        <family val="2"/>
      </rPr>
      <t xml:space="preserve">1 </t>
    </r>
    <r>
      <rPr>
        <b/>
        <sz val="11"/>
        <rFont val="ＭＳ Ｐゴシック"/>
        <family val="3"/>
        <charset val="128"/>
      </rPr>
      <t>エネルギーと水を大切に使う</t>
    </r>
    <rPh sb="10" eb="11">
      <t>ミズ</t>
    </rPh>
    <rPh sb="12" eb="14">
      <t>タイセツ</t>
    </rPh>
    <rPh sb="15" eb="16">
      <t>ツカ</t>
    </rPh>
    <phoneticPr fontId="4"/>
  </si>
  <si>
    <t>③ 評価の実施</t>
    <rPh sb="2" eb="4">
      <t>ヒョウカ</t>
    </rPh>
    <rPh sb="5" eb="7">
      <t>ジッシ</t>
    </rPh>
    <phoneticPr fontId="4"/>
  </si>
  <si>
    <t>2）各シートの表示</t>
    <rPh sb="2" eb="3">
      <t>カク</t>
    </rPh>
    <rPh sb="7" eb="9">
      <t>ヒョウジ</t>
    </rPh>
    <phoneticPr fontId="4"/>
  </si>
  <si>
    <t>地球・地域・周辺環境に配慮する</t>
    <rPh sb="0" eb="2">
      <t>チキュウ</t>
    </rPh>
    <rPh sb="3" eb="5">
      <t>チイキ</t>
    </rPh>
    <rPh sb="6" eb="8">
      <t>シュウヘン</t>
    </rPh>
    <rPh sb="11" eb="13">
      <t>ハイリョ</t>
    </rPh>
    <phoneticPr fontId="4"/>
  </si>
  <si>
    <t xml:space="preserve"> 地球・地域・周辺環境に配慮する</t>
    <rPh sb="1" eb="3">
      <t>チキュウ</t>
    </rPh>
    <rPh sb="7" eb="9">
      <t>シュウヘン</t>
    </rPh>
    <phoneticPr fontId="4"/>
  </si>
  <si>
    <t>地球・地域・
周辺環境に
配慮する</t>
    <rPh sb="0" eb="2">
      <t>チキュウ</t>
    </rPh>
    <rPh sb="3" eb="5">
      <t>チイキ</t>
    </rPh>
    <rPh sb="7" eb="9">
      <t>シュウヘン</t>
    </rPh>
    <rPh sb="9" eb="11">
      <t>カンキョウ</t>
    </rPh>
    <rPh sb="13" eb="15">
      <t>ハイリョ</t>
    </rPh>
    <phoneticPr fontId="4"/>
  </si>
  <si>
    <r>
      <t xml:space="preserve">LR3 </t>
    </r>
    <r>
      <rPr>
        <b/>
        <sz val="11"/>
        <rFont val="ＭＳ Ｐゴシック"/>
        <family val="3"/>
        <charset val="128"/>
      </rPr>
      <t>地球・地域・周辺環境に配慮する</t>
    </r>
    <rPh sb="4" eb="6">
      <t>チキュウ</t>
    </rPh>
    <rPh sb="7" eb="9">
      <t>チイキ</t>
    </rPh>
    <rPh sb="10" eb="12">
      <t>シュウヘン</t>
    </rPh>
    <rPh sb="12" eb="14">
      <t>カンキョウ</t>
    </rPh>
    <rPh sb="15" eb="17">
      <t>ハイリョ</t>
    </rPh>
    <phoneticPr fontId="4"/>
  </si>
  <si>
    <t>LR-3 地球・地域・周辺環境に配慮する</t>
    <rPh sb="5" eb="7">
      <t>チキュウ</t>
    </rPh>
    <rPh sb="8" eb="10">
      <t>チイキ</t>
    </rPh>
    <rPh sb="11" eb="13">
      <t>シュウヘン</t>
    </rPh>
    <rPh sb="13" eb="15">
      <t>カンキョウ</t>
    </rPh>
    <rPh sb="16" eb="18">
      <t>ハイリョ</t>
    </rPh>
    <phoneticPr fontId="4"/>
  </si>
  <si>
    <t>省ｴﾈﾙｷﾞｰ地域区分</t>
    <rPh sb="0" eb="1">
      <t>ショウ</t>
    </rPh>
    <rPh sb="7" eb="9">
      <t>チイキ</t>
    </rPh>
    <rPh sb="9" eb="11">
      <t>クブン</t>
    </rPh>
    <phoneticPr fontId="4"/>
  </si>
  <si>
    <t>㎡</t>
    <phoneticPr fontId="18" type="noConversion"/>
  </si>
  <si>
    <r>
      <t>1-1</t>
    </r>
    <r>
      <rPr>
        <b/>
        <sz val="12"/>
        <color indexed="9"/>
        <rFont val="ＭＳ Ｐゴシック"/>
        <family val="3"/>
        <charset val="128"/>
      </rPr>
      <t xml:space="preserve"> 建物概要</t>
    </r>
    <rPh sb="4" eb="6">
      <t>タテモノ</t>
    </rPh>
    <rPh sb="6" eb="8">
      <t>ガイヨウ</t>
    </rPh>
    <phoneticPr fontId="3"/>
  </si>
  <si>
    <t>ﾚﾍﾞﾙ３</t>
  </si>
  <si>
    <t>ﾚﾍﾞﾙ４</t>
  </si>
  <si>
    <t>ﾚﾍﾞﾙ５</t>
  </si>
  <si>
    <t>参照値</t>
    <rPh sb="0" eb="2">
      <t>サンショウ</t>
    </rPh>
    <rPh sb="2" eb="3">
      <t>チ</t>
    </rPh>
    <phoneticPr fontId="4"/>
  </si>
  <si>
    <t>採点結果</t>
    <rPh sb="0" eb="2">
      <t>サイテン</t>
    </rPh>
    <rPh sb="2" eb="4">
      <t>ケッカ</t>
    </rPh>
    <phoneticPr fontId="4"/>
  </si>
  <si>
    <t>構造・構法</t>
    <rPh sb="0" eb="2">
      <t>コウゾウ</t>
    </rPh>
    <rPh sb="3" eb="4">
      <t>カマエ</t>
    </rPh>
    <rPh sb="4" eb="5">
      <t>ホウ</t>
    </rPh>
    <phoneticPr fontId="4"/>
  </si>
  <si>
    <t>■建物の仕様</t>
    <rPh sb="1" eb="3">
      <t>タテモノ</t>
    </rPh>
    <rPh sb="4" eb="6">
      <t>シヨウ</t>
    </rPh>
    <phoneticPr fontId="4"/>
  </si>
  <si>
    <t>■外構の仕様</t>
    <rPh sb="1" eb="2">
      <t>ガイ</t>
    </rPh>
    <rPh sb="2" eb="3">
      <t>カマエ</t>
    </rPh>
    <rPh sb="4" eb="6">
      <t>シヨウ</t>
    </rPh>
    <phoneticPr fontId="4"/>
  </si>
  <si>
    <t>敷地面積</t>
  </si>
  <si>
    <t>階数</t>
    <rPh sb="0" eb="2">
      <t>カイスウ</t>
    </rPh>
    <phoneticPr fontId="4"/>
  </si>
  <si>
    <t>建物の仕様</t>
    <rPh sb="0" eb="2">
      <t>タテモノ</t>
    </rPh>
    <rPh sb="3" eb="5">
      <t>シヨウ</t>
    </rPh>
    <phoneticPr fontId="4"/>
  </si>
  <si>
    <t>持ち込み家電等</t>
    <rPh sb="0" eb="1">
      <t>モ</t>
    </rPh>
    <rPh sb="2" eb="3">
      <t>コ</t>
    </rPh>
    <rPh sb="4" eb="6">
      <t>カデン</t>
    </rPh>
    <rPh sb="6" eb="7">
      <t>ナド</t>
    </rPh>
    <phoneticPr fontId="4"/>
  </si>
  <si>
    <t>外構の仕様</t>
    <rPh sb="0" eb="1">
      <t>ソト</t>
    </rPh>
    <rPh sb="1" eb="2">
      <t>カマエ</t>
    </rPh>
    <rPh sb="3" eb="5">
      <t>シヨウ</t>
    </rPh>
    <phoneticPr fontId="4"/>
  </si>
  <si>
    <r>
      <t>3</t>
    </r>
    <r>
      <rPr>
        <b/>
        <sz val="12"/>
        <color indexed="9"/>
        <rFont val="ＭＳ Ｐゴシック"/>
        <family val="3"/>
        <charset val="128"/>
      </rPr>
      <t>　設計上の配慮事項</t>
    </r>
    <rPh sb="2" eb="4">
      <t>セッケイ</t>
    </rPh>
    <rPh sb="4" eb="5">
      <t>ジョウ</t>
    </rPh>
    <rPh sb="6" eb="8">
      <t>ハイリョ</t>
    </rPh>
    <rPh sb="8" eb="10">
      <t>ジコウ</t>
    </rPh>
    <phoneticPr fontId="4"/>
  </si>
  <si>
    <t>（加点条件を満たせば選択可能）</t>
    <rPh sb="3" eb="5">
      <t>ジョウケン</t>
    </rPh>
    <rPh sb="6" eb="7">
      <t>ミ</t>
    </rPh>
    <rPh sb="10" eb="12">
      <t>センタク</t>
    </rPh>
    <phoneticPr fontId="4"/>
  </si>
  <si>
    <t>（加点条件を満たせば選択可能）</t>
    <rPh sb="6" eb="7">
      <t>ミ</t>
    </rPh>
    <phoneticPr fontId="4"/>
  </si>
  <si>
    <t>屋根材、陸屋根</t>
    <rPh sb="0" eb="2">
      <t>ヤネ</t>
    </rPh>
    <rPh sb="2" eb="3">
      <t>ザイ</t>
    </rPh>
    <rPh sb="4" eb="7">
      <t>リクヤネ</t>
    </rPh>
    <phoneticPr fontId="4"/>
  </si>
  <si>
    <r>
      <t>電気・ガス併用住宅の場合、「内線規程3605-1」に基づいた負荷以上の想定を行って電気幹線容量を設計している。
電気幹線の設計容量VA　≧　40VA／㎡　×　延べ面積㎡　＋　Ｘ
　</t>
    </r>
    <r>
      <rPr>
        <sz val="8"/>
        <rFont val="ＭＳ Ｐゴシック"/>
        <family val="3"/>
        <charset val="128"/>
      </rPr>
      <t>注　）Xは延べ面積に応じて決まる値。詳しくはマニュアルを参照のこと。</t>
    </r>
    <rPh sb="90" eb="91">
      <t>チュウ</t>
    </rPh>
    <rPh sb="95" eb="96">
      <t>ノベ</t>
    </rPh>
    <rPh sb="97" eb="99">
      <t>メンセキ</t>
    </rPh>
    <rPh sb="100" eb="101">
      <t>オウ</t>
    </rPh>
    <rPh sb="103" eb="104">
      <t>キ</t>
    </rPh>
    <rPh sb="106" eb="107">
      <t>アタイ</t>
    </rPh>
    <rPh sb="108" eb="109">
      <t>クワ</t>
    </rPh>
    <rPh sb="118" eb="120">
      <t>サンショウ</t>
    </rPh>
    <phoneticPr fontId="4"/>
  </si>
  <si>
    <t>取組み</t>
    <rPh sb="0" eb="2">
      <t>トリク</t>
    </rPh>
    <phoneticPr fontId="4"/>
  </si>
  <si>
    <t>全て</t>
    <rPh sb="0" eb="1">
      <t>スベ</t>
    </rPh>
    <phoneticPr fontId="4"/>
  </si>
  <si>
    <t>&lt;移動経路の確保&gt;</t>
    <phoneticPr fontId="4"/>
  </si>
  <si>
    <t>&lt;餌場の確保&gt;</t>
    <phoneticPr fontId="4"/>
  </si>
  <si>
    <t>&lt;住み処・隠れ場の確保&gt;</t>
    <phoneticPr fontId="4"/>
  </si>
  <si>
    <t>&lt;多孔質な空間の確保&gt;</t>
    <phoneticPr fontId="4"/>
  </si>
  <si>
    <t>&lt;水場の確保&gt;</t>
    <phoneticPr fontId="4"/>
  </si>
  <si>
    <t>野鳥等が地域の中を移動することができるよう緑を連続させることに取組んでいる。</t>
    <rPh sb="0" eb="2">
      <t>ヤチョウ</t>
    </rPh>
    <rPh sb="2" eb="3">
      <t>ナド</t>
    </rPh>
    <rPh sb="4" eb="6">
      <t>チイキ</t>
    </rPh>
    <rPh sb="7" eb="8">
      <t>ナカ</t>
    </rPh>
    <rPh sb="9" eb="11">
      <t>イドウ</t>
    </rPh>
    <rPh sb="21" eb="22">
      <t>ミドリ</t>
    </rPh>
    <rPh sb="23" eb="25">
      <t>レンゾク</t>
    </rPh>
    <rPh sb="31" eb="33">
      <t>トリク</t>
    </rPh>
    <phoneticPr fontId="4"/>
  </si>
  <si>
    <t>評価する取組みの１～５のうち、何れにも取組んでいない。</t>
    <rPh sb="19" eb="21">
      <t>トリク</t>
    </rPh>
    <phoneticPr fontId="4"/>
  </si>
  <si>
    <t>評価する取組みの１～５のうち、何れか１つに取組んでいる。</t>
    <rPh sb="21" eb="23">
      <t>トリク</t>
    </rPh>
    <phoneticPr fontId="4"/>
  </si>
  <si>
    <t>評価する取組みの１～５のうち、何れか２つ以上に取組んでいる。</t>
    <rPh sb="20" eb="22">
      <t>イジョウ</t>
    </rPh>
    <rPh sb="23" eb="25">
      <t>トリク</t>
    </rPh>
    <phoneticPr fontId="4"/>
  </si>
  <si>
    <t>合計＝</t>
    <phoneticPr fontId="4"/>
  </si>
  <si>
    <t>評価する取組み１～２のうち、何れにも該当しない。</t>
    <rPh sb="14" eb="15">
      <t>イズ</t>
    </rPh>
    <phoneticPr fontId="4"/>
  </si>
  <si>
    <t>評価する取組み１～２のうち、１つに該当する。</t>
    <rPh sb="17" eb="19">
      <t>ガイトウ</t>
    </rPh>
    <phoneticPr fontId="4"/>
  </si>
  <si>
    <t>評価する取組み１～２のうち、２つに該当する。</t>
    <phoneticPr fontId="4"/>
  </si>
  <si>
    <t>評価する取組み１～３のうち、何れにも該当しない。</t>
    <rPh sb="14" eb="15">
      <t>イズ</t>
    </rPh>
    <rPh sb="18" eb="20">
      <t>ガイトウ</t>
    </rPh>
    <phoneticPr fontId="4"/>
  </si>
  <si>
    <t>評価する取組み１～３のうち、１つに該当する。</t>
    <rPh sb="17" eb="19">
      <t>ガイトウ</t>
    </rPh>
    <phoneticPr fontId="4"/>
  </si>
  <si>
    <t>評価する取組み１～３のうち、２つ以上に該当する。</t>
    <rPh sb="16" eb="18">
      <t>イジョウ</t>
    </rPh>
    <rPh sb="19" eb="21">
      <t>ガイトウ</t>
    </rPh>
    <phoneticPr fontId="4"/>
  </si>
  <si>
    <t>合計＝</t>
    <phoneticPr fontId="4"/>
  </si>
  <si>
    <t>①合計＝</t>
    <phoneticPr fontId="4"/>
  </si>
  <si>
    <t>下記に示す取組み１～４のうち、何れも採用していない。</t>
    <rPh sb="15" eb="16">
      <t>イズ</t>
    </rPh>
    <phoneticPr fontId="4"/>
  </si>
  <si>
    <t>下記に示す取組み１～４のうち、何れかを採用している。</t>
    <rPh sb="19" eb="21">
      <t>サイヨウ</t>
    </rPh>
    <phoneticPr fontId="4"/>
  </si>
  <si>
    <t>地球温暖化への配慮</t>
    <rPh sb="0" eb="2">
      <t>チキュウ</t>
    </rPh>
    <rPh sb="2" eb="5">
      <t>オンダンカ</t>
    </rPh>
    <rPh sb="7" eb="9">
      <t>ハイリョ</t>
    </rPh>
    <phoneticPr fontId="4"/>
  </si>
  <si>
    <t>レベル１
～
レベル５</t>
    <phoneticPr fontId="4"/>
  </si>
  <si>
    <t>●スコア</t>
    <phoneticPr fontId="4"/>
  </si>
  <si>
    <t>■温暖化影響チャートの計算</t>
    <rPh sb="1" eb="4">
      <t>オンダンカ</t>
    </rPh>
    <rPh sb="4" eb="6">
      <t>エイキョウ</t>
    </rPh>
    <rPh sb="11" eb="13">
      <t>ケイサン</t>
    </rPh>
    <phoneticPr fontId="4"/>
  </si>
  <si>
    <t>火災に耐える構造</t>
    <phoneticPr fontId="4"/>
  </si>
  <si>
    <t>維持管理の計画・体制</t>
    <rPh sb="5" eb="7">
      <t>ケイカク</t>
    </rPh>
    <phoneticPr fontId="4"/>
  </si>
  <si>
    <r>
      <t xml:space="preserve">2-3 </t>
    </r>
    <r>
      <rPr>
        <b/>
        <sz val="12"/>
        <color indexed="9"/>
        <rFont val="ＭＳ Ｐゴシック"/>
        <family val="3"/>
        <charset val="128"/>
      </rPr>
      <t>大項目の評価</t>
    </r>
    <r>
      <rPr>
        <b/>
        <sz val="10"/>
        <color indexed="9"/>
        <rFont val="ＭＳ Ｐゴシック"/>
        <family val="3"/>
        <charset val="128"/>
      </rPr>
      <t>（レーダーチャート）</t>
    </r>
    <phoneticPr fontId="4"/>
  </si>
  <si>
    <t>■電力会社等</t>
    <rPh sb="1" eb="3">
      <t>デンリョク</t>
    </rPh>
    <rPh sb="3" eb="5">
      <t>カイシャ</t>
    </rPh>
    <rPh sb="5" eb="6">
      <t>ナド</t>
    </rPh>
    <phoneticPr fontId="4"/>
  </si>
  <si>
    <t>電力会社選択肢</t>
    <rPh sb="0" eb="2">
      <t>デンリョク</t>
    </rPh>
    <rPh sb="2" eb="4">
      <t>カイシャ</t>
    </rPh>
    <rPh sb="4" eb="7">
      <t>センタクシ</t>
    </rPh>
    <phoneticPr fontId="4"/>
  </si>
  <si>
    <t>戸建標準計算</t>
    <rPh sb="0" eb="2">
      <t>コダテ</t>
    </rPh>
    <rPh sb="2" eb="4">
      <t>ヒョウジュン</t>
    </rPh>
    <rPh sb="4" eb="6">
      <t>ケイサン</t>
    </rPh>
    <phoneticPr fontId="4"/>
  </si>
  <si>
    <t>戸建独自計算</t>
    <rPh sb="0" eb="2">
      <t>コダテ</t>
    </rPh>
    <rPh sb="2" eb="4">
      <t>ドクジ</t>
    </rPh>
    <rPh sb="4" eb="6">
      <t>ケイサン</t>
    </rPh>
    <phoneticPr fontId="4"/>
  </si>
  <si>
    <t>※戸建独自計算</t>
    <rPh sb="1" eb="3">
      <t>コダテ</t>
    </rPh>
    <rPh sb="3" eb="5">
      <t>ドクジ</t>
    </rPh>
    <rPh sb="5" eb="7">
      <t>ケイサン</t>
    </rPh>
    <phoneticPr fontId="4"/>
  </si>
  <si>
    <t>建設段階</t>
    <phoneticPr fontId="4"/>
  </si>
  <si>
    <t>入力欄</t>
    <rPh sb="0" eb="2">
      <t>ニュウリョク</t>
    </rPh>
    <rPh sb="2" eb="3">
      <t>ラン</t>
    </rPh>
    <phoneticPr fontId="4"/>
  </si>
  <si>
    <t>参考値</t>
    <rPh sb="0" eb="2">
      <t>サンコウ</t>
    </rPh>
    <rPh sb="2" eb="3">
      <t>チ</t>
    </rPh>
    <phoneticPr fontId="4"/>
  </si>
  <si>
    <r>
      <t>■</t>
    </r>
    <r>
      <rPr>
        <b/>
        <sz val="12"/>
        <rFont val="ＭＳ Ｐゴシック"/>
        <family val="3"/>
        <charset val="128"/>
      </rPr>
      <t>戸建独自計算結果の入力シート</t>
    </r>
    <rPh sb="1" eb="3">
      <t>コダテ</t>
    </rPh>
    <rPh sb="3" eb="5">
      <t>ドクジ</t>
    </rPh>
    <rPh sb="5" eb="7">
      <t>ケイサン</t>
    </rPh>
    <rPh sb="7" eb="9">
      <t>ケッカ</t>
    </rPh>
    <rPh sb="10" eb="12">
      <t>ニュウリョク</t>
    </rPh>
    <phoneticPr fontId="4"/>
  </si>
  <si>
    <t>→「CO2独自計算」シートを入力</t>
    <rPh sb="5" eb="7">
      <t>ドクジ</t>
    </rPh>
    <rPh sb="7" eb="9">
      <t>ケイサン</t>
    </rPh>
    <phoneticPr fontId="4"/>
  </si>
  <si>
    <t>計算条件など</t>
    <rPh sb="0" eb="2">
      <t>ケイサン</t>
    </rPh>
    <rPh sb="2" eb="4">
      <t>ジョウケン</t>
    </rPh>
    <phoneticPr fontId="4"/>
  </si>
  <si>
    <t>実排出量-調整後排出量</t>
    <rPh sb="0" eb="1">
      <t>ジツ</t>
    </rPh>
    <rPh sb="1" eb="3">
      <t>ハイシュツ</t>
    </rPh>
    <rPh sb="3" eb="4">
      <t>リョウ</t>
    </rPh>
    <rPh sb="5" eb="8">
      <t>チョウセイゴ</t>
    </rPh>
    <rPh sb="8" eb="10">
      <t>ハイシュツ</t>
    </rPh>
    <rPh sb="10" eb="11">
      <t>リョウ</t>
    </rPh>
    <phoneticPr fontId="4"/>
  </si>
  <si>
    <r>
      <t>2-2</t>
    </r>
    <r>
      <rPr>
        <b/>
        <sz val="12"/>
        <color indexed="9"/>
        <rFont val="ＭＳ Ｐゴシック"/>
        <family val="3"/>
        <charset val="128"/>
      </rPr>
      <t>　ライフサイクル</t>
    </r>
    <r>
      <rPr>
        <b/>
        <sz val="12"/>
        <color indexed="9"/>
        <rFont val="Arial"/>
        <family val="2"/>
      </rPr>
      <t>CO</t>
    </r>
    <r>
      <rPr>
        <b/>
        <vertAlign val="subscript"/>
        <sz val="12"/>
        <color indexed="9"/>
        <rFont val="Arial"/>
        <family val="2"/>
      </rPr>
      <t>2</t>
    </r>
    <r>
      <rPr>
        <b/>
        <sz val="10"/>
        <color indexed="9"/>
        <rFont val="ＭＳ Ｐゴシック"/>
        <family val="3"/>
        <charset val="128"/>
      </rPr>
      <t>（温暖化影響チャート）</t>
    </r>
    <rPh sb="15" eb="18">
      <t>オンダンカ</t>
    </rPh>
    <rPh sb="18" eb="20">
      <t>エイキョウ</t>
    </rPh>
    <phoneticPr fontId="4"/>
  </si>
  <si>
    <t>＜参考＞</t>
    <rPh sb="1" eb="3">
      <t>サンコウ</t>
    </rPh>
    <phoneticPr fontId="4"/>
  </si>
  <si>
    <t>欄に入力した値が、温暖化影響チャートに反映される。</t>
    <rPh sb="0" eb="1">
      <t>ラン</t>
    </rPh>
    <rPh sb="2" eb="4">
      <t>ニュウリョク</t>
    </rPh>
    <rPh sb="6" eb="7">
      <t>アタイ</t>
    </rPh>
    <rPh sb="9" eb="12">
      <t>オンダンカ</t>
    </rPh>
    <rPh sb="12" eb="14">
      <t>エイキョウ</t>
    </rPh>
    <rPh sb="19" eb="21">
      <t>ハンエイ</t>
    </rPh>
    <phoneticPr fontId="4"/>
  </si>
  <si>
    <t>太陽光発電による削減分</t>
    <rPh sb="0" eb="2">
      <t>タイヨウ</t>
    </rPh>
    <rPh sb="2" eb="3">
      <t>ヒカリ</t>
    </rPh>
    <rPh sb="3" eb="5">
      <t>ハツデン</t>
    </rPh>
    <rPh sb="8" eb="10">
      <t>サクゲン</t>
    </rPh>
    <rPh sb="10" eb="11">
      <t>ブン</t>
    </rPh>
    <phoneticPr fontId="4"/>
  </si>
  <si>
    <t>(a-1)　グリーン電力証書によるカーボンオフセット</t>
    <phoneticPr fontId="4"/>
  </si>
  <si>
    <t>上表における「参考値」は、「戸建標準計算」をベースとした計算結果である。</t>
    <rPh sb="0" eb="2">
      <t>ジョウヒョウ</t>
    </rPh>
    <rPh sb="7" eb="9">
      <t>サンコウ</t>
    </rPh>
    <rPh sb="9" eb="10">
      <t>アタイ</t>
    </rPh>
    <rPh sb="14" eb="16">
      <t>コダテ</t>
    </rPh>
    <rPh sb="16" eb="18">
      <t>ヒョウジュン</t>
    </rPh>
    <rPh sb="18" eb="20">
      <t>ケイサン</t>
    </rPh>
    <rPh sb="28" eb="30">
      <t>ケイサン</t>
    </rPh>
    <rPh sb="30" eb="32">
      <t>ケッカ</t>
    </rPh>
    <phoneticPr fontId="4"/>
  </si>
  <si>
    <t>実排出係数を用いた「③上記+②以外のオンサイト手法」</t>
    <rPh sb="0" eb="1">
      <t>ジツ</t>
    </rPh>
    <rPh sb="1" eb="3">
      <t>ハイシュツ</t>
    </rPh>
    <rPh sb="3" eb="5">
      <t>ケイスウ</t>
    </rPh>
    <rPh sb="6" eb="7">
      <t>モチ</t>
    </rPh>
    <phoneticPr fontId="4"/>
  </si>
  <si>
    <t>調整後排出係数を用いた「③上記+②以外のオンサイト手法」</t>
    <rPh sb="0" eb="3">
      <t>チョウセイゴ</t>
    </rPh>
    <rPh sb="3" eb="5">
      <t>ハイシュツ</t>
    </rPh>
    <rPh sb="5" eb="7">
      <t>ケイスウ</t>
    </rPh>
    <rPh sb="8" eb="9">
      <t>モチ</t>
    </rPh>
    <phoneticPr fontId="4"/>
  </si>
  <si>
    <t>上表③の入力値（C)</t>
    <rPh sb="0" eb="2">
      <t>ジョウヒョウ</t>
    </rPh>
    <rPh sb="4" eb="6">
      <t>ニュウリョク</t>
    </rPh>
    <rPh sb="6" eb="7">
      <t>チ</t>
    </rPh>
    <phoneticPr fontId="4"/>
  </si>
  <si>
    <t>上表における「③上記+②以外のオンサイト手法」の入力値ベースでの計算例</t>
    <rPh sb="0" eb="2">
      <t>ジョウヒョウ</t>
    </rPh>
    <rPh sb="8" eb="10">
      <t>ジョウキ</t>
    </rPh>
    <rPh sb="12" eb="14">
      <t>イガイ</t>
    </rPh>
    <rPh sb="20" eb="22">
      <t>シュホウ</t>
    </rPh>
    <rPh sb="24" eb="26">
      <t>ニュウリョク</t>
    </rPh>
    <rPh sb="26" eb="27">
      <t>チ</t>
    </rPh>
    <rPh sb="32" eb="34">
      <t>ケイサン</t>
    </rPh>
    <rPh sb="34" eb="35">
      <t>レイ</t>
    </rPh>
    <phoneticPr fontId="4"/>
  </si>
  <si>
    <t>上表、運用段階の④(b)における、調整後排出係数を用いた場合の実排出量との差の計算例は以下のとおり。</t>
    <rPh sb="0" eb="2">
      <t>ジョウヒョウ</t>
    </rPh>
    <rPh sb="3" eb="5">
      <t>ウンヨウ</t>
    </rPh>
    <rPh sb="5" eb="7">
      <t>ダンカイ</t>
    </rPh>
    <rPh sb="17" eb="20">
      <t>チョウセイゴ</t>
    </rPh>
    <rPh sb="20" eb="22">
      <t>ハイシュツ</t>
    </rPh>
    <rPh sb="22" eb="24">
      <t>ケイスウ</t>
    </rPh>
    <rPh sb="25" eb="26">
      <t>モチ</t>
    </rPh>
    <rPh sb="28" eb="30">
      <t>バアイ</t>
    </rPh>
    <rPh sb="31" eb="32">
      <t>ジツ</t>
    </rPh>
    <rPh sb="32" eb="34">
      <t>ハイシュツ</t>
    </rPh>
    <rPh sb="34" eb="35">
      <t>リョウ</t>
    </rPh>
    <rPh sb="37" eb="38">
      <t>サ</t>
    </rPh>
    <rPh sb="39" eb="41">
      <t>ケイサン</t>
    </rPh>
    <rPh sb="41" eb="42">
      <t>レイ</t>
    </rPh>
    <rPh sb="43" eb="45">
      <t>イカ</t>
    </rPh>
    <phoneticPr fontId="4"/>
  </si>
  <si>
    <t>地域環境への配慮</t>
    <rPh sb="0" eb="2">
      <t>チイキ</t>
    </rPh>
    <rPh sb="2" eb="4">
      <t>カンキョウ</t>
    </rPh>
    <rPh sb="6" eb="8">
      <t>ハイリョ</t>
    </rPh>
    <phoneticPr fontId="4"/>
  </si>
  <si>
    <t>評価する取組み１～６のうち、何れも採用していない。</t>
    <phoneticPr fontId="4"/>
  </si>
  <si>
    <t>評価する取組み１～６のうち、何れかの１つに取組んでいる。</t>
    <rPh sb="14" eb="15">
      <t>イズ</t>
    </rPh>
    <phoneticPr fontId="4"/>
  </si>
  <si>
    <t>評価する取組み１～６のうち、何れか２つ以上に取組んでいる。</t>
    <rPh sb="14" eb="15">
      <t>イズ</t>
    </rPh>
    <phoneticPr fontId="4"/>
  </si>
  <si>
    <t>評価する取組み１～６のうち、何れか４つ以上に取組んでいる。</t>
    <rPh sb="14" eb="15">
      <t>イズ</t>
    </rPh>
    <phoneticPr fontId="4"/>
  </si>
  <si>
    <t>合計＝</t>
    <phoneticPr fontId="4"/>
  </si>
  <si>
    <t>構造の比率</t>
    <rPh sb="0" eb="2">
      <t>コウゾウ</t>
    </rPh>
    <rPh sb="3" eb="5">
      <t>ヒリツ</t>
    </rPh>
    <phoneticPr fontId="4"/>
  </si>
  <si>
    <t>レベル2</t>
    <phoneticPr fontId="4"/>
  </si>
  <si>
    <t>レベル4</t>
    <phoneticPr fontId="4"/>
  </si>
  <si>
    <t>屋根材、陸屋根</t>
    <phoneticPr fontId="4"/>
  </si>
  <si>
    <r>
      <t>このグラフは、</t>
    </r>
    <r>
      <rPr>
        <sz val="11"/>
        <color indexed="10"/>
        <rFont val="Arial"/>
        <family val="2"/>
      </rPr>
      <t>LR3</t>
    </r>
    <r>
      <rPr>
        <sz val="11"/>
        <color indexed="10"/>
        <rFont val="ＭＳ Ｐゴシック"/>
        <family val="3"/>
        <charset val="128"/>
      </rPr>
      <t>中の「地球温暖化への配慮」の内容を、一般的な住宅（参照値）と比べたライフサイクル</t>
    </r>
    <r>
      <rPr>
        <sz val="11"/>
        <color indexed="10"/>
        <rFont val="Arial"/>
        <family val="2"/>
      </rPr>
      <t xml:space="preserve">CO2 </t>
    </r>
    <r>
      <rPr>
        <sz val="11"/>
        <color indexed="10"/>
        <rFont val="ＭＳ Ｐゴシック"/>
        <family val="3"/>
        <charset val="128"/>
      </rPr>
      <t>排出量の目安で示したものです</t>
    </r>
    <phoneticPr fontId="4"/>
  </si>
  <si>
    <t>建物寿命</t>
    <rPh sb="0" eb="2">
      <t>タテモノ</t>
    </rPh>
    <rPh sb="2" eb="4">
      <t>ジュミョウ</t>
    </rPh>
    <phoneticPr fontId="4"/>
  </si>
  <si>
    <t>修繕・更新・解体</t>
    <rPh sb="3" eb="5">
      <t>コウシン</t>
    </rPh>
    <phoneticPr fontId="4"/>
  </si>
  <si>
    <t>修繕・更新・解体</t>
    <rPh sb="0" eb="2">
      <t>シュウゼン</t>
    </rPh>
    <rPh sb="3" eb="5">
      <t>コウシン</t>
    </rPh>
    <rPh sb="6" eb="8">
      <t>カイタイ</t>
    </rPh>
    <phoneticPr fontId="4"/>
  </si>
  <si>
    <t>躯体・基礎の寿命（年）</t>
    <rPh sb="0" eb="2">
      <t>クタイ</t>
    </rPh>
    <rPh sb="3" eb="5">
      <t>キソ</t>
    </rPh>
    <rPh sb="6" eb="8">
      <t>ジュミョウ</t>
    </rPh>
    <rPh sb="9" eb="10">
      <t>ネン</t>
    </rPh>
    <phoneticPr fontId="4"/>
  </si>
  <si>
    <t>更新周期(年）</t>
    <rPh sb="0" eb="2">
      <t>コウシン</t>
    </rPh>
    <rPh sb="2" eb="4">
      <t>シュウキ</t>
    </rPh>
    <rPh sb="5" eb="6">
      <t>ネン</t>
    </rPh>
    <phoneticPr fontId="4"/>
  </si>
  <si>
    <r>
      <t xml:space="preserve">1-2 </t>
    </r>
    <r>
      <rPr>
        <b/>
        <sz val="12"/>
        <color indexed="9"/>
        <rFont val="ＭＳ Ｐゴシック"/>
        <family val="3"/>
        <charset val="128"/>
      </rPr>
      <t>外　観</t>
    </r>
    <phoneticPr fontId="4"/>
  </si>
  <si>
    <t>世帯人数</t>
    <rPh sb="0" eb="2">
      <t>ｾﾀｲ</t>
    </rPh>
    <rPh sb="2" eb="4">
      <t>にんずう</t>
    </rPh>
    <phoneticPr fontId="18" type="noConversion"/>
  </si>
  <si>
    <t>用途地域</t>
    <rPh sb="0" eb="2">
      <t>ようと</t>
    </rPh>
    <rPh sb="2" eb="4">
      <t>ちいき</t>
    </rPh>
    <phoneticPr fontId="18" type="noConversion"/>
  </si>
  <si>
    <t>■用途地区</t>
    <rPh sb="1" eb="3">
      <t>ﾖｳﾄ</t>
    </rPh>
    <rPh sb="3" eb="5">
      <t>ﾁｸ</t>
    </rPh>
    <phoneticPr fontId="18" type="noConversion"/>
  </si>
  <si>
    <t>■省エネルギー地域区分</t>
    <rPh sb="1" eb="2">
      <t>ショウ</t>
    </rPh>
    <rPh sb="7" eb="9">
      <t>チイキ</t>
    </rPh>
    <rPh sb="9" eb="11">
      <t>クブン</t>
    </rPh>
    <phoneticPr fontId="4"/>
  </si>
  <si>
    <t>■世帯人数</t>
    <rPh sb="1" eb="3">
      <t>セタイ</t>
    </rPh>
    <rPh sb="3" eb="5">
      <t>ニンズウ</t>
    </rPh>
    <phoneticPr fontId="4"/>
  </si>
  <si>
    <t>■持ち込み家電等</t>
    <rPh sb="1" eb="2">
      <t>モ</t>
    </rPh>
    <rPh sb="3" eb="4">
      <t>コ</t>
    </rPh>
    <rPh sb="5" eb="7">
      <t>イエデン</t>
    </rPh>
    <rPh sb="7" eb="8">
      <t>ナド</t>
    </rPh>
    <phoneticPr fontId="4"/>
  </si>
  <si>
    <t>●配慮</t>
    <rPh sb="1" eb="3">
      <t>ハイリョ</t>
    </rPh>
    <phoneticPr fontId="4"/>
  </si>
  <si>
    <t>■備考</t>
    <rPh sb="1" eb="3">
      <t>ビコウ</t>
    </rPh>
    <phoneticPr fontId="4"/>
  </si>
  <si>
    <t>仮</t>
    <rPh sb="0" eb="1">
      <t>カリ</t>
    </rPh>
    <phoneticPr fontId="4"/>
  </si>
  <si>
    <t>一部確定</t>
    <rPh sb="0" eb="2">
      <t>イチブ</t>
    </rPh>
    <rPh sb="2" eb="4">
      <t>カクテイ</t>
    </rPh>
    <phoneticPr fontId="4"/>
  </si>
  <si>
    <t>確定</t>
    <rPh sb="0" eb="2">
      <t>カクテイ</t>
    </rPh>
    <phoneticPr fontId="4"/>
  </si>
  <si>
    <t>木質系</t>
    <rPh sb="0" eb="2">
      <t>モクシツ</t>
    </rPh>
    <rPh sb="2" eb="3">
      <t>ケイ</t>
    </rPh>
    <phoneticPr fontId="4"/>
  </si>
  <si>
    <t>鉄骨系</t>
    <rPh sb="0" eb="2">
      <t>テッコツ</t>
    </rPh>
    <rPh sb="2" eb="3">
      <t>ケイ</t>
    </rPh>
    <phoneticPr fontId="4"/>
  </si>
  <si>
    <t>コンクリート系</t>
    <rPh sb="6" eb="7">
      <t>ケイ</t>
    </rPh>
    <phoneticPr fontId="4"/>
  </si>
  <si>
    <t>構造の比率（床面積）入力欄</t>
    <rPh sb="0" eb="2">
      <t>コウゾウ</t>
    </rPh>
    <rPh sb="3" eb="5">
      <t>ヒリツ</t>
    </rPh>
    <rPh sb="6" eb="9">
      <t>ユカメンセキ</t>
    </rPh>
    <rPh sb="10" eb="12">
      <t>ニュウリョク</t>
    </rPh>
    <rPh sb="12" eb="13">
      <t>ラン</t>
    </rPh>
    <phoneticPr fontId="4"/>
  </si>
  <si>
    <t>■構造・構法</t>
    <rPh sb="1" eb="3">
      <t>コウゾウ</t>
    </rPh>
    <rPh sb="4" eb="5">
      <t>カマエ</t>
    </rPh>
    <rPh sb="5" eb="6">
      <t>ホウ</t>
    </rPh>
    <phoneticPr fontId="4"/>
  </si>
  <si>
    <t>全電化住宅の場合、以下の想定を行って電気幹線容量を設計している。
電気幹線の設計容量VA　≧　（60VA／㎡　×　延べ面積㎡　＋　Ｘ）　×　0.7　＋　夜間蓄熱式機器容量VA</t>
    <phoneticPr fontId="4"/>
  </si>
  <si>
    <t>矢印</t>
    <rPh sb="0" eb="2">
      <t>ヤジルシ</t>
    </rPh>
    <phoneticPr fontId="4"/>
  </si>
  <si>
    <t>オンサイト（マイナス）</t>
    <phoneticPr fontId="4"/>
  </si>
  <si>
    <t>オフサイト（マイナス）</t>
    <phoneticPr fontId="4"/>
  </si>
  <si>
    <t>矢印（マイナス）</t>
    <rPh sb="0" eb="2">
      <t>ヤジルシ</t>
    </rPh>
    <phoneticPr fontId="4"/>
  </si>
  <si>
    <t>周辺のまちなみや景観に対して配慮しているが、レベル４は満たさない。</t>
    <phoneticPr fontId="4"/>
  </si>
  <si>
    <t>構造躯体コンクリートに再生骨材またはコンクリート用スラグ骨材を用いている。（捨てコン、腰壁への使用は評価しない。）</t>
    <rPh sb="11" eb="13">
      <t>サイセイ</t>
    </rPh>
    <rPh sb="13" eb="15">
      <t>コツザイ</t>
    </rPh>
    <phoneticPr fontId="4"/>
  </si>
  <si>
    <t>特に配慮なし。</t>
    <rPh sb="0" eb="1">
      <t>トク</t>
    </rPh>
    <rPh sb="2" eb="4">
      <t>ハイリョ</t>
    </rPh>
    <phoneticPr fontId="4"/>
  </si>
  <si>
    <t>レベル３を満たした上で、各居室で必要な換気量ができる計画がなされている。</t>
    <phoneticPr fontId="4"/>
  </si>
  <si>
    <t>特に対策なし。</t>
    <phoneticPr fontId="4"/>
  </si>
  <si>
    <t>侵入の可能な規模の開口部のうち、住戸の出入口、および地面から開口部の下端までの高さが2m以下の開口部で、侵入防止対策上何らかの措置が採られている。</t>
    <phoneticPr fontId="4"/>
  </si>
  <si>
    <t>侵入の可能な規模の開口部のうち、住戸の出入口、および地面から開口部の下端までの高さが2m以下の開口部で、侵入防止対策上有効な措置が採られている。</t>
    <phoneticPr fontId="4"/>
  </si>
  <si>
    <t>レベル４に加え、侵入の可能な規模の開口部のうち、バルコニー等から開口部の下端までの高さが2m以下であって、かつ、バルコニー等から当該開口部までの水平距離が0.9m以下である開口部で、侵入防止対策上有効な措置が採られている。</t>
    <phoneticPr fontId="4"/>
  </si>
  <si>
    <t>昼光の利用</t>
    <rPh sb="0" eb="1">
      <t>ヒル</t>
    </rPh>
    <rPh sb="1" eb="2">
      <t>ヒカリ</t>
    </rPh>
    <rPh sb="3" eb="5">
      <t>リヨウ</t>
    </rPh>
    <phoneticPr fontId="4"/>
  </si>
  <si>
    <t>単純開口率15%未満。</t>
    <phoneticPr fontId="4"/>
  </si>
  <si>
    <t>単純開口率15%以上20%未満。</t>
    <phoneticPr fontId="4"/>
  </si>
  <si>
    <t>単純開口率20%以上。</t>
    <phoneticPr fontId="4"/>
  </si>
  <si>
    <t>日本住宅性能表示基準の「8-4透過損失等級（外壁開口部）」における等級１相当の外壁開口部の仕様である。</t>
    <phoneticPr fontId="4"/>
  </si>
  <si>
    <t>日本住宅性能表示基準の「8-4透過損失等級（外壁開口部）」における等級２相当の外壁開口部の仕様である。</t>
    <phoneticPr fontId="4"/>
  </si>
  <si>
    <t>日本住宅性能表示基準の「8-4透過損失等級（外壁開口部）」における等級３相当の外壁開口部の仕様である。</t>
    <phoneticPr fontId="4"/>
  </si>
  <si>
    <t>weight set)</t>
  </si>
  <si>
    <t>構造躯体</t>
    <rPh sb="0" eb="2">
      <t>コウゾウ</t>
    </rPh>
    <rPh sb="2" eb="4">
      <t>クタイ</t>
    </rPh>
    <phoneticPr fontId="4"/>
  </si>
  <si>
    <t>レベル3を満たさない。</t>
    <phoneticPr fontId="4"/>
  </si>
  <si>
    <t>構造躯体の過半に「持続可能な森林から産出された木材」が使用されている。</t>
    <phoneticPr fontId="4"/>
  </si>
  <si>
    <t>構造躯体に電炉鋼が使用されていない、または確認することができない。</t>
    <phoneticPr fontId="4"/>
  </si>
  <si>
    <t>構造躯体の一部に電炉鋼が使用されている。</t>
    <phoneticPr fontId="4"/>
  </si>
  <si>
    <t>構造躯体の過半に電炉鋼が使用されている。</t>
    <phoneticPr fontId="4"/>
  </si>
  <si>
    <t>外装材</t>
    <phoneticPr fontId="4"/>
  </si>
  <si>
    <t>評価点</t>
    <rPh sb="0" eb="3">
      <t>ヒョウカテン</t>
    </rPh>
    <phoneticPr fontId="4"/>
  </si>
  <si>
    <t>解説シートの採点結果</t>
    <rPh sb="0" eb="2">
      <t>カイセツ</t>
    </rPh>
    <rPh sb="6" eb="8">
      <t>サイテン</t>
    </rPh>
    <rPh sb="8" eb="10">
      <t>ケッカ</t>
    </rPh>
    <phoneticPr fontId="4"/>
  </si>
  <si>
    <t>LR-2 資源を大切に使いゴミを減らす</t>
    <rPh sb="5" eb="7">
      <t>シゲン</t>
    </rPh>
    <rPh sb="8" eb="10">
      <t>タイセツ</t>
    </rPh>
    <rPh sb="11" eb="12">
      <t>ツカ</t>
    </rPh>
    <rPh sb="16" eb="17">
      <t>ヘ</t>
    </rPh>
    <phoneticPr fontId="4"/>
  </si>
  <si>
    <t>資源を大切に使いゴミを減らす</t>
    <phoneticPr fontId="4"/>
  </si>
  <si>
    <t>省資源、廃棄物抑制に役立つ材料の採用</t>
    <phoneticPr fontId="4"/>
  </si>
  <si>
    <t>重み係数(既定）＝</t>
    <rPh sb="0" eb="1">
      <t>オモ</t>
    </rPh>
    <rPh sb="2" eb="4">
      <t>ケイスウ</t>
    </rPh>
    <rPh sb="5" eb="7">
      <t>キテイ</t>
    </rPh>
    <phoneticPr fontId="4"/>
  </si>
  <si>
    <t>延面積</t>
    <rPh sb="0" eb="1">
      <t>ノ</t>
    </rPh>
    <rPh sb="1" eb="3">
      <t>メンセキ</t>
    </rPh>
    <phoneticPr fontId="4"/>
  </si>
  <si>
    <t>まちなみ・景観への配慮</t>
  </si>
  <si>
    <t>採点</t>
    <rPh sb="0" eb="2">
      <t>サイテン</t>
    </rPh>
    <phoneticPr fontId="4"/>
  </si>
  <si>
    <t>機能性</t>
  </si>
  <si>
    <t>１．基本設計</t>
    <rPh sb="2" eb="4">
      <t>キホン</t>
    </rPh>
    <rPh sb="4" eb="6">
      <t>セッケイ</t>
    </rPh>
    <phoneticPr fontId="4"/>
  </si>
  <si>
    <t>住居・宿泊部分</t>
    <rPh sb="0" eb="2">
      <t>ジュウキョ</t>
    </rPh>
    <rPh sb="3" eb="5">
      <t>シュクハク</t>
    </rPh>
    <rPh sb="5" eb="7">
      <t>ブブン</t>
    </rPh>
    <phoneticPr fontId="4"/>
  </si>
  <si>
    <t>L</t>
    <phoneticPr fontId="4"/>
  </si>
  <si>
    <t>BEE</t>
    <phoneticPr fontId="4"/>
  </si>
  <si>
    <r>
      <t>BEE</t>
    </r>
    <r>
      <rPr>
        <sz val="11"/>
        <rFont val="ＭＳ Ｐゴシック"/>
        <family val="3"/>
        <charset val="128"/>
      </rPr>
      <t>の分母側</t>
    </r>
    <r>
      <rPr>
        <sz val="11"/>
        <rFont val="Arial"/>
        <family val="2"/>
      </rPr>
      <t>(L)</t>
    </r>
    <rPh sb="4" eb="6">
      <t>ブンボ</t>
    </rPh>
    <rPh sb="6" eb="7">
      <t>ガワ</t>
    </rPh>
    <phoneticPr fontId="4"/>
  </si>
  <si>
    <t>屋根材、陸屋根</t>
    <phoneticPr fontId="4"/>
  </si>
  <si>
    <t>生物環境の創出</t>
    <phoneticPr fontId="4"/>
  </si>
  <si>
    <r>
      <t>BEE</t>
    </r>
    <r>
      <rPr>
        <sz val="11"/>
        <rFont val="ＭＳ Ｐゴシック"/>
        <family val="3"/>
        <charset val="128"/>
      </rPr>
      <t>の分子側</t>
    </r>
    <r>
      <rPr>
        <sz val="11"/>
        <rFont val="Arial"/>
        <family val="2"/>
      </rPr>
      <t>(Q)</t>
    </r>
    <rPh sb="4" eb="6">
      <t>ブンシ</t>
    </rPh>
    <rPh sb="6" eb="7">
      <t>ガワ</t>
    </rPh>
    <phoneticPr fontId="4"/>
  </si>
  <si>
    <t>全体</t>
  </si>
  <si>
    <t>設計上の配慮事項</t>
    <rPh sb="0" eb="2">
      <t>セッケイ</t>
    </rPh>
    <rPh sb="2" eb="3">
      <t>ジョウ</t>
    </rPh>
    <rPh sb="4" eb="6">
      <t>ハイリョ</t>
    </rPh>
    <rPh sb="6" eb="8">
      <t>ジコウ</t>
    </rPh>
    <phoneticPr fontId="4"/>
  </si>
  <si>
    <t>■建物名称</t>
    <rPh sb="1" eb="3">
      <t>タテモノ</t>
    </rPh>
    <rPh sb="3" eb="5">
      <t>メイショウ</t>
    </rPh>
    <phoneticPr fontId="4"/>
  </si>
  <si>
    <t>●採点Ｑ１</t>
    <rPh sb="1" eb="3">
      <t>サイテン</t>
    </rPh>
    <phoneticPr fontId="4"/>
  </si>
  <si>
    <t>●採点Ｑ３</t>
    <rPh sb="1" eb="3">
      <t>サイテン</t>
    </rPh>
    <phoneticPr fontId="4"/>
  </si>
  <si>
    <t>●採点ＬＲ１</t>
    <rPh sb="1" eb="3">
      <t>サイテン</t>
    </rPh>
    <phoneticPr fontId="4"/>
  </si>
  <si>
    <t>●採点ＬＲ２</t>
    <rPh sb="1" eb="3">
      <t>サイテン</t>
    </rPh>
    <phoneticPr fontId="4"/>
  </si>
  <si>
    <t>●採点ＬＲ３</t>
    <rPh sb="1" eb="3">
      <t>サイテン</t>
    </rPh>
    <phoneticPr fontId="4"/>
  </si>
  <si>
    <t>入力シート</t>
    <rPh sb="0" eb="2">
      <t>ニュウリョク</t>
    </rPh>
    <phoneticPr fontId="4"/>
  </si>
  <si>
    <t>データベースシート</t>
    <phoneticPr fontId="4"/>
  </si>
  <si>
    <t>●重み</t>
    <rPh sb="1" eb="2">
      <t>オモ</t>
    </rPh>
    <phoneticPr fontId="4"/>
  </si>
  <si>
    <t>計算シート</t>
    <rPh sb="0" eb="2">
      <t>ケイサン</t>
    </rPh>
    <phoneticPr fontId="4"/>
  </si>
  <si>
    <r>
      <t>1.3.1</t>
    </r>
    <r>
      <rPr>
        <b/>
        <sz val="12"/>
        <rFont val="ＭＳ Ｐゴシック"/>
        <family val="3"/>
        <charset val="128"/>
      </rPr>
      <t>　適切な暖房計画</t>
    </r>
    <phoneticPr fontId="4"/>
  </si>
  <si>
    <r>
      <t>1.2.2</t>
    </r>
    <r>
      <rPr>
        <b/>
        <sz val="12"/>
        <rFont val="ＭＳ Ｐゴシック"/>
        <family val="3"/>
        <charset val="128"/>
      </rPr>
      <t>　適切な冷房計画</t>
    </r>
    <phoneticPr fontId="4"/>
  </si>
  <si>
    <r>
      <t>1.2.1</t>
    </r>
    <r>
      <rPr>
        <b/>
        <sz val="12"/>
        <rFont val="ＭＳ Ｐゴシック"/>
        <family val="3"/>
        <charset val="128"/>
      </rPr>
      <t>　風を取り込み、熱気を逃がす</t>
    </r>
    <rPh sb="6" eb="7">
      <t>フウ</t>
    </rPh>
    <rPh sb="8" eb="9">
      <t>ト</t>
    </rPh>
    <rPh sb="10" eb="11">
      <t>コ</t>
    </rPh>
    <rPh sb="13" eb="14">
      <t>ネツ</t>
    </rPh>
    <rPh sb="14" eb="15">
      <t>キ</t>
    </rPh>
    <rPh sb="16" eb="17">
      <t>ニ</t>
    </rPh>
    <phoneticPr fontId="4"/>
  </si>
  <si>
    <r>
      <t>1.1.2</t>
    </r>
    <r>
      <rPr>
        <b/>
        <sz val="12"/>
        <rFont val="ＭＳ Ｐゴシック"/>
        <family val="3"/>
        <charset val="128"/>
      </rPr>
      <t>　日射の調整機能</t>
    </r>
    <rPh sb="6" eb="8">
      <t>ニッシャ</t>
    </rPh>
    <rPh sb="9" eb="11">
      <t>チョウセイ</t>
    </rPh>
    <rPh sb="11" eb="13">
      <t>キノウ</t>
    </rPh>
    <phoneticPr fontId="4"/>
  </si>
  <si>
    <r>
      <t>1.5.2</t>
    </r>
    <r>
      <rPr>
        <b/>
        <sz val="12"/>
        <rFont val="ＭＳ Ｐゴシック"/>
        <family val="3"/>
        <charset val="128"/>
      </rPr>
      <t>　火災の早期感知</t>
    </r>
    <phoneticPr fontId="4"/>
  </si>
  <si>
    <r>
      <t>1.1.1</t>
    </r>
    <r>
      <rPr>
        <b/>
        <sz val="12"/>
        <rFont val="ＭＳ Ｐゴシック"/>
        <family val="3"/>
        <charset val="128"/>
      </rPr>
      <t>　木質系住宅</t>
    </r>
    <phoneticPr fontId="4"/>
  </si>
  <si>
    <r>
      <t>1.1.2</t>
    </r>
    <r>
      <rPr>
        <b/>
        <sz val="12"/>
        <rFont val="ＭＳ Ｐゴシック"/>
        <family val="3"/>
        <charset val="128"/>
      </rPr>
      <t>　鉄骨系住宅</t>
    </r>
    <phoneticPr fontId="4"/>
  </si>
  <si>
    <r>
      <t>1.1.3</t>
    </r>
    <r>
      <rPr>
        <b/>
        <sz val="12"/>
        <rFont val="ＭＳ Ｐゴシック"/>
        <family val="3"/>
        <charset val="128"/>
      </rPr>
      <t>　コンクリート系住宅</t>
    </r>
    <phoneticPr fontId="4"/>
  </si>
  <si>
    <t>点数</t>
    <rPh sb="0" eb="2">
      <t>テンスウ</t>
    </rPh>
    <phoneticPr fontId="4"/>
  </si>
  <si>
    <t>加点条件</t>
    <rPh sb="0" eb="2">
      <t>カテン</t>
    </rPh>
    <rPh sb="2" eb="4">
      <t>ジョウケン</t>
    </rPh>
    <phoneticPr fontId="4"/>
  </si>
  <si>
    <t>外壁材を交換する際に、外壁材より耐用性の高い躯体（または下地材）を破損しない構造または取り付け方法が採用されている。</t>
    <phoneticPr fontId="4"/>
  </si>
  <si>
    <t>外壁材を交換する際に、外壁材と耐用性が同等である外装建具を破損しない構造または取り付け方法が採用されている。</t>
    <phoneticPr fontId="4"/>
  </si>
  <si>
    <t>外壁材を構成する部品がユニット化されていることにより、構成単位毎の更新が可能である。</t>
    <phoneticPr fontId="4"/>
  </si>
  <si>
    <t>屋根材を交換する際に、屋根材より耐用性の高い下地（野地板）を破損しない構造または取り付け方法が採用されている。</t>
    <phoneticPr fontId="4"/>
  </si>
  <si>
    <t>屋根材で評価する場合</t>
    <phoneticPr fontId="4"/>
  </si>
  <si>
    <t>屋根を構成する部品がユニット化されていることにより、構成単位毎の更新が可能である。</t>
    <phoneticPr fontId="4"/>
  </si>
  <si>
    <t>防水材を交換する際に、防水材より耐用性の高い外装建具（サッシ、ドア）を破損しない構造または取り付け方法が採用されている。</t>
    <phoneticPr fontId="4"/>
  </si>
  <si>
    <t>防水層を構成する部品がユニット化されていることにより、構成単位毎の更新が可能である。</t>
    <phoneticPr fontId="4"/>
  </si>
  <si>
    <t>防水材の劣化を低減させる処置が施されている</t>
    <phoneticPr fontId="4"/>
  </si>
  <si>
    <t>防水層断絶に対して適切な処置が施されている</t>
    <phoneticPr fontId="4"/>
  </si>
  <si>
    <t>防水層で評価する場合</t>
  </si>
  <si>
    <t>その１．
交換容易性</t>
    <phoneticPr fontId="4"/>
  </si>
  <si>
    <t>Subjest1</t>
    <phoneticPr fontId="4"/>
  </si>
  <si>
    <t>Subjest2</t>
    <phoneticPr fontId="4"/>
  </si>
  <si>
    <t>Subjest3</t>
    <phoneticPr fontId="4"/>
  </si>
  <si>
    <t>生物資源の保全と創出</t>
    <rPh sb="2" eb="4">
      <t>シゲン</t>
    </rPh>
    <phoneticPr fontId="4"/>
  </si>
  <si>
    <t>オンサイト</t>
    <phoneticPr fontId="4"/>
  </si>
  <si>
    <t>オフサイト</t>
    <phoneticPr fontId="4"/>
  </si>
  <si>
    <t>Rank(green star)</t>
    <phoneticPr fontId="4"/>
  </si>
  <si>
    <t>劣化低減処置</t>
    <phoneticPr fontId="4"/>
  </si>
  <si>
    <t>その２．</t>
    <phoneticPr fontId="4"/>
  </si>
  <si>
    <t>屋根材で評価</t>
    <rPh sb="0" eb="2">
      <t>ヤネ</t>
    </rPh>
    <rPh sb="2" eb="3">
      <t>ザイ</t>
    </rPh>
    <rPh sb="4" eb="6">
      <t>ヒョウカ</t>
    </rPh>
    <phoneticPr fontId="4"/>
  </si>
  <si>
    <t>防水層で評価</t>
    <rPh sb="0" eb="2">
      <t>ボウスイ</t>
    </rPh>
    <rPh sb="2" eb="3">
      <t>ソウ</t>
    </rPh>
    <rPh sb="4" eb="6">
      <t>ヒョウカ</t>
    </rPh>
    <phoneticPr fontId="4"/>
  </si>
  <si>
    <t>加点数</t>
    <rPh sb="0" eb="2">
      <t>カテン</t>
    </rPh>
    <rPh sb="2" eb="3">
      <t>スウ</t>
    </rPh>
    <phoneticPr fontId="4"/>
  </si>
  <si>
    <t>レベル</t>
    <phoneticPr fontId="4"/>
  </si>
  <si>
    <t>-</t>
    <phoneticPr fontId="4"/>
  </si>
  <si>
    <t>給水ヘッダー方式または給湯ヘッダー方式を採用している。</t>
  </si>
  <si>
    <t>床下集合配管システム（排水ヘッダー方式、集中排水マス方式等）を採用している。</t>
  </si>
  <si>
    <t>専用の台所その他の家事スペース、便所（原則として水洗便所）、洗面所及び浴室が確保されている。</t>
    <phoneticPr fontId="4"/>
  </si>
  <si>
    <t>世帯構成に対応した適正な規模の収納スペースが確保されている。</t>
    <phoneticPr fontId="4"/>
  </si>
  <si>
    <t>対象外</t>
    <rPh sb="0" eb="3">
      <t>タイショウガイ</t>
    </rPh>
    <phoneticPr fontId="4"/>
  </si>
  <si>
    <t>「居間を含む一体的空間」において、建築基準法で求められる有効採光面積を南面の窓あるいは天窓で確保しているか、昼光利用設備がある。</t>
    <phoneticPr fontId="4"/>
  </si>
  <si>
    <t>「寝室」において、建築基準法で求められる有効採光面積を南面の窓あるいは天窓で確保しているか、昼光利用設備がある。</t>
    <phoneticPr fontId="4"/>
  </si>
  <si>
    <t>（該当するレベルなし）</t>
  </si>
  <si>
    <t>対象外の選択</t>
    <rPh sb="0" eb="3">
      <t>タイショウガイ</t>
    </rPh>
    <rPh sb="4" eb="6">
      <t>センタク</t>
    </rPh>
    <phoneticPr fontId="4"/>
  </si>
  <si>
    <r>
      <t>●</t>
    </r>
    <r>
      <rPr>
        <sz val="10"/>
        <color indexed="18"/>
        <rFont val="Arial"/>
        <family val="2"/>
      </rPr>
      <t>CO2</t>
    </r>
    <r>
      <rPr>
        <sz val="10"/>
        <color indexed="18"/>
        <rFont val="ＭＳ Ｐゴシック"/>
        <family val="3"/>
        <charset val="128"/>
      </rPr>
      <t>独自計算</t>
    </r>
    <rPh sb="4" eb="6">
      <t>ドクジ</t>
    </rPh>
    <rPh sb="6" eb="8">
      <t>ケイサン</t>
    </rPh>
    <phoneticPr fontId="4"/>
  </si>
  <si>
    <r>
      <t>●</t>
    </r>
    <r>
      <rPr>
        <sz val="10"/>
        <color indexed="18"/>
        <rFont val="Arial"/>
        <family val="2"/>
      </rPr>
      <t>CO2</t>
    </r>
    <r>
      <rPr>
        <sz val="10"/>
        <color indexed="18"/>
        <rFont val="ＭＳ Ｐゴシック"/>
        <family val="3"/>
        <charset val="128"/>
      </rPr>
      <t>計算</t>
    </r>
    <rPh sb="4" eb="6">
      <t>ケイサン</t>
    </rPh>
    <phoneticPr fontId="4"/>
  </si>
  <si>
    <t>●採点Ｑ２</t>
    <rPh sb="1" eb="3">
      <t>サイテン</t>
    </rPh>
    <phoneticPr fontId="4"/>
  </si>
  <si>
    <r>
      <t>●</t>
    </r>
    <r>
      <rPr>
        <sz val="10"/>
        <color indexed="18"/>
        <rFont val="Arial"/>
        <family val="2"/>
      </rPr>
      <t>CO2</t>
    </r>
    <r>
      <rPr>
        <sz val="10"/>
        <color indexed="18"/>
        <rFont val="ＭＳ Ｐゴシック"/>
        <family val="3"/>
        <charset val="128"/>
      </rPr>
      <t>データ</t>
    </r>
    <phoneticPr fontId="4"/>
  </si>
  <si>
    <t>●電気排出係数</t>
    <rPh sb="1" eb="3">
      <t>デンキ</t>
    </rPh>
    <rPh sb="3" eb="5">
      <t>ハイシュツ</t>
    </rPh>
    <rPh sb="5" eb="7">
      <t>ケイスウ</t>
    </rPh>
    <phoneticPr fontId="4"/>
  </si>
  <si>
    <t>X目盛線</t>
    <rPh sb="1" eb="3">
      <t>メモ</t>
    </rPh>
    <rPh sb="3" eb="4">
      <t>セン</t>
    </rPh>
    <phoneticPr fontId="4"/>
  </si>
  <si>
    <t>基準</t>
    <rPh sb="0" eb="2">
      <t>キジュン</t>
    </rPh>
    <phoneticPr fontId="4"/>
  </si>
  <si>
    <t>矢印（マイナス）</t>
  </si>
  <si>
    <t>dummy -</t>
  </si>
  <si>
    <t>dummy +</t>
  </si>
  <si>
    <t>またがり矢印 (+)</t>
  </si>
  <si>
    <t>評価対象</t>
    <rPh sb="0" eb="2">
      <t>ヒョウカ</t>
    </rPh>
    <rPh sb="2" eb="4">
      <t>タイショウ</t>
    </rPh>
    <phoneticPr fontId="4"/>
  </si>
  <si>
    <t>評価</t>
    <rPh sb="0" eb="2">
      <t>ヒョウカ</t>
    </rPh>
    <phoneticPr fontId="4"/>
  </si>
  <si>
    <t>原点</t>
    <rPh sb="0" eb="2">
      <t>ゲンテン</t>
    </rPh>
    <phoneticPr fontId="4"/>
  </si>
  <si>
    <t>評価する取り組み</t>
    <rPh sb="0" eb="2">
      <t>ヒョウカ</t>
    </rPh>
    <rPh sb="4" eb="5">
      <t>ト</t>
    </rPh>
    <rPh sb="6" eb="7">
      <t>ク</t>
    </rPh>
    <phoneticPr fontId="4"/>
  </si>
  <si>
    <t>建物全体・共用部分</t>
    <rPh sb="0" eb="2">
      <t>タテモノ</t>
    </rPh>
    <rPh sb="2" eb="4">
      <t>ゼンタイ</t>
    </rPh>
    <rPh sb="5" eb="7">
      <t>キョウヨウ</t>
    </rPh>
    <rPh sb="7" eb="9">
      <t>ブブン</t>
    </rPh>
    <phoneticPr fontId="4"/>
  </si>
  <si>
    <t>重み係数</t>
    <rPh sb="0" eb="1">
      <t>オモ</t>
    </rPh>
    <rPh sb="2" eb="4">
      <t>ケイスウ</t>
    </rPh>
    <phoneticPr fontId="4"/>
  </si>
  <si>
    <t>戸建住宅</t>
    <phoneticPr fontId="4"/>
  </si>
  <si>
    <t>暑さ・寒さ</t>
    <rPh sb="0" eb="1">
      <t>アツ</t>
    </rPh>
    <rPh sb="3" eb="4">
      <t>サム</t>
    </rPh>
    <phoneticPr fontId="4"/>
  </si>
  <si>
    <t>基本性能</t>
    <rPh sb="0" eb="2">
      <t>キホン</t>
    </rPh>
    <rPh sb="2" eb="4">
      <t>セイノウ</t>
    </rPh>
    <phoneticPr fontId="4"/>
  </si>
  <si>
    <t>○</t>
    <phoneticPr fontId="4"/>
  </si>
  <si>
    <t>ON</t>
    <phoneticPr fontId="4"/>
  </si>
  <si>
    <t>確認日</t>
    <rPh sb="0" eb="2">
      <t>カクニン</t>
    </rPh>
    <rPh sb="2" eb="3">
      <t>ビ</t>
    </rPh>
    <phoneticPr fontId="4"/>
  </si>
  <si>
    <t>修繕・更新・
解体段階</t>
    <phoneticPr fontId="4"/>
  </si>
  <si>
    <t>①参照値／
②建築物の取組み</t>
    <phoneticPr fontId="4"/>
  </si>
  <si>
    <t>③上記+②以外の
　オンサイト手法</t>
    <phoneticPr fontId="4"/>
  </si>
  <si>
    <t>－</t>
    <phoneticPr fontId="4"/>
  </si>
  <si>
    <t>④上記+
　オフサイト手法</t>
    <phoneticPr fontId="4"/>
  </si>
  <si>
    <t>(a-2)　グリーン熱証書によるカーボンオフセット</t>
    <phoneticPr fontId="4"/>
  </si>
  <si>
    <t>-</t>
    <phoneticPr fontId="4"/>
  </si>
  <si>
    <t>(a-3)　その他のカーボンオフセット</t>
    <phoneticPr fontId="4"/>
  </si>
  <si>
    <t>(b)　調整後排出量（調整後排出係数による）と実排出量との差</t>
    <phoneticPr fontId="4"/>
  </si>
  <si>
    <t>排出係数</t>
    <phoneticPr fontId="4"/>
  </si>
  <si>
    <r>
      <t>kg-CO</t>
    </r>
    <r>
      <rPr>
        <vertAlign val="subscript"/>
        <sz val="10"/>
        <rFont val="ＭＳ Ｐゴシック"/>
        <family val="3"/>
        <charset val="128"/>
      </rPr>
      <t>2</t>
    </r>
    <r>
      <rPr>
        <sz val="10"/>
        <rFont val="ＭＳ Ｐゴシック"/>
        <family val="3"/>
        <charset val="128"/>
      </rPr>
      <t>/kWh</t>
    </r>
    <phoneticPr fontId="4"/>
  </si>
  <si>
    <r>
      <t>kg-CO</t>
    </r>
    <r>
      <rPr>
        <vertAlign val="subscript"/>
        <sz val="10"/>
        <rFont val="ＭＳ Ｐゴシック"/>
        <family val="3"/>
        <charset val="128"/>
      </rPr>
      <t>2</t>
    </r>
    <r>
      <rPr>
        <sz val="10"/>
        <rFont val="ＭＳ Ｐゴシック"/>
        <family val="3"/>
        <charset val="128"/>
      </rPr>
      <t>/kWh</t>
    </r>
    <phoneticPr fontId="4"/>
  </si>
  <si>
    <t>（C)－（D)</t>
    <phoneticPr fontId="4"/>
  </si>
  <si>
    <r>
      <t>LR</t>
    </r>
    <r>
      <rPr>
        <b/>
        <vertAlign val="subscript"/>
        <sz val="11"/>
        <rFont val="ＭＳ Ｐゴシック"/>
        <family val="3"/>
        <charset val="128"/>
      </rPr>
      <t>H</t>
    </r>
    <phoneticPr fontId="4"/>
  </si>
  <si>
    <t>1.3.2</t>
    <phoneticPr fontId="4"/>
  </si>
  <si>
    <t>3.2</t>
    <phoneticPr fontId="4"/>
  </si>
  <si>
    <r>
      <t>Q</t>
    </r>
    <r>
      <rPr>
        <b/>
        <vertAlign val="subscript"/>
        <sz val="10"/>
        <rFont val="ＭＳ Ｐゴシック"/>
        <family val="3"/>
        <charset val="128"/>
      </rPr>
      <t>H</t>
    </r>
    <r>
      <rPr>
        <b/>
        <sz val="10"/>
        <rFont val="ＭＳ Ｐゴシック"/>
        <family val="3"/>
        <charset val="128"/>
      </rPr>
      <t>2</t>
    </r>
    <phoneticPr fontId="4"/>
  </si>
  <si>
    <r>
      <t>Q</t>
    </r>
    <r>
      <rPr>
        <b/>
        <vertAlign val="subscript"/>
        <sz val="10"/>
        <rFont val="ＭＳ Ｐゴシック"/>
        <family val="3"/>
        <charset val="128"/>
      </rPr>
      <t>H</t>
    </r>
    <r>
      <rPr>
        <b/>
        <sz val="10"/>
        <rFont val="ＭＳ Ｐゴシック"/>
        <family val="3"/>
        <charset val="128"/>
      </rPr>
      <t>3</t>
    </r>
    <phoneticPr fontId="4"/>
  </si>
  <si>
    <t>生物環境の創出</t>
    <phoneticPr fontId="4"/>
  </si>
  <si>
    <r>
      <t>LR</t>
    </r>
    <r>
      <rPr>
        <b/>
        <vertAlign val="subscript"/>
        <sz val="10"/>
        <rFont val="ＭＳ Ｐゴシック"/>
        <family val="3"/>
        <charset val="128"/>
      </rPr>
      <t>H</t>
    </r>
    <r>
      <rPr>
        <b/>
        <sz val="10"/>
        <rFont val="ＭＳ Ｐゴシック"/>
        <family val="3"/>
        <charset val="128"/>
      </rPr>
      <t>1</t>
    </r>
    <phoneticPr fontId="4"/>
  </si>
  <si>
    <t>エネルギーと水を大切に使う</t>
    <phoneticPr fontId="4"/>
  </si>
  <si>
    <r>
      <t>LR</t>
    </r>
    <r>
      <rPr>
        <b/>
        <vertAlign val="subscript"/>
        <sz val="10"/>
        <rFont val="ＭＳ Ｐゴシック"/>
        <family val="3"/>
        <charset val="128"/>
      </rPr>
      <t>H</t>
    </r>
    <r>
      <rPr>
        <b/>
        <sz val="10"/>
        <rFont val="ＭＳ Ｐゴシック"/>
        <family val="3"/>
        <charset val="128"/>
      </rPr>
      <t>2</t>
    </r>
    <phoneticPr fontId="4"/>
  </si>
  <si>
    <t>3.2</t>
    <phoneticPr fontId="4"/>
  </si>
  <si>
    <r>
      <t>LR</t>
    </r>
    <r>
      <rPr>
        <b/>
        <vertAlign val="subscript"/>
        <sz val="10"/>
        <rFont val="ＭＳ Ｐゴシック"/>
        <family val="3"/>
        <charset val="128"/>
      </rPr>
      <t>H</t>
    </r>
    <r>
      <rPr>
        <b/>
        <sz val="10"/>
        <rFont val="ＭＳ Ｐゴシック"/>
        <family val="3"/>
        <charset val="128"/>
      </rPr>
      <t>3</t>
    </r>
    <phoneticPr fontId="4"/>
  </si>
  <si>
    <t>1</t>
    <phoneticPr fontId="4"/>
  </si>
  <si>
    <t>2.3</t>
    <phoneticPr fontId="4"/>
  </si>
  <si>
    <t>2</t>
    <phoneticPr fontId="4"/>
  </si>
  <si>
    <t>2.3</t>
    <phoneticPr fontId="4"/>
  </si>
  <si>
    <t>2.1</t>
    <phoneticPr fontId="4"/>
  </si>
  <si>
    <t>2.3.3</t>
    <phoneticPr fontId="4"/>
  </si>
  <si>
    <t>地域インフラの負荷抑制</t>
    <phoneticPr fontId="4"/>
  </si>
  <si>
    <t>2.2</t>
    <phoneticPr fontId="4"/>
  </si>
  <si>
    <t>既存の自然環境の保全</t>
    <phoneticPr fontId="4"/>
  </si>
  <si>
    <t>3</t>
    <phoneticPr fontId="4"/>
  </si>
  <si>
    <t>2.3</t>
    <phoneticPr fontId="4"/>
  </si>
  <si>
    <t>3.1</t>
    <phoneticPr fontId="4"/>
  </si>
  <si>
    <t>2.3.2</t>
    <phoneticPr fontId="4"/>
  </si>
  <si>
    <t>3.2</t>
    <phoneticPr fontId="4"/>
  </si>
  <si>
    <t>2.3.2</t>
    <phoneticPr fontId="4"/>
  </si>
  <si>
    <t>確認者</t>
    <rPh sb="0" eb="2">
      <t>カクニン</t>
    </rPh>
    <rPh sb="2" eb="3">
      <t>シャ</t>
    </rPh>
    <phoneticPr fontId="4"/>
  </si>
  <si>
    <t>1）概要入力</t>
    <rPh sb="2" eb="4">
      <t>ガイヨウ</t>
    </rPh>
    <rPh sb="4" eb="6">
      <t>ニュウリョク</t>
    </rPh>
    <phoneticPr fontId="4"/>
  </si>
  <si>
    <r>
      <t>Q</t>
    </r>
    <r>
      <rPr>
        <b/>
        <vertAlign val="subscript"/>
        <sz val="12"/>
        <color indexed="9"/>
        <rFont val="ＭＳ Ｐゴシック"/>
        <family val="3"/>
        <charset val="128"/>
      </rPr>
      <t>H</t>
    </r>
    <r>
      <rPr>
        <b/>
        <sz val="12"/>
        <color indexed="9"/>
        <rFont val="ＭＳ Ｐゴシック"/>
        <family val="3"/>
        <charset val="128"/>
      </rPr>
      <t>　すまいの環境品質</t>
    </r>
    <phoneticPr fontId="4"/>
  </si>
  <si>
    <r>
      <t>kg-CO</t>
    </r>
    <r>
      <rPr>
        <vertAlign val="subscript"/>
        <sz val="9"/>
        <rFont val="ＭＳ Ｐゴシック"/>
        <family val="3"/>
        <charset val="128"/>
      </rPr>
      <t>2</t>
    </r>
    <r>
      <rPr>
        <sz val="9"/>
        <rFont val="ＭＳ Ｐゴシック"/>
        <family val="3"/>
        <charset val="128"/>
      </rPr>
      <t>/年㎡</t>
    </r>
    <rPh sb="7" eb="8">
      <t>ネン</t>
    </rPh>
    <phoneticPr fontId="4"/>
  </si>
  <si>
    <t>該当する開口部の日射侵入率を、夏期に0.60以下とできる。</t>
    <phoneticPr fontId="4"/>
  </si>
  <si>
    <t>該当する開口部の日射侵入率を、夏期に0.45以下とできる。</t>
    <phoneticPr fontId="4"/>
  </si>
  <si>
    <t>水の節約</t>
    <rPh sb="0" eb="1">
      <t>スイ</t>
    </rPh>
    <rPh sb="2" eb="4">
      <t>セツヤク</t>
    </rPh>
    <phoneticPr fontId="4"/>
  </si>
  <si>
    <t>節水型設備</t>
    <phoneticPr fontId="4"/>
  </si>
  <si>
    <t>住まい方の提示</t>
  </si>
  <si>
    <t>低環境負荷材料</t>
    <rPh sb="0" eb="1">
      <t>テイ</t>
    </rPh>
    <rPh sb="1" eb="3">
      <t>カンキョウ</t>
    </rPh>
    <rPh sb="3" eb="5">
      <t>フカ</t>
    </rPh>
    <rPh sb="5" eb="7">
      <t>ザイリョウ</t>
    </rPh>
    <phoneticPr fontId="4"/>
  </si>
  <si>
    <t>Y目盛線</t>
    <rPh sb="1" eb="3">
      <t>メモ</t>
    </rPh>
    <rPh sb="3" eb="4">
      <t>セン</t>
    </rPh>
    <phoneticPr fontId="4"/>
  </si>
  <si>
    <t>■　環境設計の配慮事項</t>
    <rPh sb="2" eb="4">
      <t>カンキョウ</t>
    </rPh>
    <rPh sb="4" eb="6">
      <t>セッケイ</t>
    </rPh>
    <rPh sb="7" eb="9">
      <t>ハイリョ</t>
    </rPh>
    <rPh sb="9" eb="11">
      <t>ジコウ</t>
    </rPh>
    <phoneticPr fontId="4"/>
  </si>
  <si>
    <t>合計＝</t>
    <phoneticPr fontId="4"/>
  </si>
  <si>
    <r>
      <t>c</t>
    </r>
    <r>
      <rPr>
        <sz val="11"/>
        <rFont val="ＭＳ Ｐゴシック"/>
        <family val="3"/>
        <charset val="128"/>
      </rPr>
      <t>ommon</t>
    </r>
    <phoneticPr fontId="4"/>
  </si>
  <si>
    <t>竣工段階</t>
    <rPh sb="0" eb="2">
      <t>シュンコウ</t>
    </rPh>
    <rPh sb="2" eb="4">
      <t>ダンカイ</t>
    </rPh>
    <phoneticPr fontId="4"/>
  </si>
  <si>
    <t>　レベル　1</t>
    <phoneticPr fontId="4"/>
  </si>
  <si>
    <t>　レベル　2</t>
  </si>
  <si>
    <t>　レベル　3</t>
  </si>
  <si>
    <t>　レベル　4</t>
  </si>
  <si>
    <t>　レベル　5</t>
  </si>
  <si>
    <t>重み
係数</t>
    <rPh sb="0" eb="1">
      <t>オモ</t>
    </rPh>
    <phoneticPr fontId="4"/>
  </si>
  <si>
    <t>1.1.1</t>
  </si>
  <si>
    <t>1.1.2</t>
  </si>
  <si>
    <t>項目</t>
    <rPh sb="0" eb="2">
      <t>コウモク</t>
    </rPh>
    <phoneticPr fontId="4"/>
  </si>
  <si>
    <t>■建設地</t>
    <rPh sb="1" eb="4">
      <t>ｹﾝｾﾂﾁ</t>
    </rPh>
    <phoneticPr fontId="18" type="noConversion"/>
  </si>
  <si>
    <t>■パッシブ地域区分</t>
    <rPh sb="5" eb="7">
      <t>チイキ</t>
    </rPh>
    <rPh sb="7" eb="9">
      <t>クブン</t>
    </rPh>
    <phoneticPr fontId="4"/>
  </si>
  <si>
    <t>■建物用途名</t>
    <rPh sb="1" eb="3">
      <t>タテモノ</t>
    </rPh>
    <rPh sb="3" eb="5">
      <t>ヨウト</t>
    </rPh>
    <rPh sb="5" eb="6">
      <t>メイ</t>
    </rPh>
    <phoneticPr fontId="4"/>
  </si>
  <si>
    <t>■用途</t>
    <rPh sb="1" eb="3">
      <t>ヨウト</t>
    </rPh>
    <phoneticPr fontId="4"/>
  </si>
  <si>
    <t>戸建住宅</t>
  </si>
  <si>
    <t>暑さ・寒さ</t>
  </si>
  <si>
    <t>基本性能</t>
  </si>
  <si>
    <t>日射の調整機能</t>
  </si>
  <si>
    <t>夏の暑さを防ぐ</t>
  </si>
  <si>
    <t>風を取り込み、熱気を逃がす</t>
  </si>
  <si>
    <t>適切な冷房計画</t>
  </si>
  <si>
    <t>冬の寒さを防ぐ</t>
  </si>
  <si>
    <t>適切な暖房計画</t>
  </si>
  <si>
    <t>健康と安全・安心</t>
  </si>
  <si>
    <t>化学汚染物質の対策</t>
  </si>
  <si>
    <t>犯罪に備える</t>
  </si>
  <si>
    <t>明るさ</t>
  </si>
  <si>
    <t>昼光の利用</t>
  </si>
  <si>
    <t>静かさ</t>
  </si>
  <si>
    <t>長く使い続ける</t>
  </si>
  <si>
    <t>躯体</t>
    <rPh sb="0" eb="2">
      <t>クタイ</t>
    </rPh>
    <phoneticPr fontId="4"/>
  </si>
  <si>
    <t>自然災害に耐える</t>
  </si>
  <si>
    <t>火災に備える</t>
  </si>
  <si>
    <t>火災の早期感知</t>
  </si>
  <si>
    <t>維持管理</t>
  </si>
  <si>
    <t>維持管理</t>
    <rPh sb="0" eb="2">
      <t>イジ</t>
    </rPh>
    <rPh sb="2" eb="4">
      <t>カンリ</t>
    </rPh>
    <phoneticPr fontId="4"/>
  </si>
  <si>
    <t>維持管理のしやすさ</t>
  </si>
  <si>
    <t>維持管理のしやすさ</t>
    <rPh sb="0" eb="2">
      <t>イジ</t>
    </rPh>
    <rPh sb="2" eb="4">
      <t>カンリ</t>
    </rPh>
    <phoneticPr fontId="4"/>
  </si>
  <si>
    <t>広さと間取り</t>
  </si>
  <si>
    <t>バリアフリー対応</t>
  </si>
  <si>
    <t>まちなみ・生態系を豊かにする</t>
  </si>
  <si>
    <t>地域の安全・安心</t>
  </si>
  <si>
    <t>敷地内の緑化</t>
  </si>
  <si>
    <t>生物の生息環境の確保</t>
  </si>
  <si>
    <t>水の節約</t>
  </si>
  <si>
    <t>節水型設備</t>
  </si>
  <si>
    <t>N.A.</t>
  </si>
  <si>
    <t>雨水の利用</t>
  </si>
  <si>
    <t>エネルギーの管理と制御</t>
  </si>
  <si>
    <t>維持管理と運用の工夫</t>
  </si>
  <si>
    <t>資源を大切に使いゴミを減らす</t>
  </si>
  <si>
    <t>省資源、廃棄物抑制に役立つ材料の採用</t>
  </si>
  <si>
    <t>構造躯体</t>
  </si>
  <si>
    <t>木質系住宅</t>
  </si>
  <si>
    <t>鉄骨系住宅</t>
  </si>
  <si>
    <t>コンクリート系住宅</t>
  </si>
  <si>
    <t>地盤補強材・地業・基礎</t>
  </si>
  <si>
    <t>外装材</t>
  </si>
  <si>
    <t>内装材</t>
  </si>
  <si>
    <t>外構材</t>
  </si>
  <si>
    <t>生産・施工段階における廃棄物削減</t>
  </si>
  <si>
    <t>施工段階</t>
  </si>
  <si>
    <t>使用材料の情報提供</t>
  </si>
  <si>
    <t>1</t>
  </si>
  <si>
    <t>1.1</t>
  </si>
  <si>
    <t>1.1.1.1</t>
  </si>
  <si>
    <t>1.2.1</t>
  </si>
  <si>
    <t>1.1.1.2</t>
  </si>
  <si>
    <t>1.2.2</t>
  </si>
  <si>
    <t>1.3.1</t>
  </si>
  <si>
    <t>1.1.3</t>
  </si>
  <si>
    <t>1.2</t>
  </si>
  <si>
    <t>1.5.1</t>
  </si>
  <si>
    <t>1.5.2</t>
  </si>
  <si>
    <t>1.2.3</t>
  </si>
  <si>
    <t>2</t>
  </si>
  <si>
    <t>2.1</t>
  </si>
  <si>
    <t>2.2</t>
  </si>
  <si>
    <t>2.2.1.1</t>
  </si>
  <si>
    <t>リサイクルの促進</t>
  </si>
  <si>
    <t>2.2.3</t>
  </si>
  <si>
    <t>長寿命に対する基本性能</t>
    <rPh sb="0" eb="1">
      <t>チョウ</t>
    </rPh>
    <rPh sb="1" eb="2">
      <t>コトブキ</t>
    </rPh>
    <phoneticPr fontId="4"/>
  </si>
  <si>
    <t>外壁材</t>
    <rPh sb="0" eb="2">
      <t>ガイヘキ</t>
    </rPh>
    <rPh sb="2" eb="3">
      <t>ザイ</t>
    </rPh>
    <phoneticPr fontId="4"/>
  </si>
  <si>
    <t>住まい方の堤示</t>
    <rPh sb="6" eb="7">
      <t>シメ</t>
    </rPh>
    <phoneticPr fontId="4"/>
  </si>
  <si>
    <t>長寿命に対する基本性能</t>
    <rPh sb="0" eb="2">
      <t>チョウジュ</t>
    </rPh>
    <rPh sb="2" eb="3">
      <t>イノチ</t>
    </rPh>
    <rPh sb="4" eb="5">
      <t>タイ</t>
    </rPh>
    <rPh sb="7" eb="9">
      <t>キホン</t>
    </rPh>
    <rPh sb="9" eb="11">
      <t>セイノウ</t>
    </rPh>
    <phoneticPr fontId="4"/>
  </si>
  <si>
    <t>12～25年未満の耐用性が期待される。</t>
    <phoneticPr fontId="4"/>
  </si>
  <si>
    <t>25～50年未満の耐用性が期待される。</t>
    <phoneticPr fontId="4"/>
  </si>
  <si>
    <t>単位</t>
    <rPh sb="0" eb="2">
      <t>タンイ</t>
    </rPh>
    <phoneticPr fontId="4"/>
  </si>
  <si>
    <t>生産段階（構造躯体用以外の部材）</t>
    <rPh sb="9" eb="10">
      <t>ヨウ</t>
    </rPh>
    <phoneticPr fontId="4"/>
  </si>
  <si>
    <t>生産段階（構造躯体用部材）</t>
    <rPh sb="9" eb="10">
      <t>ヨウ</t>
    </rPh>
    <phoneticPr fontId="4"/>
  </si>
  <si>
    <r>
      <t>このグラフは、一般的な住宅（参照値）と比べたライフサイクル</t>
    </r>
    <r>
      <rPr>
        <sz val="11"/>
        <color indexed="10"/>
        <rFont val="Arial"/>
        <family val="2"/>
      </rPr>
      <t xml:space="preserve">CO2 </t>
    </r>
    <r>
      <rPr>
        <sz val="11"/>
        <color indexed="10"/>
        <rFont val="ＭＳ Ｐゴシック"/>
        <family val="3"/>
        <charset val="128"/>
      </rPr>
      <t>排出量を評価者自身の計算（独自計算）により算出した結果を示しています。</t>
    </r>
    <r>
      <rPr>
        <sz val="11"/>
        <color indexed="10"/>
        <rFont val="Arial"/>
        <family val="2"/>
      </rPr>
      <t>LCCO2</t>
    </r>
    <r>
      <rPr>
        <sz val="11"/>
        <color indexed="10"/>
        <rFont val="ＭＳ Ｐゴシック"/>
        <family val="3"/>
        <charset val="128"/>
      </rPr>
      <t>の算定条件等については、「</t>
    </r>
    <r>
      <rPr>
        <sz val="11"/>
        <color indexed="10"/>
        <rFont val="Arial"/>
        <family val="2"/>
      </rPr>
      <t>CO2</t>
    </r>
    <r>
      <rPr>
        <sz val="11"/>
        <color indexed="10"/>
        <rFont val="ＭＳ Ｐゴシック"/>
        <family val="3"/>
        <charset val="128"/>
      </rPr>
      <t>独自計算シート」を参照</t>
    </r>
    <rPh sb="37" eb="39">
      <t>ヒョウカ</t>
    </rPh>
    <rPh sb="39" eb="40">
      <t>シャ</t>
    </rPh>
    <rPh sb="40" eb="42">
      <t>ジシン</t>
    </rPh>
    <rPh sb="43" eb="45">
      <t>ケイサン</t>
    </rPh>
    <rPh sb="46" eb="48">
      <t>ドクジ</t>
    </rPh>
    <rPh sb="48" eb="50">
      <t>ケイサン</t>
    </rPh>
    <rPh sb="54" eb="56">
      <t>サンシュツ</t>
    </rPh>
    <rPh sb="58" eb="60">
      <t>ケッカ</t>
    </rPh>
    <rPh sb="61" eb="62">
      <t>シメ</t>
    </rPh>
    <rPh sb="89" eb="91">
      <t>ドクジ</t>
    </rPh>
    <rPh sb="91" eb="93">
      <t>ケイサン</t>
    </rPh>
    <phoneticPr fontId="4"/>
  </si>
  <si>
    <t>削減分</t>
    <rPh sb="0" eb="2">
      <t>サクゲン</t>
    </rPh>
    <rPh sb="2" eb="3">
      <t>ブン</t>
    </rPh>
    <phoneticPr fontId="4"/>
  </si>
  <si>
    <t>地球温暖化への配慮</t>
    <rPh sb="0" eb="2">
      <t>チキュウ</t>
    </rPh>
    <rPh sb="2" eb="5">
      <t>オンダンカ</t>
    </rPh>
    <phoneticPr fontId="4"/>
  </si>
  <si>
    <t>地球環境への配慮</t>
    <rPh sb="0" eb="2">
      <t>チキュウ</t>
    </rPh>
    <rPh sb="2" eb="4">
      <t>カンキョウ</t>
    </rPh>
    <rPh sb="6" eb="8">
      <t>ハイリョ</t>
    </rPh>
    <phoneticPr fontId="4"/>
  </si>
  <si>
    <t>日本住宅性能表示基準「9-1 高齢者等配慮対策等級（専用部分）」における等級１を満たす。</t>
    <phoneticPr fontId="4"/>
  </si>
  <si>
    <t>日本住宅性能表示基準「9-1 高齢者等配慮対策等級（専用部分）」における等級２を満たす。</t>
    <phoneticPr fontId="4"/>
  </si>
  <si>
    <t>日本住宅性能表示基準「9-1 高齢者等配慮対策等級（専用部分）」における等級３を満たす。</t>
    <phoneticPr fontId="4"/>
  </si>
  <si>
    <t>日本住宅性能表示基準「9-1 高齢者等配慮対策等級（専用部分）」における等級４以上を満たす</t>
    <phoneticPr fontId="4"/>
  </si>
  <si>
    <t>災害に備える</t>
    <rPh sb="0" eb="2">
      <t>サイガイ</t>
    </rPh>
    <rPh sb="3" eb="4">
      <t>ソナ</t>
    </rPh>
    <phoneticPr fontId="4"/>
  </si>
  <si>
    <t>評価する取組み１の①から③のいずれか２つを行っている。</t>
    <phoneticPr fontId="4"/>
  </si>
  <si>
    <t>レベル４を満たし、かつ評価する取組み２を行っている。</t>
    <phoneticPr fontId="4"/>
  </si>
  <si>
    <t>レベル４を満たさない。</t>
    <phoneticPr fontId="4"/>
  </si>
  <si>
    <t>屋内の人的</t>
    <phoneticPr fontId="4"/>
  </si>
  <si>
    <t>①主寝室において、家具の転倒防止策がとられている。</t>
  </si>
  <si>
    <t>②台所において、食器等の落下防止策がとられている。</t>
  </si>
  <si>
    <t>2　災害発生後の一時的な自立</t>
    <phoneticPr fontId="4"/>
  </si>
  <si>
    <t>災害発生後に住戸内で一時的に生活を続けられる取組みをしており、その方法をすまい手に伝えている。</t>
    <phoneticPr fontId="4"/>
  </si>
  <si>
    <t>③住戸内に停電時に自動点灯する照明が設置されている。</t>
    <phoneticPr fontId="4"/>
  </si>
  <si>
    <t>安全対策</t>
    <phoneticPr fontId="4"/>
  </si>
  <si>
    <t>上記以外の取り組み（※地域の防災計画等に基づいた取組みを行っている場合のみ）</t>
    <rPh sb="0" eb="2">
      <t>ジョウキ</t>
    </rPh>
    <rPh sb="2" eb="4">
      <t>イガイ</t>
    </rPh>
    <rPh sb="5" eb="6">
      <t>ト</t>
    </rPh>
    <rPh sb="7" eb="8">
      <t>ク</t>
    </rPh>
    <phoneticPr fontId="4"/>
  </si>
  <si>
    <t>躯体と設備による省エネ</t>
    <rPh sb="0" eb="2">
      <t>クタイ</t>
    </rPh>
    <rPh sb="3" eb="5">
      <t>セツビ</t>
    </rPh>
    <rPh sb="8" eb="9">
      <t>ショウ</t>
    </rPh>
    <phoneticPr fontId="4"/>
  </si>
  <si>
    <t>備考</t>
    <rPh sb="0" eb="2">
      <t>ビコウ</t>
    </rPh>
    <phoneticPr fontId="4"/>
  </si>
  <si>
    <t>評価する</t>
    <rPh sb="0" eb="2">
      <t>ヒョウカ</t>
    </rPh>
    <phoneticPr fontId="4"/>
  </si>
  <si>
    <t>MJ/年</t>
    <rPh sb="3" eb="4">
      <t>ネン</t>
    </rPh>
    <phoneticPr fontId="4"/>
  </si>
  <si>
    <t>家電・調理除く</t>
    <rPh sb="0" eb="2">
      <t>カデン</t>
    </rPh>
    <rPh sb="3" eb="5">
      <t>チョウリ</t>
    </rPh>
    <rPh sb="5" eb="6">
      <t>ノゾ</t>
    </rPh>
    <phoneticPr fontId="4"/>
  </si>
  <si>
    <t>消費率に基づくスコア換算</t>
    <rPh sb="0" eb="2">
      <t>ショウヒ</t>
    </rPh>
    <rPh sb="2" eb="3">
      <t>リツ</t>
    </rPh>
    <rPh sb="4" eb="5">
      <t>モト</t>
    </rPh>
    <rPh sb="10" eb="12">
      <t>カンサン</t>
    </rPh>
    <phoneticPr fontId="4"/>
  </si>
  <si>
    <t>一次エネルギー消費量による評価</t>
    <phoneticPr fontId="4"/>
  </si>
  <si>
    <t>家電・厨房機器による省エネ</t>
    <rPh sb="10" eb="11">
      <t>ショウ</t>
    </rPh>
    <phoneticPr fontId="4"/>
  </si>
  <si>
    <t>下記採点表による採点が、０点</t>
  </si>
  <si>
    <t>下記採点表による採点が、１点</t>
  </si>
  <si>
    <t>下記採点表による採点が、２点以上５点未満</t>
  </si>
  <si>
    <t>下記採点表による採点が、５点</t>
  </si>
  <si>
    <t>電気冷蔵庫</t>
    <rPh sb="0" eb="2">
      <t>デンキ</t>
    </rPh>
    <rPh sb="2" eb="5">
      <t>レイゾウコ</t>
    </rPh>
    <phoneticPr fontId="4"/>
  </si>
  <si>
    <t>電気便座</t>
    <rPh sb="0" eb="2">
      <t>デンキ</t>
    </rPh>
    <rPh sb="2" eb="4">
      <t>ベンザ</t>
    </rPh>
    <phoneticPr fontId="4"/>
  </si>
  <si>
    <t>テレビ</t>
    <phoneticPr fontId="4"/>
  </si>
  <si>
    <t>ガスこんろ</t>
    <phoneticPr fontId="4"/>
  </si>
  <si>
    <t>電気クッキングヒーター</t>
    <phoneticPr fontId="4"/>
  </si>
  <si>
    <t>節水トイレの設置</t>
    <phoneticPr fontId="4"/>
  </si>
  <si>
    <t>節水水栓の設置</t>
    <phoneticPr fontId="4"/>
  </si>
  <si>
    <t>食器用洗浄機の設置</t>
    <phoneticPr fontId="4"/>
  </si>
  <si>
    <t>レベル４を超える水準の取組みをしている。</t>
    <phoneticPr fontId="4"/>
  </si>
  <si>
    <t>3-1.　建築物の取組み（②）</t>
    <phoneticPr fontId="4"/>
  </si>
  <si>
    <t>評価対象（②）</t>
    <phoneticPr fontId="4"/>
  </si>
  <si>
    <t>参照値（①）</t>
    <phoneticPr fontId="4"/>
  </si>
  <si>
    <t>ﾚﾍﾞﾙ１</t>
    <phoneticPr fontId="4"/>
  </si>
  <si>
    <t>ﾚﾍﾞﾙ２</t>
    <phoneticPr fontId="4"/>
  </si>
  <si>
    <t>ﾚﾍﾞﾙ３</t>
    <phoneticPr fontId="4"/>
  </si>
  <si>
    <t>ﾚﾍﾞﾙ５</t>
    <phoneticPr fontId="4"/>
  </si>
  <si>
    <t>採点結果</t>
    <phoneticPr fontId="4"/>
  </si>
  <si>
    <t>消費率</t>
    <phoneticPr fontId="4"/>
  </si>
  <si>
    <t>採点結果</t>
    <phoneticPr fontId="4"/>
  </si>
  <si>
    <t>基準値</t>
    <phoneticPr fontId="4"/>
  </si>
  <si>
    <t>LR1/4.　維持管理の運用の工夫</t>
    <phoneticPr fontId="4"/>
  </si>
  <si>
    <t>低減率</t>
    <phoneticPr fontId="4"/>
  </si>
  <si>
    <t>3-2.　上記+上記以外のオンサイト手法（③）</t>
    <phoneticPr fontId="4"/>
  </si>
  <si>
    <t>N.A.</t>
    <phoneticPr fontId="4"/>
  </si>
  <si>
    <t>DHC</t>
  </si>
  <si>
    <t>Ａ重油</t>
  </si>
  <si>
    <t>家庭部門エネルギー種別構成比</t>
    <rPh sb="0" eb="2">
      <t>カテイ</t>
    </rPh>
    <rPh sb="2" eb="4">
      <t>ブモン</t>
    </rPh>
    <rPh sb="9" eb="11">
      <t>シュベツ</t>
    </rPh>
    <rPh sb="11" eb="14">
      <t>コウセイヒ</t>
    </rPh>
    <phoneticPr fontId="4"/>
  </si>
  <si>
    <t>都市ガス</t>
    <rPh sb="0" eb="2">
      <t>トシ</t>
    </rPh>
    <phoneticPr fontId="3"/>
  </si>
  <si>
    <t>灯油</t>
    <rPh sb="0" eb="2">
      <t>トウユ</t>
    </rPh>
    <phoneticPr fontId="3"/>
  </si>
  <si>
    <t>その他</t>
    <rPh sb="2" eb="3">
      <t>タ</t>
    </rPh>
    <phoneticPr fontId="3"/>
  </si>
  <si>
    <t>LPG</t>
    <phoneticPr fontId="4"/>
  </si>
  <si>
    <t>電力</t>
    <rPh sb="0" eb="2">
      <t>デンリョク</t>
    </rPh>
    <phoneticPr fontId="4"/>
  </si>
  <si>
    <t>都市ガス</t>
    <rPh sb="0" eb="2">
      <t>トシ</t>
    </rPh>
    <phoneticPr fontId="4"/>
  </si>
  <si>
    <t>DHC</t>
    <phoneticPr fontId="4"/>
  </si>
  <si>
    <t>灯油</t>
    <rPh sb="0" eb="2">
      <t>トウユ</t>
    </rPh>
    <phoneticPr fontId="4"/>
  </si>
  <si>
    <t>A重油</t>
    <rPh sb="1" eb="3">
      <t>ジュウユ</t>
    </rPh>
    <phoneticPr fontId="4"/>
  </si>
  <si>
    <t>構成比(％)</t>
    <rPh sb="0" eb="3">
      <t>コウセイヒ</t>
    </rPh>
    <phoneticPr fontId="4"/>
  </si>
  <si>
    <t>(灯油＋A重油の平均値）</t>
    <rPh sb="1" eb="3">
      <t>トウユ</t>
    </rPh>
    <rPh sb="5" eb="7">
      <t>ジュウユ</t>
    </rPh>
    <rPh sb="8" eb="11">
      <t>ヘイキンチ</t>
    </rPh>
    <phoneticPr fontId="3"/>
  </si>
  <si>
    <t>（調整後排出係数</t>
    <rPh sb="1" eb="4">
      <t>チョウセイゴ</t>
    </rPh>
    <rPh sb="4" eb="6">
      <t>ハイシュツ</t>
    </rPh>
    <rPh sb="6" eb="8">
      <t>ケイスウ</t>
    </rPh>
    <phoneticPr fontId="4"/>
  </si>
  <si>
    <t>躯体と設備による省エネ</t>
    <phoneticPr fontId="4"/>
  </si>
  <si>
    <t>総合的な省エネ</t>
    <rPh sb="0" eb="3">
      <t>ソウゴウテキ</t>
    </rPh>
    <rPh sb="4" eb="5">
      <t>ショウ</t>
    </rPh>
    <phoneticPr fontId="4"/>
  </si>
  <si>
    <t>1.2</t>
    <phoneticPr fontId="4"/>
  </si>
  <si>
    <t>家電・厨房機器による省エネ</t>
    <rPh sb="5" eb="7">
      <t>キキ</t>
    </rPh>
    <rPh sb="10" eb="11">
      <t>ショウ</t>
    </rPh>
    <phoneticPr fontId="4"/>
  </si>
  <si>
    <t>2.4</t>
    <phoneticPr fontId="4"/>
  </si>
  <si>
    <t>1.1.2</t>
    <phoneticPr fontId="4"/>
  </si>
  <si>
    <t>2.1.1</t>
    <phoneticPr fontId="4"/>
  </si>
  <si>
    <t>総合的な省エネ</t>
    <rPh sb="0" eb="3">
      <t>ソウゴウテキ</t>
    </rPh>
    <phoneticPr fontId="4"/>
  </si>
  <si>
    <t>災害に備える</t>
    <rPh sb="0" eb="2">
      <t>サイガイ</t>
    </rPh>
    <phoneticPr fontId="4"/>
  </si>
  <si>
    <t>N.A.</t>
    <phoneticPr fontId="4"/>
  </si>
  <si>
    <t>地域</t>
    <rPh sb="0" eb="2">
      <t>チイキ</t>
    </rPh>
    <phoneticPr fontId="4"/>
  </si>
  <si>
    <t>防災性の
向上</t>
    <rPh sb="0" eb="1">
      <t>フセ</t>
    </rPh>
    <rPh sb="1" eb="2">
      <t>サイ</t>
    </rPh>
    <rPh sb="2" eb="3">
      <t>セイ</t>
    </rPh>
    <rPh sb="5" eb="7">
      <t>コウジョウ</t>
    </rPh>
    <phoneticPr fontId="4"/>
  </si>
  <si>
    <t>・卓越風向に対する建築物の見付面積率　60％未満</t>
    <rPh sb="1" eb="3">
      <t>タクエツ</t>
    </rPh>
    <rPh sb="3" eb="5">
      <t>フウコウ</t>
    </rPh>
    <rPh sb="6" eb="7">
      <t>タイ</t>
    </rPh>
    <rPh sb="9" eb="12">
      <t>ケンチクブツ</t>
    </rPh>
    <rPh sb="13" eb="15">
      <t>ミツケ</t>
    </rPh>
    <rPh sb="15" eb="17">
      <t>メンセキ</t>
    </rPh>
    <rPh sb="17" eb="18">
      <t>リツ</t>
    </rPh>
    <rPh sb="22" eb="24">
      <t>ミマン</t>
    </rPh>
    <phoneticPr fontId="4"/>
  </si>
  <si>
    <t>敷地内に緑地や水面等を確保する</t>
    <rPh sb="9" eb="10">
      <t>ナド</t>
    </rPh>
    <phoneticPr fontId="4"/>
  </si>
  <si>
    <t>・敷地面積に対する緑化等面積率　10％以上</t>
    <rPh sb="1" eb="3">
      <t>シキチ</t>
    </rPh>
    <rPh sb="3" eb="5">
      <t>メンセキ</t>
    </rPh>
    <rPh sb="6" eb="7">
      <t>タイ</t>
    </rPh>
    <rPh sb="9" eb="11">
      <t>リョッカ</t>
    </rPh>
    <rPh sb="11" eb="12">
      <t>ナド</t>
    </rPh>
    <rPh sb="12" eb="14">
      <t>メンセキ</t>
    </rPh>
    <rPh sb="14" eb="15">
      <t>リツ</t>
    </rPh>
    <rPh sb="19" eb="21">
      <t>イジョウ</t>
    </rPh>
    <phoneticPr fontId="4"/>
  </si>
  <si>
    <t>①敷地面積に対する舗装面積率　20％未満</t>
    <rPh sb="1" eb="3">
      <t>シキチ</t>
    </rPh>
    <rPh sb="3" eb="5">
      <t>メンセキ</t>
    </rPh>
    <rPh sb="6" eb="7">
      <t>タイ</t>
    </rPh>
    <phoneticPr fontId="4"/>
  </si>
  <si>
    <t>②地表面に対する日射反射面積率　10％以上</t>
    <rPh sb="5" eb="6">
      <t>タイ</t>
    </rPh>
    <rPh sb="8" eb="10">
      <t>ニッシャ</t>
    </rPh>
    <rPh sb="10" eb="12">
      <t>ハンシャ</t>
    </rPh>
    <rPh sb="12" eb="14">
      <t>メンセキ</t>
    </rPh>
    <phoneticPr fontId="4"/>
  </si>
  <si>
    <t>①屋根面積に対する屋根緑化等面積率＋日射反射率又は長波放射率の高い屋根材の面積率　20％以上</t>
    <rPh sb="1" eb="3">
      <t>ヤネ</t>
    </rPh>
    <rPh sb="3" eb="5">
      <t>メンセキ</t>
    </rPh>
    <rPh sb="6" eb="7">
      <t>タイ</t>
    </rPh>
    <rPh sb="9" eb="11">
      <t>ヤネ</t>
    </rPh>
    <rPh sb="11" eb="14">
      <t>リョッカナド</t>
    </rPh>
    <rPh sb="14" eb="16">
      <t>メンセキ</t>
    </rPh>
    <rPh sb="16" eb="17">
      <t>リツ</t>
    </rPh>
    <rPh sb="18" eb="20">
      <t>ニッシャ</t>
    </rPh>
    <rPh sb="20" eb="22">
      <t>ハンシャ</t>
    </rPh>
    <rPh sb="22" eb="23">
      <t>リツ</t>
    </rPh>
    <rPh sb="23" eb="24">
      <t>マタ</t>
    </rPh>
    <rPh sb="25" eb="27">
      <t>チョウハ</t>
    </rPh>
    <rPh sb="27" eb="29">
      <t>ホウシャ</t>
    </rPh>
    <rPh sb="29" eb="30">
      <t>リツ</t>
    </rPh>
    <rPh sb="31" eb="32">
      <t>タカ</t>
    </rPh>
    <rPh sb="33" eb="35">
      <t>ヤネ</t>
    </rPh>
    <rPh sb="35" eb="36">
      <t>ザイ</t>
    </rPh>
    <rPh sb="37" eb="39">
      <t>メンセキ</t>
    </rPh>
    <rPh sb="39" eb="40">
      <t>リツ</t>
    </rPh>
    <phoneticPr fontId="4"/>
  </si>
  <si>
    <t>②外壁面積に対する壁面緑化面積率　10％以上</t>
    <rPh sb="3" eb="5">
      <t>メンセキ</t>
    </rPh>
    <rPh sb="6" eb="7">
      <t>タイ</t>
    </rPh>
    <phoneticPr fontId="4"/>
  </si>
  <si>
    <t>日本住宅性能表示基準「3-1劣化対策等級（構造躯体等）」における等級１を満たす。</t>
    <phoneticPr fontId="4"/>
  </si>
  <si>
    <t>日本住宅性能表示基準「3-1劣化対策等級（構造躯体等）」における等級２を満たす。</t>
    <phoneticPr fontId="4"/>
  </si>
  <si>
    <t>日本住宅性能表示基準「3-1劣化対策等級（構造躯体等）」における等級３を満たす</t>
    <phoneticPr fontId="4"/>
  </si>
  <si>
    <t>日本住宅性能表示基準「1-1耐震等級（構造躯体の倒壊等防止）」における等級１を満たす。</t>
    <phoneticPr fontId="4"/>
  </si>
  <si>
    <t>日本住宅性能表示基準「1-1耐震等級（構造躯体の倒壊等防止）」における等級２を満たす。</t>
    <phoneticPr fontId="4"/>
  </si>
  <si>
    <t>日本住宅性能表示基準「1-1耐震等級（構造躯体の倒壊等防止）」における等級３を満たす。</t>
    <phoneticPr fontId="4"/>
  </si>
  <si>
    <t>日本住宅性能表示基準「2-6 耐火等級（延焼のおそれのある部分（開口部以外））」における等級１を満たす。</t>
    <phoneticPr fontId="4"/>
  </si>
  <si>
    <t>日本住宅性能表示基準「2-6 耐火等級（延焼のおそれのある部分（開口部以外））」における等級２を満たす。</t>
    <phoneticPr fontId="4"/>
  </si>
  <si>
    <t>日本住宅性能表示基準「2-6 耐火等級（延焼のおそれのある部分（開口部以外））」における等級３を満たす。</t>
    <phoneticPr fontId="4"/>
  </si>
  <si>
    <t>日本住宅性能表示基準「2-6 耐火等級（延焼のおそれのある部分（開口部以外））」における等級４を満たす。</t>
    <phoneticPr fontId="4"/>
  </si>
  <si>
    <t>日本住宅性能表示基準「4-1 維持管理対策等級(専用配管)」における等級１を満たす。</t>
    <phoneticPr fontId="4"/>
  </si>
  <si>
    <t>日本住宅性能表示基準「4-1 維持管理対策等級(専用配管)」における等級２を満たす。</t>
    <phoneticPr fontId="4"/>
  </si>
  <si>
    <t>日本住宅性能表示基準「4-1 維持管理対策等級(専用配管)」における等級３を満たす。</t>
    <phoneticPr fontId="4"/>
  </si>
  <si>
    <t>（加点条件を満たせば選択可能）</t>
    <rPh sb="10" eb="12">
      <t>センタク</t>
    </rPh>
    <phoneticPr fontId="4"/>
  </si>
  <si>
    <t>（加点条件を満たせば選択可能）</t>
    <rPh sb="3" eb="5">
      <t>ジョウケン</t>
    </rPh>
    <rPh sb="6" eb="7">
      <t>ミ</t>
    </rPh>
    <rPh sb="10" eb="12">
      <t>センタク</t>
    </rPh>
    <rPh sb="12" eb="14">
      <t>カノウ</t>
    </rPh>
    <phoneticPr fontId="4"/>
  </si>
  <si>
    <t>評価する取組み１を行った上に、取組み２の①～⑤のうちいずれか１つを行っている。
または、評価する取組み２の①～⑤のうち、いずれか４つ以上を行っている。</t>
    <phoneticPr fontId="4"/>
  </si>
  <si>
    <t>野鳥等がエサとすることができる食餌木を植栽すること等に取組んでいる。</t>
    <phoneticPr fontId="4"/>
  </si>
  <si>
    <t>地域の住文化の継承</t>
    <phoneticPr fontId="4"/>
  </si>
  <si>
    <t>エネルギーを管理する仕組みがあり、それにより消費エネルギーの削減が可能である取組みがなされている。</t>
    <phoneticPr fontId="4"/>
  </si>
  <si>
    <t>「木材・木材製品の合法性、持続可能性の証明のためのガイドライン」（林野庁）における「①森林認証制度およびCoC認証制度を活用する方法」、「②業界団体の自主的行動規範による方法」または「③個別事業者の独自の取組による方法」によって合法性、持続可能性が証明された木材を過半に使用している。</t>
    <rPh sb="132" eb="134">
      <t>カハン</t>
    </rPh>
    <phoneticPr fontId="4"/>
  </si>
  <si>
    <t>構造躯体の一部あるいは過半に、既存建築躯体等のリユース材が使用されている。</t>
    <rPh sb="5" eb="7">
      <t>イチブ</t>
    </rPh>
    <rPh sb="11" eb="13">
      <t>カハン</t>
    </rPh>
    <phoneticPr fontId="4"/>
  </si>
  <si>
    <t>構造躯体の一部あるいは過半に、既存建築躯体等のリユース材が使用されている。</t>
    <phoneticPr fontId="4"/>
  </si>
  <si>
    <t>（加点条件をみたせば選択可能）</t>
    <rPh sb="1" eb="3">
      <t>カテン</t>
    </rPh>
    <rPh sb="3" eb="5">
      <t>ジョウケン</t>
    </rPh>
    <rPh sb="10" eb="12">
      <t>センタク</t>
    </rPh>
    <rPh sb="12" eb="14">
      <t>カノウ</t>
    </rPh>
    <phoneticPr fontId="4"/>
  </si>
  <si>
    <t>内装の一部あるいは過半に、既存建築躯体等のリユース材が使用されている。</t>
    <rPh sb="0" eb="2">
      <t>ナイソウ</t>
    </rPh>
    <phoneticPr fontId="4"/>
  </si>
  <si>
    <t>外装の一部あるいは過半に、既存建築躯体等のリユース材が使用されている。</t>
    <rPh sb="0" eb="2">
      <t>ガイソウ</t>
    </rPh>
    <phoneticPr fontId="4"/>
  </si>
  <si>
    <t>延面積比率</t>
    <phoneticPr fontId="4"/>
  </si>
  <si>
    <r>
      <t>Q</t>
    </r>
    <r>
      <rPr>
        <b/>
        <vertAlign val="subscript"/>
        <sz val="11"/>
        <rFont val="ＭＳ Ｐゴシック"/>
        <family val="3"/>
        <charset val="128"/>
      </rPr>
      <t>H</t>
    </r>
    <phoneticPr fontId="4"/>
  </si>
  <si>
    <t>すまいの環境品質</t>
    <phoneticPr fontId="4"/>
  </si>
  <si>
    <r>
      <t>Q</t>
    </r>
    <r>
      <rPr>
        <b/>
        <vertAlign val="subscript"/>
        <sz val="10"/>
        <rFont val="ＭＳ Ｐゴシック"/>
        <family val="3"/>
        <charset val="128"/>
      </rPr>
      <t>H</t>
    </r>
    <r>
      <rPr>
        <b/>
        <sz val="10"/>
        <rFont val="ＭＳ Ｐゴシック"/>
        <family val="3"/>
        <charset val="128"/>
      </rPr>
      <t>1</t>
    </r>
    <phoneticPr fontId="4"/>
  </si>
  <si>
    <t>室内環境を快適・健康・安心にする</t>
    <phoneticPr fontId="4"/>
  </si>
  <si>
    <t>1.1</t>
    <phoneticPr fontId="4"/>
  </si>
  <si>
    <t>2.3.1</t>
    <phoneticPr fontId="4"/>
  </si>
  <si>
    <t>燃焼系設備機器やエアコン室外機などの排気・排熱源について、
・隣接する建物の開口部、吸気口およびその周辺においては排気・排熱を排出しない配置。
・排気・排熱が自らの敷地内はもちろん、隣接敷地内の植栽などに影響を与えないよう配置していること。</t>
    <phoneticPr fontId="4"/>
  </si>
  <si>
    <t>地表面被覆材に配慮する
（①又は②に取組んでいること）</t>
    <rPh sb="14" eb="15">
      <t>マタ</t>
    </rPh>
    <phoneticPr fontId="4"/>
  </si>
  <si>
    <t>建築外装材料等に配慮する。
（①または②に取組んでいること）</t>
    <phoneticPr fontId="4"/>
  </si>
  <si>
    <t>延べ面積　＜　５０㎡</t>
    <phoneticPr fontId="4"/>
  </si>
  <si>
    <t>＜入居者数　3人＞</t>
  </si>
  <si>
    <t>リサイクル材の使用</t>
    <phoneticPr fontId="4"/>
  </si>
  <si>
    <t>「持続可能な森林から産出された木材」の使用</t>
    <phoneticPr fontId="4"/>
  </si>
  <si>
    <t>利用可能になるまでの期間が短く資源枯渇の恐れが少ない植物由来の自然素材の使用</t>
    <phoneticPr fontId="4"/>
  </si>
  <si>
    <t>・ 窯業廃土、廃ガラス等から製造した舗装用ブロックの通路、駐車場への使用
・ 木粉と熱可塑性樹脂から製造した人工木材を利用した屋外デッキ設置
・ その他、廃棄物や他産業の副産物を利用した外構材の使用</t>
    <phoneticPr fontId="4"/>
  </si>
  <si>
    <t>・ 「持続可能な森林から産出された木材」を利用した屋外デッキの設置
・ その他、「持続可能な森林から産出された木材」の外構への応用</t>
    <phoneticPr fontId="4"/>
  </si>
  <si>
    <t>・ 竹製品の使用
・ その他、利用可能になるまでの期間が短く資源枯渇の恐れが少ない植物由来の自然素材の外構への応用</t>
    <phoneticPr fontId="4"/>
  </si>
  <si>
    <t>レベル4を満たさない。</t>
    <phoneticPr fontId="4"/>
  </si>
  <si>
    <t>住まい手に対して、住宅に使用されている材料のリサイクルや廃棄に対する何らかの情報提供を行っている。</t>
    <phoneticPr fontId="4"/>
  </si>
  <si>
    <t>取組み</t>
    <phoneticPr fontId="4"/>
  </si>
  <si>
    <t>○</t>
  </si>
  <si>
    <t>地域インフラの負荷抑制</t>
    <phoneticPr fontId="4"/>
  </si>
  <si>
    <t>既存の自然環境・自然資源の保全について全く配慮がされていない。</t>
    <phoneticPr fontId="4"/>
  </si>
  <si>
    <t>雨水排水負荷の抑制</t>
    <phoneticPr fontId="4"/>
  </si>
  <si>
    <t>生活ごみ処理負荷の抑制</t>
    <phoneticPr fontId="4"/>
  </si>
  <si>
    <t>外構部への降雨を浸透させるため、外構面積の過半を植栽地（池を含む）や透水性舗装など透水性を有する仕上げとしている。</t>
  </si>
  <si>
    <t>屋根への降雨を浸透させるため、雨水地下浸透施設（浸透ます、浸透トレンチ等）を設置している。</t>
  </si>
  <si>
    <t>雨水貯留・利用設備を設置している。</t>
  </si>
  <si>
    <t>生ごみの排出量を削減するため、生ごみ処理設備を設置している</t>
  </si>
  <si>
    <t>住宅内あるいは外構部に分別ストックスペースを設置している。</t>
  </si>
  <si>
    <t>排出率</t>
    <rPh sb="0" eb="2">
      <t>ハイシュツ</t>
    </rPh>
    <rPh sb="2" eb="3">
      <t>リツ</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</si>
  <si>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Ph sb="7" eb="8">
      <t>ネン</t>
    </rPh>
    <phoneticPr fontId="4"/>
  </si>
  <si>
    <r>
      <t>CO</t>
    </r>
    <r>
      <rPr>
        <vertAlign val="subscript"/>
        <sz val="10"/>
        <rFont val="ＭＳ Ｐゴシック"/>
        <family val="3"/>
        <charset val="128"/>
      </rPr>
      <t>2</t>
    </r>
    <r>
      <rPr>
        <sz val="10"/>
        <rFont val="ＭＳ Ｐゴシック"/>
        <family val="3"/>
        <charset val="128"/>
      </rPr>
      <t>排出量</t>
    </r>
    <rPh sb="3" eb="5">
      <t>ハイシュツ</t>
    </rPh>
    <rPh sb="5" eb="6">
      <t>リョウ</t>
    </rPh>
    <phoneticPr fontId="4"/>
  </si>
  <si>
    <r>
      <t>ライフサイクルCO</t>
    </r>
    <r>
      <rPr>
        <b/>
        <vertAlign val="subscript"/>
        <sz val="10"/>
        <rFont val="ＭＳ Ｐゴシック"/>
        <family val="3"/>
        <charset val="128"/>
      </rPr>
      <t>2</t>
    </r>
    <r>
      <rPr>
        <b/>
        <sz val="10"/>
        <rFont val="ＭＳ Ｐゴシック"/>
        <family val="3"/>
        <charset val="128"/>
      </rPr>
      <t>概算値</t>
    </r>
    <rPh sb="10" eb="12">
      <t>ガイサン</t>
    </rPh>
    <rPh sb="12" eb="13">
      <t>チ</t>
    </rPh>
    <phoneticPr fontId="4"/>
  </si>
  <si>
    <r>
      <t>ライフサイクルCO</t>
    </r>
    <r>
      <rPr>
        <b/>
        <vertAlign val="subscript"/>
        <sz val="9"/>
        <rFont val="ＭＳ Ｐゴシック"/>
        <family val="3"/>
        <charset val="128"/>
      </rPr>
      <t>2</t>
    </r>
    <r>
      <rPr>
        <b/>
        <sz val="9"/>
        <rFont val="ＭＳ Ｐゴシック"/>
        <family val="3"/>
        <charset val="128"/>
      </rPr>
      <t>排出率に基づくスコア換算</t>
    </r>
    <rPh sb="10" eb="12">
      <t>ハイシュツ</t>
    </rPh>
    <rPh sb="12" eb="13">
      <t>リツ</t>
    </rPh>
    <rPh sb="14" eb="15">
      <t>モト</t>
    </rPh>
    <rPh sb="20" eb="22">
      <t>カンサン</t>
    </rPh>
    <phoneticPr fontId="4"/>
  </si>
  <si>
    <t>周辺環境への配慮</t>
    <rPh sb="0" eb="2">
      <t>シュウヘン</t>
    </rPh>
    <rPh sb="2" eb="4">
      <t>カンキョウ</t>
    </rPh>
    <rPh sb="6" eb="8">
      <t>ハイリョ</t>
    </rPh>
    <phoneticPr fontId="4"/>
  </si>
  <si>
    <r>
      <t>Q</t>
    </r>
    <r>
      <rPr>
        <b/>
        <vertAlign val="subscript"/>
        <sz val="11"/>
        <rFont val="ＭＳ Ｐゴシック"/>
        <family val="3"/>
        <charset val="128"/>
      </rPr>
      <t>H</t>
    </r>
    <r>
      <rPr>
        <b/>
        <sz val="11"/>
        <rFont val="ＭＳ Ｐゴシック"/>
        <family val="3"/>
        <charset val="128"/>
      </rPr>
      <t>1</t>
    </r>
    <phoneticPr fontId="4"/>
  </si>
  <si>
    <r>
      <t>Q</t>
    </r>
    <r>
      <rPr>
        <b/>
        <vertAlign val="subscript"/>
        <sz val="11"/>
        <rFont val="ＭＳ Ｐゴシック"/>
        <family val="3"/>
        <charset val="128"/>
      </rPr>
      <t>H</t>
    </r>
    <r>
      <rPr>
        <b/>
        <sz val="11"/>
        <rFont val="ＭＳ Ｐゴシック"/>
        <family val="3"/>
        <charset val="128"/>
      </rPr>
      <t>2</t>
    </r>
    <phoneticPr fontId="4"/>
  </si>
  <si>
    <r>
      <t>Q</t>
    </r>
    <r>
      <rPr>
        <b/>
        <vertAlign val="subscript"/>
        <sz val="11"/>
        <rFont val="ＭＳ Ｐゴシック"/>
        <family val="3"/>
        <charset val="128"/>
      </rPr>
      <t>H</t>
    </r>
    <r>
      <rPr>
        <b/>
        <sz val="11"/>
        <rFont val="ＭＳ Ｐゴシック"/>
        <family val="3"/>
        <charset val="128"/>
      </rPr>
      <t>3</t>
    </r>
    <phoneticPr fontId="4"/>
  </si>
  <si>
    <r>
      <t>LR</t>
    </r>
    <r>
      <rPr>
        <b/>
        <vertAlign val="subscript"/>
        <sz val="12"/>
        <color indexed="9"/>
        <rFont val="ＭＳ Ｐゴシック"/>
        <family val="3"/>
        <charset val="128"/>
      </rPr>
      <t>H</t>
    </r>
    <r>
      <rPr>
        <b/>
        <sz val="12"/>
        <color indexed="9"/>
        <rFont val="ＭＳ Ｐゴシック"/>
        <family val="3"/>
        <charset val="128"/>
      </rPr>
      <t>　すまいの環境負荷低減性</t>
    </r>
    <phoneticPr fontId="4"/>
  </si>
  <si>
    <r>
      <t>LR</t>
    </r>
    <r>
      <rPr>
        <b/>
        <vertAlign val="subscript"/>
        <sz val="11"/>
        <rFont val="ＭＳ Ｐゴシック"/>
        <family val="3"/>
        <charset val="128"/>
      </rPr>
      <t>H</t>
    </r>
    <r>
      <rPr>
        <b/>
        <sz val="11"/>
        <rFont val="ＭＳ Ｐゴシック"/>
        <family val="3"/>
        <charset val="128"/>
      </rPr>
      <t>1</t>
    </r>
    <phoneticPr fontId="4"/>
  </si>
  <si>
    <r>
      <t>LR</t>
    </r>
    <r>
      <rPr>
        <b/>
        <vertAlign val="subscript"/>
        <sz val="11"/>
        <rFont val="ＭＳ Ｐゴシック"/>
        <family val="3"/>
        <charset val="128"/>
      </rPr>
      <t>H</t>
    </r>
    <r>
      <rPr>
        <b/>
        <sz val="11"/>
        <rFont val="ＭＳ Ｐゴシック"/>
        <family val="3"/>
        <charset val="128"/>
      </rPr>
      <t>2</t>
    </r>
    <phoneticPr fontId="4"/>
  </si>
  <si>
    <r>
      <t>LR</t>
    </r>
    <r>
      <rPr>
        <b/>
        <vertAlign val="subscript"/>
        <sz val="11"/>
        <rFont val="ＭＳ Ｐゴシック"/>
        <family val="3"/>
        <charset val="128"/>
      </rPr>
      <t>H</t>
    </r>
    <r>
      <rPr>
        <b/>
        <sz val="11"/>
        <rFont val="ＭＳ Ｐゴシック"/>
        <family val="3"/>
        <charset val="128"/>
      </rPr>
      <t>3</t>
    </r>
    <phoneticPr fontId="4"/>
  </si>
  <si>
    <t>地域インフラの負荷抑制</t>
  </si>
  <si>
    <t>既存の自然環境の保全</t>
  </si>
  <si>
    <r>
      <t>Q</t>
    </r>
    <r>
      <rPr>
        <vertAlign val="subscript"/>
        <sz val="10"/>
        <rFont val="ＭＳ Ｐゴシック"/>
        <family val="3"/>
        <charset val="128"/>
      </rPr>
      <t>H</t>
    </r>
    <r>
      <rPr>
        <sz val="10"/>
        <rFont val="ＭＳ Ｐゴシック"/>
        <family val="3"/>
        <charset val="128"/>
      </rPr>
      <t>2</t>
    </r>
    <phoneticPr fontId="4"/>
  </si>
  <si>
    <t>排出係数</t>
    <rPh sb="0" eb="2">
      <t>ハイシュツ</t>
    </rPh>
    <rPh sb="2" eb="4">
      <t>ケイスウ</t>
    </rPh>
    <phoneticPr fontId="4"/>
  </si>
  <si>
    <t>すまいの環境負荷低減性</t>
    <rPh sb="4" eb="6">
      <t>カンキョウ</t>
    </rPh>
    <rPh sb="6" eb="8">
      <t>フカ</t>
    </rPh>
    <rPh sb="8" eb="10">
      <t>テイゲン</t>
    </rPh>
    <rPh sb="10" eb="11">
      <t>セイ</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</si>
  <si>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
      <rPr>
        <sz val="10"/>
        <rFont val="ＭＳ Ｐゴシック"/>
        <family val="3"/>
        <charset val="128"/>
      </rPr>
      <t>）</t>
    </r>
    <rPh sb="8" eb="9">
      <t>ネン</t>
    </rPh>
    <phoneticPr fontId="4"/>
  </si>
  <si>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</si>
  <si>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</si>
  <si>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</si>
  <si>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r>
      <t>a.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</si>
  <si>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■CO</t>
    </r>
    <r>
      <rPr>
        <b/>
        <vertAlign val="subscript"/>
        <sz val="16"/>
        <rFont val="ＭＳ Ｐゴシック"/>
        <family val="3"/>
        <charset val="128"/>
      </rPr>
      <t>2</t>
    </r>
    <r>
      <rPr>
        <b/>
        <sz val="16"/>
        <rFont val="ＭＳ Ｐゴシック"/>
        <family val="3"/>
        <charset val="128"/>
      </rPr>
      <t>データベース</t>
    </r>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</si>
  <si>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</si>
  <si>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r>
      <t>b.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</si>
  <si>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Q</t>
    </r>
    <r>
      <rPr>
        <vertAlign val="subscript"/>
        <sz val="11"/>
        <rFont val="ＭＳ Ｐゴシック"/>
        <family val="3"/>
        <charset val="128"/>
      </rPr>
      <t>H</t>
    </r>
    <r>
      <rPr>
        <sz val="11"/>
        <rFont val="ＭＳ Ｐゴシック"/>
        <family val="3"/>
        <charset val="128"/>
      </rPr>
      <t>2.1.2　外壁
Q</t>
    </r>
    <r>
      <rPr>
        <vertAlign val="subscript"/>
        <sz val="11"/>
        <rFont val="ＭＳ Ｐゴシック"/>
        <family val="3"/>
        <charset val="128"/>
      </rPr>
      <t>H</t>
    </r>
    <r>
      <rPr>
        <sz val="11"/>
        <rFont val="ＭＳ Ｐゴシック"/>
        <family val="3"/>
        <charset val="128"/>
      </rPr>
      <t>2.1.2　屋根</t>
    </r>
    <rPh sb="8" eb="10">
      <t>ガイヘキ</t>
    </rPh>
    <rPh sb="19" eb="21">
      <t>ヤネ</t>
    </rPh>
    <phoneticPr fontId="4"/>
  </si>
  <si>
    <t>多段階評価３つ星以上</t>
    <phoneticPr fontId="4"/>
  </si>
  <si>
    <t>ＩＨクッキングヒータ－　（こんろ口数の１／２以上がＩＨ加熱方式のもの）</t>
    <phoneticPr fontId="4"/>
  </si>
  <si>
    <t>取組み</t>
    <phoneticPr fontId="4"/>
  </si>
  <si>
    <t>散水等に利用する雨水タンクを設置している。</t>
    <phoneticPr fontId="4"/>
  </si>
  <si>
    <t>設備毎の取扱説明書が居住者に手渡されている。</t>
    <phoneticPr fontId="4"/>
  </si>
  <si>
    <t>レベル３に加え、省エネに関する住まい方について一般的な説明がすまい手になされている。</t>
    <phoneticPr fontId="4"/>
  </si>
  <si>
    <t>レベル３に加え、当該住宅に採用された設備や仕様に関して、個別の建物・生活スタイルごとに対応した適切な説明がすまい手になされている。</t>
    <phoneticPr fontId="4"/>
  </si>
  <si>
    <t>エネルギー消費に関する表示機器、負荷低減装置等を採用している。</t>
    <phoneticPr fontId="4"/>
  </si>
  <si>
    <t>想定に基づく評価</t>
    <rPh sb="0" eb="2">
      <t>ソウテイ</t>
    </rPh>
    <rPh sb="3" eb="4">
      <t>モト</t>
    </rPh>
    <rPh sb="6" eb="8">
      <t>ヒョウカ</t>
    </rPh>
    <phoneticPr fontId="4"/>
  </si>
  <si>
    <t>資源を大切に使い
ゴミを減らす</t>
    <rPh sb="0" eb="2">
      <t>シゲン</t>
    </rPh>
    <rPh sb="3" eb="5">
      <t>タイセツ</t>
    </rPh>
    <rPh sb="6" eb="7">
      <t>ツカ</t>
    </rPh>
    <rPh sb="12" eb="13">
      <t>ヘ</t>
    </rPh>
    <phoneticPr fontId="4"/>
  </si>
  <si>
    <r>
      <t xml:space="preserve">■ </t>
    </r>
    <r>
      <rPr>
        <sz val="10"/>
        <rFont val="ＭＳ Ｐゴシック"/>
        <family val="3"/>
        <charset val="128"/>
      </rPr>
      <t>評価の実施日</t>
    </r>
    <rPh sb="2" eb="4">
      <t>ヒョウカ</t>
    </rPh>
    <rPh sb="5" eb="7">
      <t>ジッシ</t>
    </rPh>
    <rPh sb="7" eb="8">
      <t>ヒ</t>
    </rPh>
    <phoneticPr fontId="4"/>
  </si>
  <si>
    <t>室内環境を
快適・健康・
安心にする</t>
    <rPh sb="0" eb="2">
      <t>シツナイ</t>
    </rPh>
    <rPh sb="2" eb="4">
      <t>カンキョウ</t>
    </rPh>
    <rPh sb="6" eb="8">
      <t>カイテキ</t>
    </rPh>
    <rPh sb="9" eb="11">
      <t>ケンコウ</t>
    </rPh>
    <rPh sb="13" eb="15">
      <t>アンシン</t>
    </rPh>
    <phoneticPr fontId="4"/>
  </si>
  <si>
    <t>定期点検及び維持・補修・交換が適正時期に提供できる仕組みがある。</t>
    <phoneticPr fontId="4"/>
  </si>
  <si>
    <t>住まい手が適切な維持管理を継続するための、情報提供（マニュアルや定期情報誌など）や相談窓口などのサポートの仕組みがある。</t>
    <phoneticPr fontId="4"/>
  </si>
  <si>
    <t>住宅の基本情報(設計図書、施工記録、仕様部材リスト等)及び建物の維持管理履歴が管理され、何か不具合が生じたときに追跡調査できる。</t>
    <phoneticPr fontId="4"/>
  </si>
  <si>
    <t>適切な換気計画</t>
    <rPh sb="5" eb="7">
      <t>ケイカク</t>
    </rPh>
    <phoneticPr fontId="4"/>
  </si>
  <si>
    <t>地域の資源の活用と住文化の継承</t>
    <rPh sb="6" eb="8">
      <t>カツヨウ</t>
    </rPh>
    <rPh sb="9" eb="10">
      <t>ジュウ</t>
    </rPh>
    <rPh sb="10" eb="12">
      <t>ブンカ</t>
    </rPh>
    <rPh sb="13" eb="15">
      <t>ケイショウ</t>
    </rPh>
    <phoneticPr fontId="4"/>
  </si>
  <si>
    <t>騒音・振動・排気・排熱の低減</t>
    <rPh sb="9" eb="11">
      <t>ハイネツ</t>
    </rPh>
    <rPh sb="12" eb="14">
      <t>テイゲン</t>
    </rPh>
    <phoneticPr fontId="4"/>
  </si>
  <si>
    <t>色欄について、プルダウンメニューから選択、または数値・コメントを記入のこと</t>
  </si>
  <si>
    <t>特に配慮なし。</t>
  </si>
  <si>
    <t>合計(取組み2）＝</t>
    <rPh sb="3" eb="5">
      <t>トリク</t>
    </rPh>
    <phoneticPr fontId="4"/>
  </si>
  <si>
    <t>Score(RoundDown)</t>
    <phoneticPr fontId="4"/>
  </si>
  <si>
    <t>長く使い続ける</t>
    <phoneticPr fontId="4"/>
  </si>
  <si>
    <t>まちなみ・
生態系を
豊かにする</t>
    <phoneticPr fontId="4"/>
  </si>
  <si>
    <t>エネルギー
と水を
大切に使う</t>
    <phoneticPr fontId="4"/>
  </si>
  <si>
    <t>BEE</t>
    <phoneticPr fontId="4"/>
  </si>
  <si>
    <t>X</t>
    <phoneticPr fontId="4"/>
  </si>
  <si>
    <t>S</t>
    <phoneticPr fontId="4"/>
  </si>
  <si>
    <t>A</t>
    <phoneticPr fontId="4"/>
  </si>
  <si>
    <t>B+</t>
    <phoneticPr fontId="4"/>
  </si>
  <si>
    <t>B</t>
    <phoneticPr fontId="4"/>
  </si>
  <si>
    <t>B-</t>
    <phoneticPr fontId="4"/>
  </si>
  <si>
    <t>Score(RoundDown)</t>
    <phoneticPr fontId="4"/>
  </si>
  <si>
    <t>Score</t>
    <phoneticPr fontId="4"/>
  </si>
  <si>
    <t>Q-2 長く使い続ける</t>
    <phoneticPr fontId="4"/>
  </si>
  <si>
    <r>
      <t xml:space="preserve">Q-3 </t>
    </r>
    <r>
      <rPr>
        <sz val="11"/>
        <rFont val="ＭＳ Ｐゴシック"/>
        <family val="3"/>
        <charset val="128"/>
      </rPr>
      <t>まちなみ・生態系を豊かにする</t>
    </r>
    <phoneticPr fontId="4"/>
  </si>
  <si>
    <t>Score(RoundDown)</t>
    <phoneticPr fontId="4"/>
  </si>
  <si>
    <t>NA</t>
    <phoneticPr fontId="4"/>
  </si>
  <si>
    <t>暑さ・寒さ</t>
    <phoneticPr fontId="4"/>
  </si>
  <si>
    <t>健康と安全・安心</t>
    <phoneticPr fontId="4"/>
  </si>
  <si>
    <t>明るさ</t>
    <phoneticPr fontId="4"/>
  </si>
  <si>
    <t>地域の安全・安心</t>
    <phoneticPr fontId="4"/>
  </si>
  <si>
    <t>静かさ</t>
    <phoneticPr fontId="4"/>
  </si>
  <si>
    <t>地域の資源・文化を守る</t>
    <phoneticPr fontId="4"/>
  </si>
  <si>
    <t>Score(RoundDown)</t>
    <phoneticPr fontId="4"/>
  </si>
  <si>
    <t>Score</t>
    <phoneticPr fontId="4"/>
  </si>
  <si>
    <r>
      <t>LR-</t>
    </r>
    <r>
      <rPr>
        <sz val="11"/>
        <rFont val="ＭＳ Ｐゴシック"/>
        <family val="3"/>
        <charset val="128"/>
      </rPr>
      <t>1</t>
    </r>
    <r>
      <rPr>
        <sz val="11"/>
        <rFont val="ＭＳ Ｐゴシック"/>
        <family val="3"/>
        <charset val="128"/>
      </rPr>
      <t xml:space="preserve"> エネルギー・水を大切に使う</t>
    </r>
    <phoneticPr fontId="4"/>
  </si>
  <si>
    <t>Score(RoundDown)</t>
    <phoneticPr fontId="4"/>
  </si>
  <si>
    <t>NA</t>
    <phoneticPr fontId="4"/>
  </si>
  <si>
    <t>省資源、廃棄物抑制に役立つ材料の採用</t>
    <phoneticPr fontId="4"/>
  </si>
  <si>
    <t>水の節約</t>
    <phoneticPr fontId="4"/>
  </si>
  <si>
    <t>リサイクルの促進</t>
    <phoneticPr fontId="4"/>
  </si>
  <si>
    <t>維持管理と運用の工夫</t>
    <phoneticPr fontId="4"/>
  </si>
  <si>
    <t>評価の実施日</t>
  </si>
  <si>
    <t>作成者</t>
    <phoneticPr fontId="4"/>
  </si>
  <si>
    <t>採点</t>
  </si>
  <si>
    <t>No.</t>
  </si>
  <si>
    <t>①</t>
  </si>
  <si>
    <t>②</t>
  </si>
  <si>
    <t>③</t>
  </si>
  <si>
    <t>④</t>
  </si>
  <si>
    <t>⑤</t>
  </si>
  <si>
    <t>合計＝</t>
  </si>
  <si>
    <t>レベル２を満たさない。</t>
  </si>
  <si>
    <t>外構面積の20%以上の緑化面積を確保している。</t>
  </si>
  <si>
    <t>外構面積の30%以上の緑化面積を確保している。</t>
  </si>
  <si>
    <t>外構面積の40%以上の緑化面積を確保している。</t>
  </si>
  <si>
    <t>外構面積の50%以上の緑化面積を確保している。</t>
  </si>
  <si>
    <t>取組み</t>
  </si>
  <si>
    <t>より小さな生き物が生息・生育できるよう多孔質な資材を活用している。</t>
  </si>
  <si>
    <t>防火性の高い植物の植樹</t>
  </si>
  <si>
    <t>地域の資源の活用と住文化の継承</t>
  </si>
  <si>
    <t>地域で育まれてきた住宅や庭づくりの構法・意匠・技術を採用している。</t>
  </si>
  <si>
    <t>地域を象徴する庭園等の保全や、地域の住文化を象徴する住宅等建物の保存・復元をしている。</t>
  </si>
  <si>
    <t>住宅の構造材や内外装材、外構資材に地域性のある材料を一部使用している（地域の山林から産出される木材を除く）。</t>
  </si>
  <si>
    <t>住宅の構造躯体に、地域の山林から産出される木材資材を積極的に活用している。</t>
  </si>
  <si>
    <t>住宅の内外装材・外構資材に、積極的に地域の山林から産出される木材資源を活用している。</t>
  </si>
  <si>
    <t>換算スコア＝</t>
    <rPh sb="0" eb="2">
      <t>カンサン</t>
    </rPh>
    <phoneticPr fontId="4"/>
  </si>
  <si>
    <t>プルダウン選択肢</t>
  </si>
  <si>
    <t>はい</t>
  </si>
  <si>
    <t>いいえ</t>
  </si>
  <si>
    <t>ON</t>
  </si>
  <si>
    <t>　レベル　1</t>
  </si>
  <si>
    <t>■レベル　1</t>
  </si>
  <si>
    <t>-</t>
  </si>
  <si>
    <t>レベル</t>
  </si>
  <si>
    <t>構造躯体の全てに「持続可能な森林から産出された木材」が使用されている。</t>
    <rPh sb="5" eb="6">
      <t>スベ</t>
    </rPh>
    <phoneticPr fontId="4"/>
  </si>
  <si>
    <t>騒音・振動・排気・排熱の低減</t>
    <rPh sb="0" eb="2">
      <t>ソウオン</t>
    </rPh>
    <rPh sb="3" eb="5">
      <t>シンドウ</t>
    </rPh>
    <rPh sb="6" eb="8">
      <t>ハイキ</t>
    </rPh>
    <rPh sb="9" eb="11">
      <t>ハイネツ</t>
    </rPh>
    <rPh sb="12" eb="14">
      <t>テイゲン</t>
    </rPh>
    <phoneticPr fontId="4"/>
  </si>
  <si>
    <t>→「電気排出係数」シートを入力</t>
    <rPh sb="2" eb="4">
      <t>デンキ</t>
    </rPh>
    <rPh sb="4" eb="6">
      <t>ハイシュツ</t>
    </rPh>
    <rPh sb="6" eb="8">
      <t>ケイスウ</t>
    </rPh>
    <phoneticPr fontId="4"/>
  </si>
  <si>
    <t>　　　外観パース等</t>
    <rPh sb="3" eb="5">
      <t>ガイカン</t>
    </rPh>
    <rPh sb="8" eb="9">
      <t>トウ</t>
    </rPh>
    <phoneticPr fontId="4"/>
  </si>
  <si>
    <t>②最高得点＝</t>
    <rPh sb="1" eb="3">
      <t>サイコウ</t>
    </rPh>
    <rPh sb="3" eb="5">
      <t>トクテン</t>
    </rPh>
    <phoneticPr fontId="4"/>
  </si>
  <si>
    <t>③得点率（①÷②）=</t>
    <phoneticPr fontId="4"/>
  </si>
  <si>
    <t>リユース材の使用</t>
    <rPh sb="4" eb="5">
      <t>ザイ</t>
    </rPh>
    <rPh sb="6" eb="8">
      <t>シヨウ</t>
    </rPh>
    <phoneticPr fontId="4"/>
  </si>
  <si>
    <t>・ 再利用石材による敷石
・ 古レンガを利用した花壇</t>
    <phoneticPr fontId="4"/>
  </si>
  <si>
    <t>省エネ基準達成率100%以上</t>
    <phoneticPr fontId="4"/>
  </si>
  <si>
    <t>総合</t>
    <rPh sb="0" eb="2">
      <t>ｿｳｺﾞｳ</t>
    </rPh>
    <phoneticPr fontId="18" type="noConversion"/>
  </si>
  <si>
    <t>その他</t>
    <rPh sb="2" eb="3">
      <t>ﾀ</t>
    </rPh>
    <phoneticPr fontId="18" type="noConversion"/>
  </si>
  <si>
    <t>具体的な取組み一覧</t>
    <rPh sb="0" eb="3">
      <t>グタイテキ</t>
    </rPh>
    <rPh sb="4" eb="6">
      <t>トリク</t>
    </rPh>
    <rPh sb="7" eb="9">
      <t>イチラン</t>
    </rPh>
    <phoneticPr fontId="4"/>
  </si>
  <si>
    <t xml:space="preserve">①　建物用途名 </t>
    <rPh sb="2" eb="4">
      <t>タテモノ</t>
    </rPh>
    <rPh sb="4" eb="6">
      <t>ヨウト</t>
    </rPh>
    <rPh sb="6" eb="7">
      <t>メイ</t>
    </rPh>
    <phoneticPr fontId="4"/>
  </si>
  <si>
    <t>構造</t>
    <rPh sb="0" eb="2">
      <t>コウゾウ</t>
    </rPh>
    <phoneticPr fontId="4"/>
  </si>
  <si>
    <t>室内環境を快適・健康・安心にする</t>
    <phoneticPr fontId="4"/>
  </si>
  <si>
    <t>エネルギーと水を大切に使う</t>
    <phoneticPr fontId="4"/>
  </si>
  <si>
    <t>-</t>
    <phoneticPr fontId="4"/>
  </si>
  <si>
    <t>-</t>
    <phoneticPr fontId="4"/>
  </si>
  <si>
    <t>レベル３を満たさない。</t>
    <phoneticPr fontId="4"/>
  </si>
  <si>
    <t>② 仕様等の確定状況</t>
    <rPh sb="2" eb="5">
      <t>シヨウナド</t>
    </rPh>
    <rPh sb="6" eb="8">
      <t>カクテイ</t>
    </rPh>
    <rPh sb="8" eb="10">
      <t>ジョウキョウ</t>
    </rPh>
    <phoneticPr fontId="4"/>
  </si>
  <si>
    <t>居間を含む一体的空間において、適切な冷房計画が行われている。</t>
    <phoneticPr fontId="4"/>
  </si>
  <si>
    <t>すべての居室において、二方向に開口部がある、または一方向開口でも通風・排熱を促進する取組みがなされている。</t>
    <phoneticPr fontId="4"/>
  </si>
  <si>
    <t>居間を含む一体的空間において、適切な暖房計画を行っている。</t>
    <phoneticPr fontId="4"/>
  </si>
  <si>
    <t>-</t>
    <phoneticPr fontId="4"/>
  </si>
  <si>
    <t>-</t>
    <phoneticPr fontId="4"/>
  </si>
  <si>
    <t>-</t>
    <phoneticPr fontId="4"/>
  </si>
  <si>
    <t>-</t>
    <phoneticPr fontId="4"/>
  </si>
  <si>
    <t>-</t>
    <phoneticPr fontId="4"/>
  </si>
  <si>
    <t>-</t>
    <phoneticPr fontId="4"/>
  </si>
  <si>
    <t>-</t>
    <phoneticPr fontId="4"/>
  </si>
  <si>
    <t>＜入居者数　4人＞</t>
    <phoneticPr fontId="4"/>
  </si>
  <si>
    <t>その他</t>
    <rPh sb="2" eb="3">
      <t>タ</t>
    </rPh>
    <phoneticPr fontId="4"/>
  </si>
  <si>
    <t>調整後排出係数</t>
    <rPh sb="0" eb="3">
      <t>チョウセイゴ</t>
    </rPh>
    <rPh sb="3" eb="5">
      <t>ハイシュツ</t>
    </rPh>
    <rPh sb="5" eb="7">
      <t>ケイスウ</t>
    </rPh>
    <phoneticPr fontId="4"/>
  </si>
  <si>
    <t>参照値（参照建物）</t>
    <rPh sb="0" eb="2">
      <t>サンショウ</t>
    </rPh>
    <rPh sb="2" eb="3">
      <t>チ</t>
    </rPh>
    <rPh sb="4" eb="6">
      <t>サンショウ</t>
    </rPh>
    <rPh sb="6" eb="8">
      <t>タテモノ</t>
    </rPh>
    <phoneticPr fontId="4"/>
  </si>
  <si>
    <r>
      <t>kg-CO</t>
    </r>
    <r>
      <rPr>
        <vertAlign val="subscript"/>
        <sz val="10"/>
        <rFont val="ＭＳ Ｐゴシック"/>
        <family val="3"/>
        <charset val="128"/>
      </rPr>
      <t>2</t>
    </r>
    <r>
      <rPr>
        <sz val="10"/>
        <rFont val="ＭＳ Ｐゴシック"/>
        <family val="3"/>
        <charset val="128"/>
      </rPr>
      <t>/年㎡</t>
    </r>
    <rPh sb="7" eb="8">
      <t>ネン</t>
    </rPh>
    <phoneticPr fontId="4"/>
  </si>
  <si>
    <t>運用
段階</t>
    <rPh sb="0" eb="2">
      <t>ウンヨウ</t>
    </rPh>
    <rPh sb="3" eb="5">
      <t>ダンカイ</t>
    </rPh>
    <phoneticPr fontId="4"/>
  </si>
  <si>
    <t>実排出係数</t>
    <rPh sb="0" eb="1">
      <t>ジツ</t>
    </rPh>
    <rPh sb="1" eb="3">
      <t>ハイシュツ</t>
    </rPh>
    <rPh sb="3" eb="5">
      <t>ケイスウ</t>
    </rPh>
    <phoneticPr fontId="4"/>
  </si>
  <si>
    <t xml:space="preserve"> ④上記+
　オフサイト手法</t>
    <phoneticPr fontId="4"/>
  </si>
  <si>
    <t>-</t>
    <phoneticPr fontId="4"/>
  </si>
  <si>
    <t>-</t>
    <phoneticPr fontId="4"/>
  </si>
  <si>
    <t>-</t>
    <phoneticPr fontId="4"/>
  </si>
  <si>
    <t>-</t>
    <phoneticPr fontId="4"/>
  </si>
  <si>
    <t>-</t>
    <phoneticPr fontId="4"/>
  </si>
  <si>
    <t>-</t>
    <phoneticPr fontId="4"/>
  </si>
  <si>
    <t>構造躯体コンクリートに混合セメント（高炉セメント、フライアッシュセメント）またはエコセメントを用いている。（捨てコン、腰壁への使用は評価しない。）</t>
  </si>
  <si>
    <t>-</t>
    <phoneticPr fontId="4"/>
  </si>
  <si>
    <t>取組み大</t>
    <rPh sb="0" eb="2">
      <t>トリク</t>
    </rPh>
    <rPh sb="3" eb="4">
      <t>ダイ</t>
    </rPh>
    <phoneticPr fontId="4"/>
  </si>
  <si>
    <t>取組み小</t>
    <rPh sb="0" eb="2">
      <t>トリク</t>
    </rPh>
    <rPh sb="3" eb="4">
      <t>ショウ</t>
    </rPh>
    <phoneticPr fontId="4"/>
  </si>
  <si>
    <t>取組みなし</t>
    <rPh sb="0" eb="2">
      <t>トリク</t>
    </rPh>
    <phoneticPr fontId="4"/>
  </si>
  <si>
    <t>屋根葺材（勾配屋根の場合）または防水材（陸屋根の場合）への省資源・廃棄物抑制に役立つ材料の採用。</t>
  </si>
  <si>
    <t>屋根下地材（勾配屋根の場合）または防水下地材（陸屋根の場合）への省資源・廃棄物抑制に役立つ材料の採用。</t>
  </si>
  <si>
    <t>外壁材への省資源・廃棄物抑制に役立つ材料の採用。</t>
  </si>
  <si>
    <t>外壁下地材への省資源・廃棄物抑制に役立つ材料の採用。</t>
  </si>
  <si>
    <t>断熱材への省資源・廃棄物抑制に役立つ材料の採用。</t>
  </si>
  <si>
    <t>床仕上げ材への省資源・廃棄物抑制に役立つ材料の採用。</t>
  </si>
  <si>
    <t>床下地材への省資源・廃棄物抑制に役立つ材料の採用。</t>
  </si>
  <si>
    <t>内壁仕上げへの省資源・廃棄物抑制に役立つ材料の採用。</t>
  </si>
  <si>
    <t>内壁下地材への省資源・廃棄物抑制に役立つ材料の採用。</t>
  </si>
  <si>
    <t>天井仕上げへの省資源・廃棄物抑制に役立つ材料の採用。</t>
  </si>
  <si>
    <t>天井下地材への省資源・廃棄物抑制に役立つ材料の採用。</t>
  </si>
  <si>
    <t>主要な居室において、適切な暖房計画を行っている。</t>
    <phoneticPr fontId="4"/>
  </si>
  <si>
    <t>配慮項目</t>
    <phoneticPr fontId="4"/>
  </si>
  <si>
    <t>評価ポイント</t>
    <rPh sb="0" eb="2">
      <t>ヒョウカ</t>
    </rPh>
    <phoneticPr fontId="4"/>
  </si>
  <si>
    <t>その他</t>
    <rPh sb="2" eb="3">
      <t>ホカ</t>
    </rPh>
    <phoneticPr fontId="4"/>
  </si>
  <si>
    <t>Residential</t>
    <phoneticPr fontId="4"/>
  </si>
  <si>
    <t>総合</t>
    <rPh sb="0" eb="2">
      <t>ソウゴウ</t>
    </rPh>
    <phoneticPr fontId="4"/>
  </si>
  <si>
    <r>
      <t xml:space="preserve">■ </t>
    </r>
    <r>
      <rPr>
        <sz val="10"/>
        <rFont val="ＭＳ Ｐゴシック"/>
        <family val="3"/>
        <charset val="128"/>
      </rPr>
      <t>作成者</t>
    </r>
    <rPh sb="2" eb="5">
      <t>サクセイシャ</t>
    </rPh>
    <phoneticPr fontId="4"/>
  </si>
  <si>
    <t>基本設計段階</t>
    <rPh sb="0" eb="2">
      <t>キホン</t>
    </rPh>
    <rPh sb="2" eb="4">
      <t>セッケイ</t>
    </rPh>
    <rPh sb="4" eb="6">
      <t>ダンカイ</t>
    </rPh>
    <phoneticPr fontId="4"/>
  </si>
  <si>
    <t>実施設計段階</t>
    <rPh sb="0" eb="2">
      <t>ジッシ</t>
    </rPh>
    <rPh sb="2" eb="4">
      <t>セッケイ</t>
    </rPh>
    <rPh sb="4" eb="6">
      <t>ダンカイ</t>
    </rPh>
    <phoneticPr fontId="4"/>
  </si>
  <si>
    <t>多段階評価３つ星以上</t>
    <rPh sb="0" eb="1">
      <t>タ</t>
    </rPh>
    <rPh sb="1" eb="3">
      <t>ダンカイ</t>
    </rPh>
    <rPh sb="3" eb="5">
      <t>ヒョウカ</t>
    </rPh>
    <rPh sb="7" eb="8">
      <t>ホシ</t>
    </rPh>
    <rPh sb="8" eb="10">
      <t>イジョウ</t>
    </rPh>
    <phoneticPr fontId="4"/>
  </si>
  <si>
    <t>評価する取組み１～６のうち、２つ以上の手法を採用している。</t>
    <rPh sb="16" eb="18">
      <t>イジョウ</t>
    </rPh>
    <rPh sb="19" eb="21">
      <t>シュホウ</t>
    </rPh>
    <phoneticPr fontId="4"/>
  </si>
  <si>
    <t>評価する取組み１～６のうち、３つ以上の手法を採用している。</t>
    <phoneticPr fontId="4"/>
  </si>
  <si>
    <t>レベル４を満たさない。</t>
    <rPh sb="5" eb="6">
      <t>ミ</t>
    </rPh>
    <phoneticPr fontId="4"/>
  </si>
  <si>
    <t>日本住宅性能表示基準「2-1 感知警報装置設置等級（自住戸火災時）」における等級１を満たす。</t>
    <rPh sb="28" eb="29">
      <t>コ</t>
    </rPh>
    <phoneticPr fontId="4"/>
  </si>
  <si>
    <t>日本住宅性能表示基準「2-1 感知警報装置設置等級（自住戸火災時）」における等級２を満たす。</t>
    <phoneticPr fontId="4"/>
  </si>
  <si>
    <t>日本住宅性能表示基準「2-1 感知警報装置設置等級（自住戸火災時）」における等級３以上を満たす。</t>
    <phoneticPr fontId="4"/>
  </si>
  <si>
    <t>項目名</t>
    <rPh sb="0" eb="2">
      <t>コウモク</t>
    </rPh>
    <rPh sb="2" eb="3">
      <t>メイ</t>
    </rPh>
    <phoneticPr fontId="4"/>
  </si>
  <si>
    <t>病院</t>
  </si>
  <si>
    <t>建築面積</t>
    <rPh sb="0" eb="2">
      <t>ｹﾝﾁｸ</t>
    </rPh>
    <rPh sb="2" eb="4">
      <t>ﾒﾝｾｷ</t>
    </rPh>
    <phoneticPr fontId="18" type="noConversion"/>
  </si>
  <si>
    <t>建物全体</t>
    <rPh sb="0" eb="2">
      <t>タテモノ</t>
    </rPh>
    <rPh sb="2" eb="4">
      <t>ゼンタイ</t>
    </rPh>
    <phoneticPr fontId="4"/>
  </si>
  <si>
    <t>全体・共有</t>
    <rPh sb="0" eb="2">
      <t>ゼンタイ</t>
    </rPh>
    <rPh sb="3" eb="5">
      <t>キョウユウ</t>
    </rPh>
    <phoneticPr fontId="4"/>
  </si>
  <si>
    <t>2.2.1</t>
  </si>
  <si>
    <t>2.2.2</t>
  </si>
  <si>
    <t>SQ</t>
    <phoneticPr fontId="4"/>
  </si>
  <si>
    <t>SLR</t>
    <phoneticPr fontId="4"/>
  </si>
  <si>
    <t>更新回数</t>
    <rPh sb="0" eb="2">
      <t>コウシン</t>
    </rPh>
    <rPh sb="2" eb="4">
      <t>カイスウ</t>
    </rPh>
    <phoneticPr fontId="4"/>
  </si>
  <si>
    <t>更新に伴うCO2排出量</t>
    <rPh sb="0" eb="2">
      <t>コウシン</t>
    </rPh>
    <rPh sb="3" eb="4">
      <t>トモナ</t>
    </rPh>
    <rPh sb="8" eb="10">
      <t>ハイシュツ</t>
    </rPh>
    <rPh sb="10" eb="11">
      <t>リョウ</t>
    </rPh>
    <phoneticPr fontId="4"/>
  </si>
  <si>
    <t>太陽光パネル</t>
    <rPh sb="0" eb="3">
      <t>タイヨウコウ</t>
    </rPh>
    <phoneticPr fontId="4"/>
  </si>
  <si>
    <t>kg-CO2/kg</t>
    <phoneticPr fontId="4"/>
  </si>
  <si>
    <t>kg-CO2/kg</t>
    <phoneticPr fontId="4"/>
  </si>
  <si>
    <t>太陽熱給湯器</t>
    <rPh sb="0" eb="3">
      <t>タイヨウネツ</t>
    </rPh>
    <rPh sb="3" eb="6">
      <t>キュウトウキ</t>
    </rPh>
    <phoneticPr fontId="4"/>
  </si>
  <si>
    <t>燃料電池</t>
    <rPh sb="0" eb="2">
      <t>ネンリョウ</t>
    </rPh>
    <rPh sb="2" eb="4">
      <t>デンチ</t>
    </rPh>
    <phoneticPr fontId="4"/>
  </si>
  <si>
    <t>エコキュート</t>
    <phoneticPr fontId="4"/>
  </si>
  <si>
    <t>暖房方式</t>
    <rPh sb="0" eb="2">
      <t>ダンボウ</t>
    </rPh>
    <rPh sb="2" eb="4">
      <t>ホウシキ</t>
    </rPh>
    <phoneticPr fontId="4"/>
  </si>
  <si>
    <t>Ｃ</t>
  </si>
  <si>
    <t>冷房方式</t>
    <rPh sb="0" eb="2">
      <t>レイボウ</t>
    </rPh>
    <rPh sb="2" eb="4">
      <t>ホウシキ</t>
    </rPh>
    <phoneticPr fontId="4"/>
  </si>
  <si>
    <t>ａ</t>
  </si>
  <si>
    <t>Ａ</t>
  </si>
  <si>
    <t>Ａ：単位住戸全体を暖房する方式</t>
    <phoneticPr fontId="4"/>
  </si>
  <si>
    <t>Ｂ</t>
  </si>
  <si>
    <t>ｂ</t>
  </si>
  <si>
    <t>Ｂ：居室のみを暖房する方式（連続運転）</t>
    <phoneticPr fontId="4"/>
  </si>
  <si>
    <t>Ｃ：居室のみを暖房する方式（間歇運転）</t>
    <phoneticPr fontId="4"/>
  </si>
  <si>
    <t>※参照建物の一次エネルギー消費量(参照値)はレベル３相当とする。</t>
    <rPh sb="1" eb="3">
      <t>サンショウ</t>
    </rPh>
    <rPh sb="3" eb="5">
      <t>タテモノ</t>
    </rPh>
    <rPh sb="6" eb="8">
      <t>イチジ</t>
    </rPh>
    <rPh sb="13" eb="16">
      <t>ショウヒリョウ</t>
    </rPh>
    <rPh sb="17" eb="19">
      <t>サンショウ</t>
    </rPh>
    <rPh sb="19" eb="20">
      <t>チ</t>
    </rPh>
    <rPh sb="26" eb="28">
      <t>ソウトウ</t>
    </rPh>
    <phoneticPr fontId="4"/>
  </si>
  <si>
    <t>設備の方式</t>
  </si>
  <si>
    <t>評価建物</t>
    <rPh sb="0" eb="2">
      <t>ヒョウカ</t>
    </rPh>
    <rPh sb="2" eb="4">
      <t>タテモノ</t>
    </rPh>
    <phoneticPr fontId="4"/>
  </si>
  <si>
    <t>地域区分</t>
  </si>
  <si>
    <t>暖房</t>
  </si>
  <si>
    <t>冷房</t>
  </si>
  <si>
    <t>評価ﾚﾍﾞﾙ</t>
    <phoneticPr fontId="4"/>
  </si>
  <si>
    <t>Ａａ0</t>
    <phoneticPr fontId="4"/>
  </si>
  <si>
    <t>レベル１</t>
  </si>
  <si>
    <t>Ａａ1</t>
    <phoneticPr fontId="4"/>
  </si>
  <si>
    <t>Ａｂ0</t>
    <phoneticPr fontId="4"/>
  </si>
  <si>
    <t>Ａｂ1</t>
    <phoneticPr fontId="4"/>
  </si>
  <si>
    <t>Ｂａ0</t>
    <phoneticPr fontId="4"/>
  </si>
  <si>
    <t>Ｂａ1</t>
    <phoneticPr fontId="4"/>
  </si>
  <si>
    <t>Ｃａ0</t>
    <phoneticPr fontId="4"/>
  </si>
  <si>
    <t>Ｃａ1</t>
    <phoneticPr fontId="4"/>
  </si>
  <si>
    <t>Ｃｂ0</t>
    <phoneticPr fontId="4"/>
  </si>
  <si>
    <t>Ｃｂ1</t>
    <phoneticPr fontId="4"/>
  </si>
  <si>
    <t>Ｂｂ0</t>
    <phoneticPr fontId="4"/>
  </si>
  <si>
    <t>Ｂｂ1</t>
    <phoneticPr fontId="4"/>
  </si>
  <si>
    <t>一次エネ消費量　MJ/年</t>
    <phoneticPr fontId="4"/>
  </si>
  <si>
    <t>参照建物①</t>
    <rPh sb="0" eb="2">
      <t>サンショウ</t>
    </rPh>
    <rPh sb="2" eb="4">
      <t>タテモノ</t>
    </rPh>
    <phoneticPr fontId="4"/>
  </si>
  <si>
    <t>評価建物②</t>
    <rPh sb="0" eb="2">
      <t>ヒョウカ</t>
    </rPh>
    <rPh sb="2" eb="4">
      <t>タテモノ</t>
    </rPh>
    <phoneticPr fontId="4"/>
  </si>
  <si>
    <r>
      <t>kg-CO</t>
    </r>
    <r>
      <rPr>
        <vertAlign val="subscript"/>
        <sz val="10"/>
        <rFont val="ＭＳ Ｐゴシック"/>
        <family val="3"/>
        <charset val="128"/>
      </rPr>
      <t>2</t>
    </r>
    <r>
      <rPr>
        <sz val="10"/>
        <rFont val="ＭＳ Ｐゴシック"/>
        <family val="3"/>
        <charset val="128"/>
      </rPr>
      <t>/MJ</t>
    </r>
    <phoneticPr fontId="4"/>
  </si>
  <si>
    <t>床面積</t>
    <rPh sb="0" eb="3">
      <t>ユカメンセキ</t>
    </rPh>
    <phoneticPr fontId="4"/>
  </si>
  <si>
    <t>一次エネ消費量</t>
    <rPh sb="0" eb="2">
      <t>イチジ</t>
    </rPh>
    <rPh sb="4" eb="7">
      <t>ショウヒリョウ</t>
    </rPh>
    <phoneticPr fontId="4"/>
  </si>
  <si>
    <r>
      <t>kg-CO</t>
    </r>
    <r>
      <rPr>
        <vertAlign val="subscript"/>
        <sz val="10"/>
        <rFont val="ＭＳ Ｐゴシック"/>
        <family val="3"/>
        <charset val="128"/>
      </rPr>
      <t>2</t>
    </r>
    <r>
      <rPr>
        <sz val="10"/>
        <rFont val="ＭＳ Ｐゴシック"/>
        <family val="3"/>
        <charset val="128"/>
      </rPr>
      <t>/MJ</t>
    </r>
    <phoneticPr fontId="4"/>
  </si>
  <si>
    <t>評価建物③</t>
    <rPh sb="0" eb="2">
      <t>ヒョウカ</t>
    </rPh>
    <rPh sb="2" eb="4">
      <t>タテモノ</t>
    </rPh>
    <phoneticPr fontId="4"/>
  </si>
  <si>
    <t>評　価　ソ　フ　ト</t>
    <rPh sb="0" eb="1">
      <t>ヒョウ</t>
    </rPh>
    <rPh sb="2" eb="3">
      <t>アタイ</t>
    </rPh>
    <phoneticPr fontId="4"/>
  </si>
  <si>
    <t>2-2.　導入設備に係るCO2排出量</t>
    <rPh sb="5" eb="7">
      <t>ドウニュウ</t>
    </rPh>
    <rPh sb="7" eb="9">
      <t>セツビ</t>
    </rPh>
    <rPh sb="10" eb="11">
      <t>カカ</t>
    </rPh>
    <rPh sb="15" eb="17">
      <t>ハイシュツ</t>
    </rPh>
    <rPh sb="17" eb="18">
      <t>リョウ</t>
    </rPh>
    <phoneticPr fontId="4"/>
  </si>
  <si>
    <t>エコキュート</t>
  </si>
  <si>
    <t>kg-CO2/kg</t>
  </si>
  <si>
    <t>年</t>
    <rPh sb="0" eb="1">
      <t>ネン</t>
    </rPh>
    <phoneticPr fontId="4"/>
  </si>
  <si>
    <t>寿命</t>
    <rPh sb="0" eb="2">
      <t>ジュミョウ</t>
    </rPh>
    <phoneticPr fontId="4"/>
  </si>
  <si>
    <t>更新周期</t>
    <rPh sb="0" eb="2">
      <t>コウシン</t>
    </rPh>
    <rPh sb="2" eb="4">
      <t>シュウキ</t>
    </rPh>
    <phoneticPr fontId="4"/>
  </si>
  <si>
    <t>年</t>
    <rPh sb="0" eb="1">
      <t>ネン</t>
    </rPh>
    <phoneticPr fontId="4"/>
  </si>
  <si>
    <t>設備の更新周期</t>
    <rPh sb="0" eb="2">
      <t>セツビ</t>
    </rPh>
    <rPh sb="3" eb="5">
      <t>コウシン</t>
    </rPh>
    <rPh sb="5" eb="7">
      <t>シュウキ</t>
    </rPh>
    <phoneticPr fontId="4"/>
  </si>
  <si>
    <r>
      <t>■導入設備に係るCO</t>
    </r>
    <r>
      <rPr>
        <b/>
        <vertAlign val="subscript"/>
        <sz val="10"/>
        <rFont val="ＭＳ Ｐゴシック"/>
        <family val="3"/>
        <charset val="128"/>
      </rPr>
      <t>2</t>
    </r>
    <r>
      <rPr>
        <b/>
        <sz val="10"/>
        <rFont val="ＭＳ Ｐゴシック"/>
        <family val="3"/>
        <charset val="128"/>
      </rPr>
      <t>排出量</t>
    </r>
    <rPh sb="1" eb="3">
      <t>ドウニュウ</t>
    </rPh>
    <rPh sb="3" eb="5">
      <t>セツビ</t>
    </rPh>
    <rPh sb="6" eb="7">
      <t>カカ</t>
    </rPh>
    <rPh sb="11" eb="13">
      <t>ハイシュツ</t>
    </rPh>
    <rPh sb="13" eb="14">
      <t>リョウ</t>
    </rPh>
    <phoneticPr fontId="4"/>
  </si>
  <si>
    <t>ｋｇ</t>
    <phoneticPr fontId="4"/>
  </si>
  <si>
    <t>導入される設備の重量</t>
    <rPh sb="0" eb="2">
      <t>ドウニュウ</t>
    </rPh>
    <rPh sb="5" eb="7">
      <t>セツビ</t>
    </rPh>
    <rPh sb="8" eb="10">
      <t>ジュウリョウ</t>
    </rPh>
    <phoneticPr fontId="4"/>
  </si>
  <si>
    <t>1-2.　導入設備に係るCO2排出量</t>
    <rPh sb="5" eb="7">
      <t>ドウニュウ</t>
    </rPh>
    <rPh sb="7" eb="9">
      <t>セツビ</t>
    </rPh>
    <rPh sb="10" eb="11">
      <t>カカ</t>
    </rPh>
    <rPh sb="15" eb="17">
      <t>ハイシュツ</t>
    </rPh>
    <rPh sb="17" eb="18">
      <t>リョウ</t>
    </rPh>
    <phoneticPr fontId="4"/>
  </si>
  <si>
    <t>導入重量　kg</t>
    <rPh sb="0" eb="2">
      <t>ドウニュウ</t>
    </rPh>
    <rPh sb="2" eb="4">
      <t>ジュウリョウ</t>
    </rPh>
    <phoneticPr fontId="4"/>
  </si>
  <si>
    <t>CO2原単位　kg-CO2/kg</t>
    <rPh sb="3" eb="6">
      <t>ゲンタンイ</t>
    </rPh>
    <phoneticPr fontId="4"/>
  </si>
  <si>
    <t>kg-CO2</t>
    <phoneticPr fontId="4"/>
  </si>
  <si>
    <t>（A)－（B)</t>
    <phoneticPr fontId="4"/>
  </si>
  <si>
    <t>1-2.　合計の計算</t>
    <rPh sb="5" eb="7">
      <t>ゴウケイ</t>
    </rPh>
    <rPh sb="8" eb="10">
      <t>ケイサン</t>
    </rPh>
    <phoneticPr fontId="4"/>
  </si>
  <si>
    <t>2-2.　合計の計算</t>
    <rPh sb="5" eb="7">
      <t>ゴウケイ</t>
    </rPh>
    <rPh sb="8" eb="10">
      <t>ケイサン</t>
    </rPh>
    <phoneticPr fontId="4"/>
  </si>
  <si>
    <t>評価対象（③）</t>
    <phoneticPr fontId="4"/>
  </si>
  <si>
    <r>
      <t>ｃ　居住時のCO</t>
    </r>
    <r>
      <rPr>
        <b/>
        <vertAlign val="subscript"/>
        <sz val="11"/>
        <rFont val="ＭＳ Ｐゴシック"/>
        <family val="3"/>
        <charset val="128"/>
      </rPr>
      <t>2</t>
    </r>
    <r>
      <rPr>
        <b/>
        <sz val="11"/>
        <rFont val="ＭＳ Ｐゴシック"/>
        <family val="3"/>
        <charset val="128"/>
      </rPr>
      <t>排出量算出のための基準値</t>
    </r>
    <rPh sb="2" eb="4">
      <t>キョジュウ</t>
    </rPh>
    <rPh sb="4" eb="5">
      <t>ジ</t>
    </rPh>
    <rPh sb="9" eb="11">
      <t>ハイシュツ</t>
    </rPh>
    <rPh sb="11" eb="12">
      <t>リョウ</t>
    </rPh>
    <rPh sb="12" eb="14">
      <t>サンシュツ</t>
    </rPh>
    <rPh sb="18" eb="21">
      <t>キジュンチ</t>
    </rPh>
    <phoneticPr fontId="4"/>
  </si>
  <si>
    <r>
      <t>ｄ.　ライフサイクルCO</t>
    </r>
    <r>
      <rPr>
        <b/>
        <vertAlign val="subscript"/>
        <sz val="11"/>
        <rFont val="ＭＳ Ｐゴシック"/>
        <family val="3"/>
        <charset val="128"/>
      </rPr>
      <t>2</t>
    </r>
    <r>
      <rPr>
        <b/>
        <sz val="11"/>
        <rFont val="ＭＳ Ｐゴシック"/>
        <family val="3"/>
        <charset val="128"/>
      </rPr>
      <t>算定条件</t>
    </r>
    <rPh sb="13" eb="15">
      <t>サンテイ</t>
    </rPh>
    <rPh sb="15" eb="17">
      <t>ジョウケン</t>
    </rPh>
    <phoneticPr fontId="4"/>
  </si>
  <si>
    <t>電力（実排出係数）</t>
    <rPh sb="0" eb="2">
      <t>デンリョク</t>
    </rPh>
    <rPh sb="3" eb="4">
      <t>ジツ</t>
    </rPh>
    <rPh sb="4" eb="6">
      <t>ハイシュツ</t>
    </rPh>
    <rPh sb="6" eb="8">
      <t>ケイスウ</t>
    </rPh>
    <phoneticPr fontId="3"/>
  </si>
  <si>
    <r>
      <t>ライフサイクルCO</t>
    </r>
    <r>
      <rPr>
        <b/>
        <vertAlign val="subscript"/>
        <sz val="12"/>
        <color indexed="9"/>
        <rFont val="ＭＳ Ｐゴシック"/>
        <family val="3"/>
        <charset val="128"/>
      </rPr>
      <t>2</t>
    </r>
    <r>
      <rPr>
        <b/>
        <sz val="12"/>
        <color indexed="9"/>
        <rFont val="ＭＳ Ｐゴシック"/>
        <family val="3"/>
        <charset val="128"/>
      </rPr>
      <t>計算シート（戸建標準計算用）</t>
    </r>
    <rPh sb="10" eb="12">
      <t>ケイサン</t>
    </rPh>
    <rPh sb="16" eb="18">
      <t>コダテ</t>
    </rPh>
    <rPh sb="18" eb="20">
      <t>ヒョウジュン</t>
    </rPh>
    <rPh sb="20" eb="22">
      <t>ケイサン</t>
    </rPh>
    <rPh sb="22" eb="23">
      <t>ヨウ</t>
    </rPh>
    <phoneticPr fontId="4"/>
  </si>
  <si>
    <r>
      <t>1.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</si>
  <si>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1-1.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</si>
  <si>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2.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</si>
  <si>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2-1.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</si>
  <si>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3.　居住時のエネルギーに係るCO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カカ</t>
    </rPh>
    <rPh sb="18" eb="20">
      <t>ハイシュツ</t>
    </rPh>
    <rPh sb="20" eb="21">
      <t>リョウ</t>
    </rPh>
    <phoneticPr fontId="4"/>
  </si>
  <si>
    <r>
      <t>4.　ライフサイクルCO</t>
    </r>
    <r>
      <rPr>
        <b/>
        <vertAlign val="subscript"/>
        <sz val="11"/>
        <rFont val="ＭＳ Ｐゴシック"/>
        <family val="3"/>
        <charset val="128"/>
      </rPr>
      <t>2</t>
    </r>
    <r>
      <rPr>
        <b/>
        <sz val="11"/>
        <rFont val="ＭＳ Ｐゴシック"/>
        <family val="3"/>
        <charset val="128"/>
      </rPr>
      <t>の計算</t>
    </r>
    <rPh sb="14" eb="16">
      <t>ケイサン</t>
    </rPh>
    <phoneticPr fontId="4"/>
  </si>
  <si>
    <t>■算定プログラムの結果による評価</t>
    <rPh sb="1" eb="3">
      <t>サンテイ</t>
    </rPh>
    <rPh sb="9" eb="11">
      <t>ケッカ</t>
    </rPh>
    <rPh sb="14" eb="16">
      <t>ヒョウカ</t>
    </rPh>
    <phoneticPr fontId="4"/>
  </si>
  <si>
    <t>レベル１</t>
    <phoneticPr fontId="4"/>
  </si>
  <si>
    <t>算定プログラムによる評価</t>
    <rPh sb="0" eb="2">
      <t>サンテイ</t>
    </rPh>
    <rPh sb="10" eb="12">
      <t>ヒョウカ</t>
    </rPh>
    <phoneticPr fontId="4"/>
  </si>
  <si>
    <t>A.基準一次エネルギー消費量</t>
    <rPh sb="2" eb="4">
      <t>キジュン</t>
    </rPh>
    <rPh sb="4" eb="6">
      <t>イチジ</t>
    </rPh>
    <rPh sb="11" eb="14">
      <t>ショウヒリョウ</t>
    </rPh>
    <phoneticPr fontId="4"/>
  </si>
  <si>
    <t>B.その他の一次ｴﾈﾙｷﾞｰ消費量（家電・調理分）</t>
    <rPh sb="23" eb="24">
      <t>ブン</t>
    </rPh>
    <phoneticPr fontId="4"/>
  </si>
  <si>
    <t>C.設計一次エネルギー消費量</t>
    <rPh sb="2" eb="4">
      <t>セッケイ</t>
    </rPh>
    <rPh sb="4" eb="6">
      <t>イチジ</t>
    </rPh>
    <rPh sb="11" eb="14">
      <t>ショウヒリョウ</t>
    </rPh>
    <phoneticPr fontId="4"/>
  </si>
  <si>
    <r>
      <t>1.1.1</t>
    </r>
    <r>
      <rPr>
        <b/>
        <sz val="12"/>
        <rFont val="ＭＳ Ｐゴシック"/>
        <family val="3"/>
        <charset val="128"/>
      </rPr>
      <t>　断熱等性能の確保</t>
    </r>
    <rPh sb="8" eb="9">
      <t>ナド</t>
    </rPh>
    <phoneticPr fontId="4"/>
  </si>
  <si>
    <t>断熱等性能の確保</t>
    <rPh sb="2" eb="3">
      <t>ナド</t>
    </rPh>
    <phoneticPr fontId="4"/>
  </si>
  <si>
    <t>■算定プログラムを使わない場合の評価　 (以下の３カ所を必ず選択して下さい）</t>
    <rPh sb="1" eb="3">
      <t>サンテイ</t>
    </rPh>
    <rPh sb="9" eb="10">
      <t>ツカ</t>
    </rPh>
    <rPh sb="13" eb="15">
      <t>バアイ</t>
    </rPh>
    <rPh sb="16" eb="18">
      <t>ヒョウカ</t>
    </rPh>
    <rPh sb="21" eb="23">
      <t>イカ</t>
    </rPh>
    <rPh sb="26" eb="27">
      <t>ショ</t>
    </rPh>
    <rPh sb="28" eb="29">
      <t>カナラ</t>
    </rPh>
    <rPh sb="30" eb="32">
      <t>センタク</t>
    </rPh>
    <rPh sb="34" eb="35">
      <t>クダ</t>
    </rPh>
    <phoneticPr fontId="4"/>
  </si>
  <si>
    <t>上表における「③上記+②以外のオンサイト手法」の入力値ベースでの計算例</t>
    <rPh sb="0" eb="2">
      <t>ジョウヒョウ</t>
    </rPh>
    <rPh sb="24" eb="26">
      <t>ニュウリョク</t>
    </rPh>
    <rPh sb="26" eb="27">
      <t>チ</t>
    </rPh>
    <rPh sb="32" eb="34">
      <t>ケイサン</t>
    </rPh>
    <rPh sb="34" eb="35">
      <t>レイ</t>
    </rPh>
    <phoneticPr fontId="4"/>
  </si>
  <si>
    <t>上表③の電力消費分（A)</t>
    <rPh sb="0" eb="2">
      <t>ジョウヒョウ</t>
    </rPh>
    <rPh sb="4" eb="6">
      <t>デンリョク</t>
    </rPh>
    <rPh sb="6" eb="8">
      <t>ショウヒ</t>
    </rPh>
    <rPh sb="8" eb="9">
      <t>ブン</t>
    </rPh>
    <phoneticPr fontId="4"/>
  </si>
  <si>
    <t>上表③の参考値</t>
    <rPh sb="0" eb="2">
      <t>ジョウヒョウ</t>
    </rPh>
    <rPh sb="4" eb="6">
      <t>サンコウ</t>
    </rPh>
    <rPh sb="6" eb="7">
      <t>チ</t>
    </rPh>
    <phoneticPr fontId="4"/>
  </si>
  <si>
    <t>太陽光発電等エネルギー総量（③ｵﾝｻｲﾄの取組）</t>
  </si>
  <si>
    <t>○○○○</t>
    <phoneticPr fontId="4"/>
  </si>
  <si>
    <t>ａ ：単位住戸全体を冷房する方式</t>
    <phoneticPr fontId="4"/>
  </si>
  <si>
    <t>ｂ ：居室のみを冷房する方式（間歇運転）</t>
    <phoneticPr fontId="4"/>
  </si>
  <si>
    <t>－：上記以外（不明な場合を含む）</t>
    <rPh sb="2" eb="4">
      <t>ジョウキ</t>
    </rPh>
    <rPh sb="4" eb="6">
      <t>イガイ</t>
    </rPh>
    <rPh sb="7" eb="9">
      <t>フメイ</t>
    </rPh>
    <rPh sb="10" eb="12">
      <t>バアイ</t>
    </rPh>
    <rPh sb="13" eb="14">
      <t>フク</t>
    </rPh>
    <phoneticPr fontId="4"/>
  </si>
  <si>
    <t>「－」の場合</t>
    <phoneticPr fontId="4"/>
  </si>
  <si>
    <t xml:space="preserve"> ■使用評価マニュアル：</t>
    <phoneticPr fontId="4"/>
  </si>
  <si>
    <r>
      <t>2-1</t>
    </r>
    <r>
      <rPr>
        <b/>
        <sz val="12"/>
        <color indexed="9"/>
        <rFont val="ＭＳ Ｐゴシック"/>
        <family val="3"/>
        <charset val="128"/>
      </rPr>
      <t>　戸建の環境効率</t>
    </r>
    <r>
      <rPr>
        <b/>
        <sz val="9"/>
        <color indexed="9"/>
        <rFont val="ＭＳ Ｐゴシック"/>
        <family val="3"/>
        <charset val="128"/>
      </rPr>
      <t>（</t>
    </r>
    <r>
      <rPr>
        <b/>
        <sz val="9"/>
        <color indexed="9"/>
        <rFont val="Arial"/>
        <family val="2"/>
      </rPr>
      <t>BEE</t>
    </r>
    <r>
      <rPr>
        <b/>
        <sz val="9"/>
        <color indexed="9"/>
        <rFont val="ＭＳ Ｐゴシック"/>
        <family val="3"/>
        <charset val="128"/>
      </rPr>
      <t>ランク</t>
    </r>
    <r>
      <rPr>
        <b/>
        <sz val="9"/>
        <color indexed="9"/>
        <rFont val="Arial"/>
        <family val="2"/>
      </rPr>
      <t>&amp;</t>
    </r>
    <r>
      <rPr>
        <b/>
        <sz val="9"/>
        <color indexed="9"/>
        <rFont val="ＭＳ Ｐゴシック"/>
        <family val="3"/>
        <charset val="128"/>
      </rPr>
      <t>チャート）</t>
    </r>
    <rPh sb="4" eb="6">
      <t>こだて</t>
    </rPh>
    <phoneticPr fontId="18" type="noConversion"/>
  </si>
  <si>
    <r>
      <t>Q</t>
    </r>
    <r>
      <rPr>
        <b/>
        <vertAlign val="subscript"/>
        <sz val="14"/>
        <rFont val="Arial"/>
        <family val="2"/>
      </rPr>
      <t>H</t>
    </r>
    <r>
      <rPr>
        <b/>
        <sz val="14"/>
        <rFont val="Arial"/>
        <family val="2"/>
      </rPr>
      <t xml:space="preserve">1 </t>
    </r>
    <r>
      <rPr>
        <b/>
        <sz val="14"/>
        <rFont val="ＭＳ Ｐゴシック"/>
        <family val="3"/>
        <charset val="128"/>
      </rPr>
      <t>室内環境を快適・健康・安心にする</t>
    </r>
    <rPh sb="4" eb="6">
      <t>シツナイ</t>
    </rPh>
    <rPh sb="6" eb="8">
      <t>カンキョウ</t>
    </rPh>
    <rPh sb="9" eb="11">
      <t>カイテキ</t>
    </rPh>
    <rPh sb="12" eb="14">
      <t>ケンコウ</t>
    </rPh>
    <rPh sb="15" eb="17">
      <t>アンシン</t>
    </rPh>
    <phoneticPr fontId="4"/>
  </si>
  <si>
    <r>
      <t>Q</t>
    </r>
    <r>
      <rPr>
        <b/>
        <vertAlign val="subscript"/>
        <sz val="14"/>
        <rFont val="Arial"/>
        <family val="2"/>
      </rPr>
      <t>H</t>
    </r>
    <r>
      <rPr>
        <b/>
        <sz val="14"/>
        <rFont val="Arial"/>
        <family val="2"/>
      </rPr>
      <t>2</t>
    </r>
    <r>
      <rPr>
        <b/>
        <sz val="14"/>
        <rFont val="ＭＳ Ｐゴシック"/>
        <family val="3"/>
        <charset val="128"/>
      </rPr>
      <t>　長く使い続ける</t>
    </r>
    <rPh sb="4" eb="5">
      <t>ナガ</t>
    </rPh>
    <rPh sb="6" eb="7">
      <t>ツカ</t>
    </rPh>
    <rPh sb="8" eb="9">
      <t>ツヅ</t>
    </rPh>
    <phoneticPr fontId="4"/>
  </si>
  <si>
    <r>
      <t>Q</t>
    </r>
    <r>
      <rPr>
        <b/>
        <vertAlign val="subscript"/>
        <sz val="14"/>
        <rFont val="Arial"/>
        <family val="2"/>
      </rPr>
      <t>H</t>
    </r>
    <r>
      <rPr>
        <b/>
        <sz val="14"/>
        <rFont val="Arial"/>
        <family val="2"/>
      </rPr>
      <t xml:space="preserve">3 </t>
    </r>
    <r>
      <rPr>
        <b/>
        <sz val="14"/>
        <rFont val="ＭＳ Ｐゴシック"/>
        <family val="3"/>
        <charset val="128"/>
      </rPr>
      <t>まちなみ・生態系を豊かにする</t>
    </r>
    <phoneticPr fontId="4"/>
  </si>
  <si>
    <r>
      <t>LR</t>
    </r>
    <r>
      <rPr>
        <b/>
        <vertAlign val="subscript"/>
        <sz val="14"/>
        <rFont val="Arial"/>
        <family val="2"/>
      </rPr>
      <t>H</t>
    </r>
    <r>
      <rPr>
        <b/>
        <sz val="14"/>
        <rFont val="Arial"/>
        <family val="2"/>
      </rPr>
      <t>1</t>
    </r>
    <r>
      <rPr>
        <b/>
        <sz val="14"/>
        <rFont val="ＭＳ Ｐゴシック"/>
        <family val="3"/>
        <charset val="128"/>
      </rPr>
      <t>　エネルギーと水を大切に使う</t>
    </r>
    <rPh sb="11" eb="12">
      <t>ミズ</t>
    </rPh>
    <rPh sb="13" eb="15">
      <t>タイセツ</t>
    </rPh>
    <rPh sb="16" eb="17">
      <t>ツカ</t>
    </rPh>
    <phoneticPr fontId="4"/>
  </si>
  <si>
    <r>
      <t>LR</t>
    </r>
    <r>
      <rPr>
        <b/>
        <vertAlign val="subscript"/>
        <sz val="14"/>
        <rFont val="Arial"/>
        <family val="2"/>
      </rPr>
      <t>H</t>
    </r>
    <r>
      <rPr>
        <b/>
        <sz val="14"/>
        <rFont val="Arial"/>
        <family val="2"/>
      </rPr>
      <t>2</t>
    </r>
    <r>
      <rPr>
        <b/>
        <sz val="14"/>
        <rFont val="ＭＳ Ｐゴシック"/>
        <family val="3"/>
        <charset val="128"/>
      </rPr>
      <t>　資源を大切に使いゴミを減らす</t>
    </r>
    <rPh sb="5" eb="7">
      <t>シゲン</t>
    </rPh>
    <rPh sb="8" eb="10">
      <t>タイセツ</t>
    </rPh>
    <rPh sb="11" eb="12">
      <t>ツカ</t>
    </rPh>
    <rPh sb="16" eb="17">
      <t>ヘ</t>
    </rPh>
    <phoneticPr fontId="4"/>
  </si>
  <si>
    <r>
      <t>LR</t>
    </r>
    <r>
      <rPr>
        <b/>
        <vertAlign val="subscript"/>
        <sz val="14"/>
        <rFont val="Arial"/>
        <family val="2"/>
      </rPr>
      <t>H</t>
    </r>
    <r>
      <rPr>
        <b/>
        <sz val="14"/>
        <rFont val="Arial"/>
        <family val="2"/>
      </rPr>
      <t>3</t>
    </r>
    <r>
      <rPr>
        <b/>
        <sz val="14"/>
        <rFont val="ＭＳ Ｐゴシック"/>
        <family val="3"/>
        <charset val="128"/>
      </rPr>
      <t>　地球・地域・周辺環境に配慮する</t>
    </r>
    <rPh sb="5" eb="7">
      <t>チキュウ</t>
    </rPh>
    <rPh sb="8" eb="10">
      <t>チイキ</t>
    </rPh>
    <rPh sb="11" eb="13">
      <t>シュウヘン</t>
    </rPh>
    <rPh sb="13" eb="15">
      <t>カンキョウ</t>
    </rPh>
    <rPh sb="16" eb="18">
      <t>ハイリョ</t>
    </rPh>
    <phoneticPr fontId="4"/>
  </si>
  <si>
    <t>総合的な省エネ</t>
    <phoneticPr fontId="4"/>
  </si>
  <si>
    <t>評価する取組み１～３のうち、何れにも該当しない。</t>
    <phoneticPr fontId="4"/>
  </si>
  <si>
    <t>評価する取組み１～３のうち、何れかに該当している。</t>
    <phoneticPr fontId="4"/>
  </si>
  <si>
    <t>評価する取組み１～３のうち、２つに該当している。</t>
    <phoneticPr fontId="4"/>
  </si>
  <si>
    <t>評価する取組み１～３のうち、３つに該当している。</t>
    <phoneticPr fontId="4"/>
  </si>
  <si>
    <r>
      <t>Q</t>
    </r>
    <r>
      <rPr>
        <vertAlign val="subscript"/>
        <sz val="11"/>
        <rFont val="ＭＳ Ｐゴシック"/>
        <family val="3"/>
        <charset val="128"/>
      </rPr>
      <t>H</t>
    </r>
    <r>
      <rPr>
        <sz val="11"/>
        <rFont val="ＭＳ Ｐゴシック"/>
        <family val="3"/>
        <charset val="128"/>
      </rPr>
      <t>1 室内環境を快適・健康・安心にする</t>
    </r>
    <phoneticPr fontId="4"/>
  </si>
  <si>
    <r>
      <t>Q</t>
    </r>
    <r>
      <rPr>
        <vertAlign val="subscript"/>
        <sz val="11"/>
        <rFont val="ＭＳ Ｐゴシック"/>
        <family val="3"/>
        <charset val="128"/>
      </rPr>
      <t>H</t>
    </r>
    <r>
      <rPr>
        <sz val="11"/>
        <rFont val="ＭＳ Ｐゴシック"/>
        <family val="3"/>
        <charset val="128"/>
      </rPr>
      <t>2 長く使い続ける</t>
    </r>
    <phoneticPr fontId="4"/>
  </si>
  <si>
    <r>
      <t>Q</t>
    </r>
    <r>
      <rPr>
        <vertAlign val="subscript"/>
        <sz val="11"/>
        <rFont val="ＭＳ Ｐゴシック"/>
        <family val="3"/>
        <charset val="128"/>
      </rPr>
      <t>H</t>
    </r>
    <r>
      <rPr>
        <sz val="11"/>
        <rFont val="ＭＳ Ｐゴシック"/>
        <family val="3"/>
        <charset val="128"/>
      </rPr>
      <t>3 まちなみ・生態系を豊かにする</t>
    </r>
    <phoneticPr fontId="4"/>
  </si>
  <si>
    <r>
      <t>LR</t>
    </r>
    <r>
      <rPr>
        <vertAlign val="subscript"/>
        <sz val="11"/>
        <rFont val="ＭＳ Ｐゴシック"/>
        <family val="3"/>
        <charset val="128"/>
      </rPr>
      <t>H</t>
    </r>
    <r>
      <rPr>
        <sz val="11"/>
        <rFont val="ＭＳ Ｐゴシック"/>
        <family val="3"/>
        <charset val="128"/>
      </rPr>
      <t>1 エネルギーと水を大切に使う</t>
    </r>
    <phoneticPr fontId="4"/>
  </si>
  <si>
    <r>
      <t>LR</t>
    </r>
    <r>
      <rPr>
        <vertAlign val="subscript"/>
        <sz val="11"/>
        <rFont val="ＭＳ Ｐゴシック"/>
        <family val="3"/>
        <charset val="128"/>
      </rPr>
      <t>H</t>
    </r>
    <r>
      <rPr>
        <sz val="11"/>
        <rFont val="ＭＳ Ｐゴシック"/>
        <family val="3"/>
        <charset val="128"/>
      </rPr>
      <t>2 資源を大切に使いゴミを減らす</t>
    </r>
    <phoneticPr fontId="4"/>
  </si>
  <si>
    <r>
      <t>LR</t>
    </r>
    <r>
      <rPr>
        <vertAlign val="subscript"/>
        <sz val="11"/>
        <rFont val="ＭＳ Ｐゴシック"/>
        <family val="3"/>
        <charset val="128"/>
      </rPr>
      <t>H</t>
    </r>
    <r>
      <rPr>
        <sz val="11"/>
        <rFont val="ＭＳ Ｐゴシック"/>
        <family val="3"/>
        <charset val="128"/>
      </rPr>
      <t>3 地球・地域・周辺環境に配慮する</t>
    </r>
    <rPh sb="5" eb="7">
      <t>チキュウ</t>
    </rPh>
    <rPh sb="11" eb="13">
      <t>シュウヘン</t>
    </rPh>
    <phoneticPr fontId="4"/>
  </si>
  <si>
    <t>断熱等性能の確保</t>
    <rPh sb="2" eb="3">
      <t>トウ</t>
    </rPh>
    <rPh sb="3" eb="5">
      <t>セイノウ</t>
    </rPh>
    <phoneticPr fontId="4"/>
  </si>
  <si>
    <t>図を貼り付けるときは</t>
    <rPh sb="0" eb="1">
      <t>ズ</t>
    </rPh>
    <rPh sb="2" eb="3">
      <t>ハ</t>
    </rPh>
    <rPh sb="4" eb="5">
      <t>ツ</t>
    </rPh>
    <phoneticPr fontId="4"/>
  </si>
  <si>
    <t>シートの保護を解除してください</t>
    <phoneticPr fontId="4"/>
  </si>
  <si>
    <t>レベル４を超える水準の断熱等性能を満たす。</t>
    <rPh sb="5" eb="6">
      <t>コ</t>
    </rPh>
    <rPh sb="8" eb="10">
      <t>スイジュン</t>
    </rPh>
    <rPh sb="11" eb="13">
      <t>ダンネツ</t>
    </rPh>
    <rPh sb="13" eb="14">
      <t>トウ</t>
    </rPh>
    <rPh sb="14" eb="16">
      <t>セイノウ</t>
    </rPh>
    <rPh sb="17" eb="18">
      <t>ミ</t>
    </rPh>
    <phoneticPr fontId="4"/>
  </si>
  <si>
    <t>耐用年数が12年未満しか期待されない。</t>
    <phoneticPr fontId="4"/>
  </si>
  <si>
    <t>50～100年の耐用年数が期待される。</t>
    <phoneticPr fontId="4"/>
  </si>
  <si>
    <t>地域で産出される木材
資源の活用</t>
    <phoneticPr fontId="4"/>
  </si>
  <si>
    <t>ＢＥＩ</t>
    <phoneticPr fontId="4"/>
  </si>
  <si>
    <t>D.太陽光発電等による削減量</t>
    <rPh sb="2" eb="5">
      <t>タイヨウコウ</t>
    </rPh>
    <rPh sb="5" eb="6">
      <t>ハツ</t>
    </rPh>
    <rPh sb="6" eb="7">
      <t>デン</t>
    </rPh>
    <rPh sb="7" eb="8">
      <t>トウ</t>
    </rPh>
    <rPh sb="11" eb="13">
      <t>サクゲン</t>
    </rPh>
    <rPh sb="13" eb="14">
      <t>リョウ</t>
    </rPh>
    <phoneticPr fontId="4"/>
  </si>
  <si>
    <t>E.発電量（コージェネレーション）</t>
    <rPh sb="2" eb="4">
      <t>ハツデン</t>
    </rPh>
    <rPh sb="4" eb="5">
      <t>リョウ</t>
    </rPh>
    <phoneticPr fontId="156"/>
  </si>
  <si>
    <t>F.発電量（太陽光発電）</t>
    <rPh sb="2" eb="4">
      <t>ハツデン</t>
    </rPh>
    <rPh sb="4" eb="5">
      <t>リョウ</t>
    </rPh>
    <rPh sb="6" eb="9">
      <t>タイヨウコウ</t>
    </rPh>
    <rPh sb="9" eb="11">
      <t>ハツデン</t>
    </rPh>
    <phoneticPr fontId="4"/>
  </si>
  <si>
    <t>騒音・振動、排気・排熱の発生源全てにおいて、隣接する住宅等に著しい影響を与えないよう、一般的な配慮を行っている。</t>
    <phoneticPr fontId="4"/>
  </si>
  <si>
    <t>レベル３に加え、騒音・振動、排気・排熱の発生源のいずれか一部において、隣接する住宅等に著しい影響を与えないよう、積極的な配慮がなされている。</t>
    <phoneticPr fontId="4"/>
  </si>
  <si>
    <t>レベル３に加え、騒音・振動、排気・排熱の発生源の全てにおいて、隣接する住宅等に著しい影響を与えないよう、積極的な配慮がなされている。</t>
    <phoneticPr fontId="4"/>
  </si>
  <si>
    <t>「一般的な配慮」の目安
①　騒音・振動対策：騒音・振動の発生源に対しては、騒音値が敷地境界部で45dB(A)以下であること。また、防振のため適切な施工が行われていること。
②　排気・排熱対策：排気・排熱の発生源に対しては、隣接する建物の開口部付近に直接排気しないよう配慮していること。</t>
    <phoneticPr fontId="4"/>
  </si>
  <si>
    <t>MJ/kWhで換算した値（H28建築物省エネ法告示全日平均）</t>
    <rPh sb="7" eb="9">
      <t>カンサン</t>
    </rPh>
    <rPh sb="11" eb="12">
      <t>アタイ</t>
    </rPh>
    <rPh sb="16" eb="19">
      <t>ケンチクブツ</t>
    </rPh>
    <rPh sb="19" eb="20">
      <t>ショウ</t>
    </rPh>
    <rPh sb="22" eb="23">
      <t>ホウ</t>
    </rPh>
    <rPh sb="23" eb="25">
      <t>コクジ</t>
    </rPh>
    <rPh sb="25" eb="26">
      <t>ゼン</t>
    </rPh>
    <rPh sb="26" eb="27">
      <t>ヒ</t>
    </rPh>
    <rPh sb="27" eb="29">
      <t>ヘイキン</t>
    </rPh>
    <phoneticPr fontId="3"/>
  </si>
  <si>
    <t>レベル３</t>
    <phoneticPr fontId="4"/>
  </si>
  <si>
    <t>Ａａ3</t>
    <phoneticPr fontId="4"/>
  </si>
  <si>
    <t>Ａｂ3</t>
    <phoneticPr fontId="4"/>
  </si>
  <si>
    <t>Ｂａ3</t>
    <phoneticPr fontId="4"/>
  </si>
  <si>
    <t>Ｂｂ3</t>
    <phoneticPr fontId="4"/>
  </si>
  <si>
    <t>Ｃａ3</t>
    <phoneticPr fontId="4"/>
  </si>
  <si>
    <t>Ｃｂ3</t>
    <phoneticPr fontId="4"/>
  </si>
  <si>
    <t>日本住宅性能表示基準「5-1断熱等性能等級」における等級１相当である。</t>
    <rPh sb="29" eb="31">
      <t>ソウトウ</t>
    </rPh>
    <phoneticPr fontId="4"/>
  </si>
  <si>
    <t>日本住宅性能表示基準「5-1断熱等性能等級」における等級２相当である。</t>
    <phoneticPr fontId="4"/>
  </si>
  <si>
    <t>日本住宅性能表示基準「5-1断熱等性能等級」における等級３相当である。</t>
    <phoneticPr fontId="4"/>
  </si>
  <si>
    <t>日本住宅性能表示基準「5-1断熱等性能等級」における等級４相当である。</t>
    <phoneticPr fontId="4"/>
  </si>
  <si>
    <t>５０㎡≦　延べ面積　＜　１２５㎡</t>
    <phoneticPr fontId="4"/>
  </si>
  <si>
    <t>１２５㎡≦　延べ面積　</t>
    <phoneticPr fontId="4"/>
  </si>
  <si>
    <t>４０㎡≦　延べ面積　＜　１００㎡</t>
    <phoneticPr fontId="4"/>
  </si>
  <si>
    <t>１００㎡≦　延べ面積</t>
    <phoneticPr fontId="4"/>
  </si>
  <si>
    <t>３０㎡≦　延べ面積　＜　７５㎡</t>
    <phoneticPr fontId="4"/>
  </si>
  <si>
    <t>２５㎡≦　延べ面積　＜　５５㎡</t>
    <phoneticPr fontId="4"/>
  </si>
  <si>
    <t>５５㎡≦　延べ面積</t>
    <phoneticPr fontId="4"/>
  </si>
  <si>
    <t>本採点項目のレベルは、BEIを１～５に換算した値（小数第１位まで）で表される。なお、レベル１、２、３、４、５は以下のBEIで定義される。
レベル1 ：BEIが1.2以上
レベル2 ：BEIが1.1
レベル3 ：BEIが1.0（H28年エネルギー消費性能基準相当）
レベル4 ：BEIが0.9（誘導基準相当）
レベル5 ：BEIが0.85以下</t>
    <rPh sb="82" eb="84">
      <t>イジョウ</t>
    </rPh>
    <rPh sb="116" eb="117">
      <t>ネン</t>
    </rPh>
    <rPh sb="122" eb="124">
      <t>ショウヒ</t>
    </rPh>
    <rPh sb="124" eb="126">
      <t>セイノウ</t>
    </rPh>
    <rPh sb="126" eb="128">
      <t>キジュン</t>
    </rPh>
    <rPh sb="128" eb="130">
      <t>ソウトウ</t>
    </rPh>
    <rPh sb="146" eb="148">
      <t>ユウドウ</t>
    </rPh>
    <rPh sb="148" eb="150">
      <t>キジュン</t>
    </rPh>
    <rPh sb="150" eb="152">
      <t>ソウトウ</t>
    </rPh>
    <rPh sb="168" eb="170">
      <t>イカ</t>
    </rPh>
    <phoneticPr fontId="4"/>
  </si>
  <si>
    <t>BEIとは、H28年エネルギー消費性能基準における基準一次エネルギー消費量と設計一次エネルギー消費量（ともに家電等のエネルギー消費量を除く）の比率。</t>
    <rPh sb="9" eb="10">
      <t>ネン</t>
    </rPh>
    <rPh sb="15" eb="17">
      <t>ショウヒ</t>
    </rPh>
    <rPh sb="17" eb="19">
      <t>セイノウ</t>
    </rPh>
    <rPh sb="19" eb="21">
      <t>キジュン</t>
    </rPh>
    <phoneticPr fontId="4"/>
  </si>
  <si>
    <t>「住宅部分の外壁、窓等を通しての熱の損失の防止に関する基準及び一次エネルギー消費量に関する基準」を満たす場合はレベル３と評価することができる。上記を満たさない場合はレベル１を選択す る。</t>
    <phoneticPr fontId="4"/>
  </si>
  <si>
    <t>－</t>
  </si>
  <si>
    <r>
      <t>(t-CO</t>
    </r>
    <r>
      <rPr>
        <vertAlign val="subscript"/>
        <sz val="10"/>
        <rFont val="ＭＳ Ｐゴシック"/>
        <family val="3"/>
        <charset val="128"/>
      </rPr>
      <t>2</t>
    </r>
    <r>
      <rPr>
        <sz val="10"/>
        <rFont val="ＭＳ Ｐゴシック"/>
        <family val="3"/>
        <charset val="128"/>
      </rPr>
      <t>/kWh)</t>
    </r>
    <phoneticPr fontId="4"/>
  </si>
  <si>
    <r>
      <t>◆CO</t>
    </r>
    <r>
      <rPr>
        <vertAlign val="subscript"/>
        <sz val="10"/>
        <rFont val="ＭＳ Ｐゴシック"/>
        <family val="3"/>
        <charset val="128"/>
      </rPr>
      <t>2</t>
    </r>
    <r>
      <rPr>
        <sz val="10"/>
        <rFont val="ＭＳ Ｐゴシック"/>
        <family val="3"/>
        <charset val="128"/>
      </rPr>
      <t>計算に利用可能な電気の排出係数
(1) 算定省令に基づく電気事業者ごとの実排出係数、
     および電気事業者等より公表される調整後排出係数</t>
    </r>
    <phoneticPr fontId="4"/>
  </si>
  <si>
    <t>201●年●月●日</t>
    <rPh sb="4" eb="5">
      <t>ネン</t>
    </rPh>
    <rPh sb="6" eb="7">
      <t>ガツ</t>
    </rPh>
    <rPh sb="8" eb="9">
      <t>ニチ</t>
    </rPh>
    <phoneticPr fontId="4"/>
  </si>
  <si>
    <r>
      <t>CO</t>
    </r>
    <r>
      <rPr>
        <vertAlign val="subscript"/>
        <sz val="9"/>
        <rFont val="ＭＳ Ｐゴシック"/>
        <family val="3"/>
        <charset val="128"/>
      </rPr>
      <t>2</t>
    </r>
    <r>
      <rPr>
        <sz val="9"/>
        <rFont val="ＭＳ Ｐゴシック"/>
        <family val="3"/>
        <charset val="128"/>
      </rPr>
      <t>換算値</t>
    </r>
    <rPh sb="3" eb="5">
      <t>カンサン</t>
    </rPh>
    <rPh sb="5" eb="6">
      <t>チ</t>
    </rPh>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</si>
  <si>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</si>
  <si>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</si>
  <si>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</si>
  <si>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/kWh）</t>
    </r>
    <phoneticPr fontId="4"/>
  </si>
  <si>
    <r>
      <t>LR</t>
    </r>
    <r>
      <rPr>
        <b/>
        <vertAlign val="subscript"/>
        <sz val="10"/>
        <rFont val="ＭＳ Ｐゴシック"/>
        <family val="3"/>
        <charset val="128"/>
      </rPr>
      <t>H</t>
    </r>
    <r>
      <rPr>
        <b/>
        <sz val="10"/>
        <rFont val="ＭＳ Ｐゴシック"/>
        <family val="3"/>
        <charset val="128"/>
      </rPr>
      <t>1.1.1 仕様基準評価の場合のCO</t>
    </r>
    <r>
      <rPr>
        <b/>
        <vertAlign val="subscript"/>
        <sz val="10"/>
        <rFont val="ＭＳ Ｐゴシック"/>
        <family val="3"/>
        <charset val="128"/>
      </rPr>
      <t>2</t>
    </r>
    <r>
      <rPr>
        <b/>
        <sz val="10"/>
        <rFont val="ＭＳ Ｐゴシック"/>
        <family val="3"/>
        <charset val="128"/>
      </rPr>
      <t>排出量算出に用いる一次エネルギー消費量</t>
    </r>
    <rPh sb="9" eb="11">
      <t>シヨウ</t>
    </rPh>
    <rPh sb="11" eb="13">
      <t>キジュン</t>
    </rPh>
    <rPh sb="13" eb="15">
      <t>ヒョウカ</t>
    </rPh>
    <rPh sb="16" eb="18">
      <t>バアイ</t>
    </rPh>
    <phoneticPr fontId="4"/>
  </si>
  <si>
    <r>
      <t>LR</t>
    </r>
    <r>
      <rPr>
        <vertAlign val="subscript"/>
        <sz val="10"/>
        <rFont val="ＭＳ Ｐゴシック"/>
        <family val="3"/>
        <charset val="128"/>
      </rPr>
      <t>H</t>
    </r>
    <r>
      <rPr>
        <sz val="10"/>
        <rFont val="ＭＳ Ｐゴシック"/>
        <family val="3"/>
        <charset val="128"/>
      </rPr>
      <t>1.1.1の</t>
    </r>
    <phoneticPr fontId="4"/>
  </si>
  <si>
    <r>
      <t>MJ/年m</t>
    </r>
    <r>
      <rPr>
        <vertAlign val="superscript"/>
        <sz val="10"/>
        <rFont val="ＭＳ Ｐゴシック"/>
        <family val="3"/>
        <charset val="128"/>
      </rPr>
      <t>2</t>
    </r>
    <rPh sb="3" eb="4">
      <t>ネン</t>
    </rPh>
    <phoneticPr fontId="4"/>
  </si>
  <si>
    <r>
      <t>m</t>
    </r>
    <r>
      <rPr>
        <vertAlign val="superscript"/>
        <sz val="10"/>
        <rFont val="ＭＳ Ｐゴシック"/>
        <family val="3"/>
        <charset val="128"/>
      </rPr>
      <t>2</t>
    </r>
    <phoneticPr fontId="4"/>
  </si>
  <si>
    <r>
      <t>m</t>
    </r>
    <r>
      <rPr>
        <vertAlign val="superscript"/>
        <sz val="10"/>
        <rFont val="ＭＳ Ｐゴシック"/>
        <family val="3"/>
        <charset val="128"/>
      </rPr>
      <t>2</t>
    </r>
    <phoneticPr fontId="4"/>
  </si>
  <si>
    <r>
      <t>水の使用に伴うCO</t>
    </r>
    <r>
      <rPr>
        <vertAlign val="subscript"/>
        <sz val="10"/>
        <rFont val="ＭＳ Ｐゴシック"/>
        <family val="3"/>
        <charset val="128"/>
      </rPr>
      <t>2</t>
    </r>
    <r>
      <rPr>
        <sz val="10"/>
        <rFont val="ＭＳ Ｐゴシック"/>
        <family val="3"/>
        <charset val="128"/>
      </rPr>
      <t>排出量</t>
    </r>
    <rPh sb="0" eb="1">
      <t>ミズ</t>
    </rPh>
    <rPh sb="2" eb="4">
      <t>シヨウ</t>
    </rPh>
    <rPh sb="5" eb="6">
      <t>トモナ</t>
    </rPh>
    <rPh sb="10" eb="12">
      <t>ハイシュツ</t>
    </rPh>
    <rPh sb="12" eb="13">
      <t>リョウ</t>
    </rPh>
    <phoneticPr fontId="4"/>
  </si>
  <si>
    <r>
      <t>CO</t>
    </r>
    <r>
      <rPr>
        <vertAlign val="subscript"/>
        <sz val="10"/>
        <rFont val="ＭＳ Ｐゴシック"/>
        <family val="3"/>
        <charset val="128"/>
      </rPr>
      <t>2</t>
    </r>
    <r>
      <rPr>
        <sz val="10"/>
        <rFont val="ＭＳ Ｐゴシック"/>
        <family val="3"/>
        <charset val="128"/>
      </rPr>
      <t>換算係数</t>
    </r>
    <rPh sb="3" eb="5">
      <t>カンサン</t>
    </rPh>
    <rPh sb="5" eb="7">
      <t>ケイスウ</t>
    </rPh>
    <phoneticPr fontId="4"/>
  </si>
  <si>
    <r>
      <t>LR</t>
    </r>
    <r>
      <rPr>
        <vertAlign val="subscript"/>
        <sz val="10"/>
        <rFont val="ＭＳ Ｐゴシック"/>
        <family val="3"/>
        <charset val="128"/>
      </rPr>
      <t>H</t>
    </r>
    <r>
      <rPr>
        <sz val="10"/>
        <rFont val="ＭＳ Ｐゴシック"/>
        <family val="3"/>
        <charset val="128"/>
      </rPr>
      <t>1.1.1　総合的な省エネ</t>
    </r>
    <phoneticPr fontId="4"/>
  </si>
  <si>
    <r>
      <t>仕様基準でLR</t>
    </r>
    <r>
      <rPr>
        <vertAlign val="subscript"/>
        <sz val="10"/>
        <rFont val="ＭＳ Ｐゴシック"/>
        <family val="3"/>
        <charset val="128"/>
      </rPr>
      <t>H</t>
    </r>
    <r>
      <rPr>
        <sz val="10"/>
        <rFont val="ＭＳ Ｐゴシック"/>
        <family val="3"/>
        <charset val="128"/>
      </rPr>
      <t>1.1.1を評価した場合</t>
    </r>
    <rPh sb="0" eb="2">
      <t>シヨウ</t>
    </rPh>
    <rPh sb="2" eb="4">
      <t>キジュン</t>
    </rPh>
    <rPh sb="14" eb="16">
      <t>ヒョウカ</t>
    </rPh>
    <rPh sb="18" eb="20">
      <t>バアイ</t>
    </rPh>
    <phoneticPr fontId="4"/>
  </si>
  <si>
    <r>
      <t>LR</t>
    </r>
    <r>
      <rPr>
        <vertAlign val="subscript"/>
        <sz val="10"/>
        <rFont val="ＭＳ Ｐゴシック"/>
        <family val="3"/>
        <charset val="128"/>
      </rPr>
      <t>H</t>
    </r>
    <r>
      <rPr>
        <sz val="10"/>
        <rFont val="ＭＳ Ｐゴシック"/>
        <family val="3"/>
        <charset val="128"/>
      </rPr>
      <t>1.2.1　節水型設備</t>
    </r>
    <phoneticPr fontId="4"/>
  </si>
  <si>
    <r>
      <t>居住時のCO</t>
    </r>
    <r>
      <rPr>
        <b/>
        <vertAlign val="subscript"/>
        <sz val="11"/>
        <rFont val="ＭＳ Ｐゴシック"/>
        <family val="3"/>
        <charset val="128"/>
      </rPr>
      <t>2</t>
    </r>
    <r>
      <rPr>
        <b/>
        <sz val="11"/>
        <rFont val="ＭＳ Ｐゴシック"/>
        <family val="3"/>
        <charset val="128"/>
      </rPr>
      <t>計算に用いる電気事業者別CO</t>
    </r>
    <r>
      <rPr>
        <b/>
        <vertAlign val="subscript"/>
        <sz val="11"/>
        <rFont val="ＭＳ Ｐゴシック"/>
        <family val="3"/>
        <charset val="128"/>
      </rPr>
      <t>2</t>
    </r>
    <r>
      <rPr>
        <b/>
        <sz val="11"/>
        <rFont val="ＭＳ Ｐゴシック"/>
        <family val="3"/>
        <charset val="128"/>
      </rPr>
      <t>排出係数</t>
    </r>
    <phoneticPr fontId="4"/>
  </si>
  <si>
    <t>①＋②の場合</t>
    <rPh sb="4" eb="6">
      <t>バアイ</t>
    </rPh>
    <phoneticPr fontId="1"/>
  </si>
  <si>
    <t>①＋③の場合</t>
    <rPh sb="4" eb="6">
      <t>バアイ</t>
    </rPh>
    <phoneticPr fontId="1"/>
  </si>
  <si>
    <t>上記のいずれも採用していない</t>
    <rPh sb="0" eb="2">
      <t>ジョウキ</t>
    </rPh>
    <rPh sb="7" eb="9">
      <t>サイヨウ</t>
    </rPh>
    <phoneticPr fontId="1"/>
  </si>
  <si>
    <t>①＋②の場合</t>
  </si>
  <si>
    <t>削減率</t>
    <rPh sb="0" eb="2">
      <t>サクゲン</t>
    </rPh>
    <rPh sb="2" eb="3">
      <t>リツ</t>
    </rPh>
    <phoneticPr fontId="1"/>
  </si>
  <si>
    <t>削減率</t>
    <rPh sb="0" eb="2">
      <t>サクゲン</t>
    </rPh>
    <rPh sb="2" eb="3">
      <t>リツ</t>
    </rPh>
    <phoneticPr fontId="4"/>
  </si>
  <si>
    <t>U値</t>
    <rPh sb="1" eb="2">
      <t>チ</t>
    </rPh>
    <phoneticPr fontId="1"/>
  </si>
  <si>
    <t>ηAC値</t>
    <rPh sb="3" eb="4">
      <t>チ</t>
    </rPh>
    <phoneticPr fontId="1"/>
  </si>
  <si>
    <t>■構造躯体</t>
    <rPh sb="1" eb="3">
      <t>コウゾウ</t>
    </rPh>
    <rPh sb="3" eb="5">
      <t>クタイ</t>
    </rPh>
    <phoneticPr fontId="1"/>
  </si>
  <si>
    <t>レベル3</t>
  </si>
  <si>
    <t>基準</t>
    <rPh sb="0" eb="2">
      <t>キジュン</t>
    </rPh>
    <phoneticPr fontId="1"/>
  </si>
  <si>
    <t>日本住宅性能表示基準「3-1 劣化対策等級（構造躯体等）」における等級１を満たす。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</si>
  <si>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日本住宅性能表示基準「3-1 劣化対策等級（構造躯体等）」における等級２を満たす。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</si>
  <si>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日本住宅性能表示基準「3-1 劣化対策等級（構造躯体等）」における等級３を満たす。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</si>
  <si>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■外壁材</t>
    <rPh sb="1" eb="3">
      <t>ガイヘキ</t>
    </rPh>
    <rPh sb="3" eb="4">
      <t>ザイ</t>
    </rPh>
    <phoneticPr fontId="1"/>
  </si>
  <si>
    <t>取組み</t>
    <rPh sb="0" eb="2">
      <t>トリクミ</t>
    </rPh>
    <phoneticPr fontId="1"/>
  </si>
  <si>
    <t>長期優良住宅認定を取得している。</t>
    <rPh sb="0" eb="2">
      <t>チョウキ</t>
    </rPh>
    <rPh sb="2" eb="4">
      <t>ユウリョウ</t>
    </rPh>
    <rPh sb="4" eb="6">
      <t>ジュウタク</t>
    </rPh>
    <rPh sb="6" eb="8">
      <t>ニンテイ</t>
    </rPh>
    <rPh sb="9" eb="11">
      <t>シュトク</t>
    </rPh>
    <phoneticPr fontId="1"/>
  </si>
  <si>
    <t>定期点検及び維持・補修・交換が適性時期に提供できる仕組みがある。</t>
    <rPh sb="0" eb="2">
      <t>テイキ</t>
    </rPh>
    <rPh sb="2" eb="4">
      <t>テンケン</t>
    </rPh>
    <rPh sb="4" eb="5">
      <t>オヨ</t>
    </rPh>
    <rPh sb="6" eb="8">
      <t>イジ</t>
    </rPh>
    <rPh sb="9" eb="11">
      <t>ホシュウ</t>
    </rPh>
    <rPh sb="12" eb="14">
      <t>コウカン</t>
    </rPh>
    <rPh sb="15" eb="17">
      <t>テキセイ</t>
    </rPh>
    <rPh sb="17" eb="19">
      <t>ジキ</t>
    </rPh>
    <rPh sb="20" eb="22">
      <t>テイキョウ</t>
    </rPh>
    <rPh sb="25" eb="27">
      <t>シク</t>
    </rPh>
    <phoneticPr fontId="1"/>
  </si>
  <si>
    <t>建築時から将来を見据えて、定期的な点検・補修等に関する計画が施されている。</t>
    <rPh sb="0" eb="2">
      <t>ケンチク</t>
    </rPh>
    <rPh sb="2" eb="3">
      <t>ジ</t>
    </rPh>
    <rPh sb="5" eb="7">
      <t>ショウライ</t>
    </rPh>
    <rPh sb="8" eb="10">
      <t>ミス</t>
    </rPh>
    <rPh sb="13" eb="16">
      <t>テイキテキ</t>
    </rPh>
    <rPh sb="17" eb="19">
      <t>テンケン</t>
    </rPh>
    <rPh sb="20" eb="22">
      <t>ホシュウ</t>
    </rPh>
    <rPh sb="22" eb="23">
      <t>ナド</t>
    </rPh>
    <rPh sb="24" eb="25">
      <t>カン</t>
    </rPh>
    <rPh sb="27" eb="29">
      <t>ケイカク</t>
    </rPh>
    <rPh sb="30" eb="31">
      <t>ホドコ</t>
    </rPh>
    <phoneticPr fontId="1"/>
  </si>
  <si>
    <t>住まい手が適切な維持管理を継続するための、情報提供や相談窓口などのサポートの仕組みがある。</t>
    <rPh sb="0" eb="1">
      <t>ス</t>
    </rPh>
    <rPh sb="3" eb="4">
      <t>テ</t>
    </rPh>
    <rPh sb="5" eb="7">
      <t>テキセツ</t>
    </rPh>
    <rPh sb="8" eb="10">
      <t>イジ</t>
    </rPh>
    <rPh sb="10" eb="12">
      <t>カンリ</t>
    </rPh>
    <rPh sb="13" eb="15">
      <t>ケイゾク</t>
    </rPh>
    <rPh sb="21" eb="23">
      <t>ジョウホウ</t>
    </rPh>
    <rPh sb="23" eb="25">
      <t>テイキョウ</t>
    </rPh>
    <rPh sb="26" eb="28">
      <t>ソウダン</t>
    </rPh>
    <rPh sb="28" eb="30">
      <t>マドグチ</t>
    </rPh>
    <rPh sb="38" eb="40">
      <t>シク</t>
    </rPh>
    <phoneticPr fontId="1"/>
  </si>
  <si>
    <t>住宅の基本情報及び建物の維持管理履歴が管理され、何か不具合が生じたときに追跡調査できる。</t>
    <rPh sb="0" eb="2">
      <t>ジュウタク</t>
    </rPh>
    <rPh sb="3" eb="5">
      <t>キホン</t>
    </rPh>
    <rPh sb="5" eb="7">
      <t>ジョウホウ</t>
    </rPh>
    <rPh sb="7" eb="8">
      <t>オヨ</t>
    </rPh>
    <rPh sb="9" eb="11">
      <t>タテモノ</t>
    </rPh>
    <rPh sb="12" eb="14">
      <t>イジ</t>
    </rPh>
    <rPh sb="14" eb="16">
      <t>カンリ</t>
    </rPh>
    <rPh sb="16" eb="18">
      <t>リレキ</t>
    </rPh>
    <rPh sb="19" eb="21">
      <t>カンリ</t>
    </rPh>
    <rPh sb="24" eb="25">
      <t>ナニ</t>
    </rPh>
    <rPh sb="26" eb="29">
      <t>フグアイ</t>
    </rPh>
    <rPh sb="30" eb="31">
      <t>ショウ</t>
    </rPh>
    <rPh sb="36" eb="38">
      <t>ツイセキ</t>
    </rPh>
    <rPh sb="38" eb="40">
      <t>チョウサ</t>
    </rPh>
    <phoneticPr fontId="1"/>
  </si>
  <si>
    <t>外皮性能</t>
    <rPh sb="0" eb="2">
      <t>ガイヒ</t>
    </rPh>
    <rPh sb="2" eb="4">
      <t>セイノウ</t>
    </rPh>
    <phoneticPr fontId="1"/>
  </si>
  <si>
    <t>一次エネ削減率（再エネ無し）</t>
    <rPh sb="0" eb="2">
      <t>イチジ</t>
    </rPh>
    <rPh sb="4" eb="6">
      <t>サクゲン</t>
    </rPh>
    <rPh sb="6" eb="7">
      <t>リツ</t>
    </rPh>
    <rPh sb="8" eb="9">
      <t>サイ</t>
    </rPh>
    <rPh sb="11" eb="12">
      <t>ナ</t>
    </rPh>
    <phoneticPr fontId="1"/>
  </si>
  <si>
    <t>一次エネ削減率（再エネあり）</t>
    <rPh sb="0" eb="2">
      <t>イチジ</t>
    </rPh>
    <rPh sb="4" eb="6">
      <t>サクゲン</t>
    </rPh>
    <rPh sb="6" eb="7">
      <t>リツ</t>
    </rPh>
    <rPh sb="8" eb="9">
      <t>サイ</t>
    </rPh>
    <phoneticPr fontId="1"/>
  </si>
  <si>
    <t>1）基本情報</t>
    <rPh sb="2" eb="4">
      <t>キホン</t>
    </rPh>
    <rPh sb="4" eb="6">
      <t>ジョウホウ</t>
    </rPh>
    <phoneticPr fontId="4"/>
  </si>
  <si>
    <t>2）計算条件</t>
    <rPh sb="2" eb="4">
      <t>ケイサン</t>
    </rPh>
    <rPh sb="4" eb="6">
      <t>ジョウケン</t>
    </rPh>
    <phoneticPr fontId="4"/>
  </si>
  <si>
    <t>ライフサイクル段階別の条件</t>
    <rPh sb="7" eb="9">
      <t>ダンカイ</t>
    </rPh>
    <rPh sb="9" eb="10">
      <t>ベツ</t>
    </rPh>
    <rPh sb="11" eb="13">
      <t>ジョウケン</t>
    </rPh>
    <phoneticPr fontId="4"/>
  </si>
  <si>
    <t>3)　計算結果</t>
    <rPh sb="3" eb="5">
      <t>ケイサン</t>
    </rPh>
    <rPh sb="5" eb="7">
      <t>ケッカ</t>
    </rPh>
    <phoneticPr fontId="4"/>
  </si>
  <si>
    <t>■Webプログラムの計算結果</t>
    <rPh sb="10" eb="12">
      <t>ケイサン</t>
    </rPh>
    <rPh sb="12" eb="14">
      <t>ケッカ</t>
    </rPh>
    <phoneticPr fontId="1"/>
  </si>
  <si>
    <t>ZEH外皮基準</t>
    <rPh sb="3" eb="5">
      <t>ガイヒ</t>
    </rPh>
    <rPh sb="5" eb="7">
      <t>キジュン</t>
    </rPh>
    <phoneticPr fontId="156"/>
  </si>
  <si>
    <t>地域</t>
    <rPh sb="0" eb="2">
      <t>チイキ</t>
    </rPh>
    <phoneticPr fontId="156"/>
  </si>
  <si>
    <t>UA</t>
    <phoneticPr fontId="156"/>
  </si>
  <si>
    <t>ηAC</t>
    <phoneticPr fontId="156"/>
  </si>
  <si>
    <t>-</t>
    <phoneticPr fontId="156"/>
  </si>
  <si>
    <t>基準値</t>
    <rPh sb="0" eb="3">
      <t>キジュンチ</t>
    </rPh>
    <phoneticPr fontId="4"/>
  </si>
  <si>
    <t>NG</t>
    <phoneticPr fontId="4"/>
  </si>
  <si>
    <t>OK</t>
    <phoneticPr fontId="4"/>
  </si>
  <si>
    <t>ZEH判定</t>
    <rPh sb="3" eb="5">
      <t>ハンテイ</t>
    </rPh>
    <phoneticPr fontId="156"/>
  </si>
  <si>
    <t>判定</t>
    <rPh sb="0" eb="2">
      <t>ハンテイ</t>
    </rPh>
    <phoneticPr fontId="156"/>
  </si>
  <si>
    <t>基準一次（その他除く）</t>
    <rPh sb="0" eb="2">
      <t>キジュン</t>
    </rPh>
    <rPh sb="2" eb="4">
      <t>イチジ</t>
    </rPh>
    <rPh sb="7" eb="8">
      <t>タ</t>
    </rPh>
    <rPh sb="8" eb="9">
      <t>ノゾ</t>
    </rPh>
    <phoneticPr fontId="156"/>
  </si>
  <si>
    <t>Ess</t>
    <phoneticPr fontId="156"/>
  </si>
  <si>
    <t>R</t>
    <phoneticPr fontId="156"/>
  </si>
  <si>
    <t>Stotal÷Ess</t>
    <phoneticPr fontId="156"/>
  </si>
  <si>
    <t>発電量(コジェネ）</t>
    <rPh sb="0" eb="2">
      <t>ハツデン</t>
    </rPh>
    <rPh sb="2" eb="3">
      <t>リョウ</t>
    </rPh>
    <phoneticPr fontId="156"/>
  </si>
  <si>
    <t>Ecgs</t>
    <phoneticPr fontId="156"/>
  </si>
  <si>
    <t>R'</t>
    <phoneticPr fontId="156"/>
  </si>
  <si>
    <t>Ssubtotal÷Ess</t>
    <phoneticPr fontId="156"/>
  </si>
  <si>
    <t>Etotal</t>
    <phoneticPr fontId="156"/>
  </si>
  <si>
    <t>↓</t>
    <phoneticPr fontId="156"/>
  </si>
  <si>
    <t>発電量(太陽光）</t>
    <rPh sb="0" eb="2">
      <t>ハツデン</t>
    </rPh>
    <rPh sb="2" eb="3">
      <t>リョウ</t>
    </rPh>
    <rPh sb="4" eb="7">
      <t>タイヨウコウ</t>
    </rPh>
    <phoneticPr fontId="156"/>
  </si>
  <si>
    <t>EPVC'</t>
    <phoneticPr fontId="156"/>
  </si>
  <si>
    <t>ZEH一次エネ判定</t>
    <rPh sb="3" eb="5">
      <t>イチジ</t>
    </rPh>
    <rPh sb="7" eb="9">
      <t>ハンテイ</t>
    </rPh>
    <phoneticPr fontId="156"/>
  </si>
  <si>
    <t>太陽光除く削減量</t>
    <rPh sb="0" eb="3">
      <t>タイヨウコウ</t>
    </rPh>
    <rPh sb="3" eb="4">
      <t>ノゾ</t>
    </rPh>
    <rPh sb="5" eb="7">
      <t>サクゲン</t>
    </rPh>
    <rPh sb="7" eb="8">
      <t>リョウ</t>
    </rPh>
    <phoneticPr fontId="156"/>
  </si>
  <si>
    <t>Ssubtotal</t>
    <phoneticPr fontId="156"/>
  </si>
  <si>
    <t>一次エネ削減量</t>
    <rPh sb="0" eb="2">
      <t>イチジ</t>
    </rPh>
    <rPh sb="4" eb="6">
      <t>サクゲン</t>
    </rPh>
    <rPh sb="6" eb="7">
      <t>リョウ</t>
    </rPh>
    <phoneticPr fontId="156"/>
  </si>
  <si>
    <t>Stotal</t>
    <phoneticPr fontId="156"/>
  </si>
  <si>
    <t>設計一次(その他PV除く）</t>
    <rPh sb="0" eb="2">
      <t>セッケイ</t>
    </rPh>
    <rPh sb="2" eb="4">
      <t>イチジ</t>
    </rPh>
    <rPh sb="7" eb="8">
      <t>タ</t>
    </rPh>
    <rPh sb="10" eb="11">
      <t>ノゾ</t>
    </rPh>
    <phoneticPr fontId="156"/>
  </si>
  <si>
    <t>計画供用期間</t>
    <rPh sb="0" eb="2">
      <t>ケイカク</t>
    </rPh>
    <rPh sb="2" eb="4">
      <t>キョウヨウ</t>
    </rPh>
    <rPh sb="4" eb="6">
      <t>キカン</t>
    </rPh>
    <phoneticPr fontId="156"/>
  </si>
  <si>
    <t>供用期間</t>
    <rPh sb="0" eb="2">
      <t>キョウヨウ</t>
    </rPh>
    <rPh sb="2" eb="4">
      <t>キカン</t>
    </rPh>
    <phoneticPr fontId="4"/>
  </si>
  <si>
    <t>年</t>
    <rPh sb="0" eb="1">
      <t>ネン</t>
    </rPh>
    <phoneticPr fontId="4"/>
  </si>
  <si>
    <t>代替値</t>
    <rPh sb="0" eb="2">
      <t>ダイタイ</t>
    </rPh>
    <rPh sb="2" eb="3">
      <t>アタイ</t>
    </rPh>
    <phoneticPr fontId="1"/>
  </si>
  <si>
    <t>発電量</t>
    <rPh sb="0" eb="2">
      <t>ハツデン</t>
    </rPh>
    <rPh sb="2" eb="3">
      <t>リョウ</t>
    </rPh>
    <phoneticPr fontId="4"/>
  </si>
  <si>
    <t>PBT</t>
    <phoneticPr fontId="4"/>
  </si>
  <si>
    <t>1-3.　合計の計算</t>
    <rPh sb="5" eb="7">
      <t>ゴウケイ</t>
    </rPh>
    <rPh sb="8" eb="10">
      <t>ケイサン</t>
    </rPh>
    <phoneticPr fontId="4"/>
  </si>
  <si>
    <t>躯体　　　　　　木質系</t>
    <rPh sb="8" eb="10">
      <t>モクシツ</t>
    </rPh>
    <rPh sb="10" eb="11">
      <t>ケイ</t>
    </rPh>
    <phoneticPr fontId="4"/>
  </si>
  <si>
    <t>0項目</t>
    <rPh sb="1" eb="3">
      <t>コウモク</t>
    </rPh>
    <phoneticPr fontId="4"/>
  </si>
  <si>
    <t>1項目</t>
    <rPh sb="1" eb="3">
      <t>コウモク</t>
    </rPh>
    <phoneticPr fontId="4"/>
  </si>
  <si>
    <t>項目数</t>
    <rPh sb="0" eb="2">
      <t>コウモク</t>
    </rPh>
    <rPh sb="2" eb="3">
      <t>スウ</t>
    </rPh>
    <phoneticPr fontId="4"/>
  </si>
  <si>
    <t>2項目以上、または長期優良</t>
    <rPh sb="1" eb="3">
      <t>コウモク</t>
    </rPh>
    <rPh sb="3" eb="5">
      <t>イジョウ</t>
    </rPh>
    <rPh sb="9" eb="11">
      <t>チョウキ</t>
    </rPh>
    <rPh sb="11" eb="13">
      <t>ユウリョウ</t>
    </rPh>
    <phoneticPr fontId="4"/>
  </si>
  <si>
    <t>-</t>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</si>
  <si>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9"/>
  </si>
  <si>
    <t>木質系</t>
    <rPh sb="0" eb="2">
      <t>モクシツ</t>
    </rPh>
    <rPh sb="2" eb="3">
      <t>ケイ</t>
    </rPh>
    <phoneticPr fontId="9"/>
  </si>
  <si>
    <t>鉄骨系</t>
    <rPh sb="0" eb="2">
      <t>テッコツ</t>
    </rPh>
    <rPh sb="2" eb="3">
      <t>ケイ</t>
    </rPh>
    <phoneticPr fontId="9"/>
  </si>
  <si>
    <t>コンクリート系</t>
    <rPh sb="6" eb="7">
      <t>ケイ</t>
    </rPh>
    <phoneticPr fontId="9"/>
  </si>
  <si>
    <t>レベル4</t>
  </si>
  <si>
    <t>レベル5</t>
  </si>
  <si>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</si>
  <si>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</si>
  <si>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</si>
  <si>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t>レベル4</t>
    <phoneticPr fontId="4"/>
  </si>
  <si>
    <t>レベル3</t>
    <phoneticPr fontId="4"/>
  </si>
  <si>
    <t>レベル2</t>
    <phoneticPr fontId="4"/>
  </si>
  <si>
    <t>レベル5</t>
    <phoneticPr fontId="4"/>
  </si>
  <si>
    <r>
      <t>b.　修繕・更新に係るCO</t>
    </r>
    <r>
      <rPr>
        <b/>
        <vertAlign val="subscript"/>
        <sz val="11"/>
        <color rgb="FF00B050"/>
        <rFont val="ＭＳ Ｐゴシック"/>
        <family val="3"/>
        <charset val="128"/>
      </rPr>
      <t>2</t>
    </r>
    <r>
      <rPr>
        <b/>
        <sz val="11"/>
        <color rgb="FF00B050"/>
        <rFont val="ＭＳ Ｐゴシック"/>
        <family val="3"/>
        <charset val="128"/>
      </rPr>
      <t>排出量</t>
    </r>
    <rPh sb="3" eb="5">
      <t>シュウゼン</t>
    </rPh>
    <rPh sb="6" eb="8">
      <t>コウシン</t>
    </rPh>
    <rPh sb="9" eb="10">
      <t>カカ</t>
    </rPh>
    <rPh sb="14" eb="16">
      <t>ハイシュツ</t>
    </rPh>
    <rPh sb="16" eb="17">
      <t>リョウ</t>
    </rPh>
    <phoneticPr fontId="4"/>
  </si>
  <si>
    <r>
      <t>c.　解体に係るCO</t>
    </r>
    <r>
      <rPr>
        <b/>
        <vertAlign val="subscript"/>
        <sz val="11"/>
        <color rgb="FF00B050"/>
        <rFont val="ＭＳ Ｐゴシック"/>
        <family val="3"/>
        <charset val="128"/>
      </rPr>
      <t>2</t>
    </r>
    <r>
      <rPr>
        <b/>
        <sz val="11"/>
        <color rgb="FF00B050"/>
        <rFont val="ＭＳ Ｐゴシック"/>
        <family val="3"/>
        <charset val="128"/>
      </rPr>
      <t>排出量</t>
    </r>
    <rPh sb="3" eb="5">
      <t>カイタイ</t>
    </rPh>
    <rPh sb="6" eb="7">
      <t>カカ</t>
    </rPh>
    <rPh sb="11" eb="13">
      <t>ハイシュツ</t>
    </rPh>
    <rPh sb="13" eb="14">
      <t>リョウ</t>
    </rPh>
    <phoneticPr fontId="4"/>
  </si>
  <si>
    <r>
      <t>c.　導入設備に係るCO</t>
    </r>
    <r>
      <rPr>
        <b/>
        <vertAlign val="subscript"/>
        <sz val="10"/>
        <color rgb="FF00B050"/>
        <rFont val="ＭＳ Ｐゴシック"/>
        <family val="3"/>
        <charset val="128"/>
      </rPr>
      <t>2</t>
    </r>
    <r>
      <rPr>
        <b/>
        <sz val="10"/>
        <color rgb="FF00B050"/>
        <rFont val="ＭＳ Ｐゴシック"/>
        <family val="3"/>
        <charset val="128"/>
      </rPr>
      <t>排出量</t>
    </r>
    <rPh sb="3" eb="5">
      <t>ドウニュウ</t>
    </rPh>
    <rPh sb="5" eb="7">
      <t>セツビ</t>
    </rPh>
    <rPh sb="8" eb="9">
      <t>カカ</t>
    </rPh>
    <rPh sb="13" eb="15">
      <t>ハイシュツ</t>
    </rPh>
    <rPh sb="15" eb="16">
      <t>リョウ</t>
    </rPh>
    <phoneticPr fontId="4"/>
  </si>
  <si>
    <t>＜参考＞
平成28年度の電気事業者別実排出係数・調整後排出係数等公表値</t>
    <rPh sb="32" eb="34">
      <t>コウヒョウ</t>
    </rPh>
    <rPh sb="34" eb="35">
      <t>チ</t>
    </rPh>
    <phoneticPr fontId="4"/>
  </si>
  <si>
    <t>再生可能・未活用エネルギー</t>
    <phoneticPr fontId="4"/>
  </si>
  <si>
    <t>　　 ■使用評価ソフト：</t>
    <rPh sb="4" eb="6">
      <t>シヨウ</t>
    </rPh>
    <rPh sb="6" eb="8">
      <t>ヒョウカ</t>
    </rPh>
    <phoneticPr fontId="4"/>
  </si>
  <si>
    <t>延べ面積</t>
    <rPh sb="0" eb="1">
      <t>ノ</t>
    </rPh>
    <rPh sb="2" eb="4">
      <t>メンセキ</t>
    </rPh>
    <phoneticPr fontId="1"/>
  </si>
  <si>
    <r>
      <t>CO</t>
    </r>
    <r>
      <rPr>
        <vertAlign val="subscript"/>
        <sz val="11"/>
        <rFont val="ＭＳ Ｐゴシック"/>
        <family val="3"/>
        <charset val="128"/>
      </rPr>
      <t>2</t>
    </r>
    <r>
      <rPr>
        <sz val="11"/>
        <rFont val="ＭＳ Ｐゴシック"/>
        <family val="3"/>
        <charset val="128"/>
      </rPr>
      <t>削減対策</t>
    </r>
    <rPh sb="3" eb="5">
      <t>サクゲン</t>
    </rPh>
    <rPh sb="5" eb="7">
      <t>タイサク</t>
    </rPh>
    <phoneticPr fontId="1"/>
  </si>
  <si>
    <t>　D.太陽光発電等による削減量</t>
    <rPh sb="3" eb="6">
      <t>タイヨウコウ</t>
    </rPh>
    <rPh sb="6" eb="7">
      <t>ハツ</t>
    </rPh>
    <rPh sb="7" eb="8">
      <t>デン</t>
    </rPh>
    <rPh sb="8" eb="9">
      <t>トウ</t>
    </rPh>
    <rPh sb="12" eb="14">
      <t>サクゲン</t>
    </rPh>
    <rPh sb="14" eb="15">
      <t>リョウ</t>
    </rPh>
    <phoneticPr fontId="4"/>
  </si>
  <si>
    <t>　E.発電量（コージェネレーション）</t>
    <rPh sb="3" eb="5">
      <t>ハツデン</t>
    </rPh>
    <rPh sb="5" eb="6">
      <t>リョウ</t>
    </rPh>
    <phoneticPr fontId="156"/>
  </si>
  <si>
    <t>　F.発電量（太陽光発電）</t>
    <rPh sb="3" eb="5">
      <t>ハツデン</t>
    </rPh>
    <rPh sb="5" eb="6">
      <t>リョウ</t>
    </rPh>
    <rPh sb="7" eb="10">
      <t>タイヨウコウ</t>
    </rPh>
    <rPh sb="10" eb="12">
      <t>ハツデン</t>
    </rPh>
    <phoneticPr fontId="4"/>
  </si>
  <si>
    <t>　A.基準一次エネルギー消費量</t>
    <rPh sb="3" eb="5">
      <t>キジュン</t>
    </rPh>
    <rPh sb="5" eb="7">
      <t>イチジ</t>
    </rPh>
    <rPh sb="12" eb="15">
      <t>ショウヒリョウ</t>
    </rPh>
    <phoneticPr fontId="4"/>
  </si>
  <si>
    <t>　B.その他の一次ｴﾈﾙｷﾞｰ消費量（家電・調理分）</t>
    <rPh sb="24" eb="25">
      <t>ブン</t>
    </rPh>
    <phoneticPr fontId="4"/>
  </si>
  <si>
    <t>　C.設計一次エネルギー消費量</t>
    <rPh sb="3" eb="5">
      <t>セッケイ</t>
    </rPh>
    <rPh sb="5" eb="7">
      <t>イチジ</t>
    </rPh>
    <rPh sb="12" eb="15">
      <t>ショウヒリョウ</t>
    </rPh>
    <phoneticPr fontId="4"/>
  </si>
  <si>
    <t>　合計</t>
    <rPh sb="1" eb="3">
      <t>ゴウケイ</t>
    </rPh>
    <phoneticPr fontId="1"/>
  </si>
  <si>
    <t>ZEH判定</t>
    <rPh sb="3" eb="5">
      <t>ハンテイ</t>
    </rPh>
    <phoneticPr fontId="1"/>
  </si>
  <si>
    <t>構造の比率</t>
    <rPh sb="0" eb="2">
      <t>コウゾウ</t>
    </rPh>
    <rPh sb="3" eb="5">
      <t>ヒリツ</t>
    </rPh>
    <phoneticPr fontId="1"/>
  </si>
  <si>
    <t>■木質系</t>
    <rPh sb="1" eb="3">
      <t>モクシツ</t>
    </rPh>
    <rPh sb="3" eb="4">
      <t>ケイ</t>
    </rPh>
    <phoneticPr fontId="4"/>
  </si>
  <si>
    <t>■鉄骨系</t>
    <rPh sb="1" eb="3">
      <t>テッコツ</t>
    </rPh>
    <rPh sb="3" eb="4">
      <t>ケイ</t>
    </rPh>
    <phoneticPr fontId="4"/>
  </si>
  <si>
    <t>■コンクリート系</t>
    <rPh sb="7" eb="8">
      <t>ケイ</t>
    </rPh>
    <phoneticPr fontId="4"/>
  </si>
  <si>
    <t>対策No.</t>
    <rPh sb="0" eb="2">
      <t>タイサク</t>
    </rPh>
    <phoneticPr fontId="4"/>
  </si>
  <si>
    <t>対策No.</t>
    <rPh sb="0" eb="2">
      <t>タイサク</t>
    </rPh>
    <phoneticPr fontId="1"/>
  </si>
  <si>
    <t>作成者</t>
  </si>
  <si>
    <t>CASBEE-DH_NC_2018v1.0</t>
    <phoneticPr fontId="4"/>
  </si>
  <si>
    <r>
      <t>CASBEE-</t>
    </r>
    <r>
      <rPr>
        <b/>
        <sz val="10"/>
        <rFont val="ＭＳ Ｐゴシック"/>
        <family val="3"/>
        <charset val="128"/>
      </rPr>
      <t>戸建（新築）</t>
    </r>
    <r>
      <rPr>
        <b/>
        <sz val="10"/>
        <rFont val="Arial"/>
        <family val="2"/>
      </rPr>
      <t>2018</t>
    </r>
    <r>
      <rPr>
        <b/>
        <sz val="10"/>
        <rFont val="ＭＳ Ｐゴシック"/>
        <family val="3"/>
        <charset val="128"/>
      </rPr>
      <t>年版</t>
    </r>
    <rPh sb="7" eb="9">
      <t>コダテ</t>
    </rPh>
    <rPh sb="10" eb="12">
      <t>シンチク</t>
    </rPh>
    <rPh sb="17" eb="18">
      <t>ネン</t>
    </rPh>
    <rPh sb="18" eb="19">
      <t>バン</t>
    </rPh>
    <phoneticPr fontId="4"/>
  </si>
  <si>
    <t>加点条件</t>
    <rPh sb="0" eb="2">
      <t>カテン</t>
    </rPh>
    <rPh sb="2" eb="4">
      <t>ジョウケン</t>
    </rPh>
    <phoneticPr fontId="4"/>
  </si>
  <si>
    <t>東京電力ｴﾅｼﾞｰﾊﾟｰﾄﾅｰ株式会社</t>
    <phoneticPr fontId="4"/>
  </si>
  <si>
    <t>CASBEE-戸建（新築）2018年版に基づく</t>
    <rPh sb="7" eb="9">
      <t>コダテ</t>
    </rPh>
    <rPh sb="10" eb="12">
      <t>シンチク</t>
    </rPh>
    <rPh sb="17" eb="18">
      <t>ネン</t>
    </rPh>
    <rPh sb="18" eb="19">
      <t>バン</t>
    </rPh>
    <rPh sb="20" eb="21">
      <t>モト</t>
    </rPh>
    <phoneticPr fontId="4"/>
  </si>
  <si>
    <t>事業者名</t>
    <rPh sb="0" eb="3">
      <t>ジギョウシャ</t>
    </rPh>
    <rPh sb="3" eb="4">
      <t>メイ</t>
    </rPh>
    <phoneticPr fontId="4"/>
  </si>
  <si>
    <t>採点Q2</t>
    <rPh sb="0" eb="2">
      <t>サイテン</t>
    </rPh>
    <phoneticPr fontId="4"/>
  </si>
  <si>
    <t>耐用年数</t>
    <rPh sb="0" eb="2">
      <t>タイヨウ</t>
    </rPh>
    <rPh sb="2" eb="4">
      <t>ネンスウ</t>
    </rPh>
    <phoneticPr fontId="4"/>
  </si>
  <si>
    <t>加点</t>
    <rPh sb="0" eb="2">
      <t>カテン</t>
    </rPh>
    <phoneticPr fontId="4"/>
  </si>
  <si>
    <t>加点</t>
    <rPh sb="0" eb="2">
      <t>カテン</t>
    </rPh>
    <phoneticPr fontId="4"/>
  </si>
  <si>
    <t>耐用年数が12年未満しか期待されない。</t>
  </si>
  <si>
    <t>12～25年未満の耐用性が期待される。</t>
  </si>
  <si>
    <t>25～50年未満の耐用性が期待される。</t>
  </si>
  <si>
    <t>50～100年の耐用年数が期待される。</t>
  </si>
  <si>
    <t>採点Q2</t>
    <rPh sb="0" eb="2">
      <t>サイテン</t>
    </rPh>
    <phoneticPr fontId="4"/>
  </si>
  <si>
    <t>■屋根材、陸屋根</t>
    <rPh sb="1" eb="3">
      <t>ヤネ</t>
    </rPh>
    <rPh sb="3" eb="4">
      <t>ザイ</t>
    </rPh>
    <rPh sb="5" eb="6">
      <t>リク</t>
    </rPh>
    <rPh sb="6" eb="8">
      <t>ヤネ</t>
    </rPh>
    <phoneticPr fontId="1"/>
  </si>
  <si>
    <t>評価対象の区別</t>
    <rPh sb="0" eb="2">
      <t>ヒョウカ</t>
    </rPh>
    <rPh sb="2" eb="4">
      <t>タイショウ</t>
    </rPh>
    <rPh sb="5" eb="7">
      <t>クベツ</t>
    </rPh>
    <phoneticPr fontId="4"/>
  </si>
  <si>
    <t>屋根材加点</t>
    <rPh sb="0" eb="2">
      <t>ヤネ</t>
    </rPh>
    <rPh sb="2" eb="3">
      <t>ザイ</t>
    </rPh>
    <rPh sb="3" eb="5">
      <t>カテン</t>
    </rPh>
    <phoneticPr fontId="4"/>
  </si>
  <si>
    <t>陸屋根加点</t>
    <rPh sb="0" eb="3">
      <t>リクヤネ</t>
    </rPh>
    <rPh sb="3" eb="5">
      <t>カテン</t>
    </rPh>
    <phoneticPr fontId="4"/>
  </si>
  <si>
    <t>　その１．交換容易性</t>
    <rPh sb="5" eb="7">
      <t>コウカン</t>
    </rPh>
    <rPh sb="7" eb="10">
      <t>ヨウイセイ</t>
    </rPh>
    <phoneticPr fontId="4"/>
  </si>
  <si>
    <t>その１</t>
    <phoneticPr fontId="4"/>
  </si>
  <si>
    <t>その２</t>
    <phoneticPr fontId="4"/>
  </si>
  <si>
    <t>屋根材</t>
    <rPh sb="0" eb="2">
      <t>ヤネ</t>
    </rPh>
    <rPh sb="2" eb="3">
      <t>ザイ</t>
    </rPh>
    <phoneticPr fontId="4"/>
  </si>
  <si>
    <t>陸屋根</t>
    <rPh sb="0" eb="3">
      <t>リクヤネ</t>
    </rPh>
    <phoneticPr fontId="4"/>
  </si>
  <si>
    <t>加点条件</t>
    <rPh sb="0" eb="2">
      <t>カテン</t>
    </rPh>
    <rPh sb="2" eb="4">
      <t>ジョウケン</t>
    </rPh>
    <phoneticPr fontId="4"/>
  </si>
  <si>
    <t>選択</t>
    <rPh sb="0" eb="2">
      <t>センタク</t>
    </rPh>
    <phoneticPr fontId="1"/>
  </si>
  <si>
    <r>
      <t>Q</t>
    </r>
    <r>
      <rPr>
        <vertAlign val="subscript"/>
        <sz val="11"/>
        <rFont val="ＭＳ Ｐゴシック"/>
        <family val="3"/>
        <charset val="128"/>
      </rPr>
      <t>H</t>
    </r>
    <r>
      <rPr>
        <sz val="11"/>
        <rFont val="ＭＳ Ｐゴシック"/>
        <family val="3"/>
        <charset val="128"/>
      </rPr>
      <t>2.2.2 維持管理の計画・体制</t>
    </r>
    <rPh sb="8" eb="10">
      <t>イジ</t>
    </rPh>
    <rPh sb="10" eb="12">
      <t>カンリ</t>
    </rPh>
    <rPh sb="13" eb="15">
      <t>ケイカク</t>
    </rPh>
    <rPh sb="16" eb="18">
      <t>タイセイ</t>
    </rPh>
    <phoneticPr fontId="4"/>
  </si>
  <si>
    <r>
      <t>Q</t>
    </r>
    <r>
      <rPr>
        <vertAlign val="subscript"/>
        <sz val="11"/>
        <rFont val="ＭＳ Ｐゴシック"/>
        <family val="3"/>
        <charset val="128"/>
      </rPr>
      <t>H</t>
    </r>
    <r>
      <rPr>
        <sz val="11"/>
        <rFont val="ＭＳ Ｐゴシック"/>
        <family val="3"/>
        <charset val="128"/>
      </rPr>
      <t>2.1.3 屋根材、陸屋根</t>
    </r>
    <rPh sb="8" eb="10">
      <t>ヤネ</t>
    </rPh>
    <rPh sb="10" eb="11">
      <t>ザイ</t>
    </rPh>
    <rPh sb="12" eb="15">
      <t>リクヤネ</t>
    </rPh>
    <phoneticPr fontId="4"/>
  </si>
  <si>
    <r>
      <t>Q</t>
    </r>
    <r>
      <rPr>
        <vertAlign val="subscript"/>
        <sz val="11"/>
        <rFont val="ＭＳ Ｐゴシック"/>
        <family val="3"/>
        <charset val="128"/>
      </rPr>
      <t>H</t>
    </r>
    <r>
      <rPr>
        <sz val="11"/>
        <rFont val="ＭＳ Ｐゴシック"/>
        <family val="3"/>
        <charset val="128"/>
      </rPr>
      <t>2.1.2 外壁材</t>
    </r>
    <rPh sb="8" eb="10">
      <t>ガイヘキ</t>
    </rPh>
    <rPh sb="10" eb="11">
      <t>ザイ</t>
    </rPh>
    <phoneticPr fontId="4"/>
  </si>
  <si>
    <r>
      <t>3.　居住時のエネルギー・水に係るCO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ミズ</t>
    </rPh>
    <rPh sb="15" eb="16">
      <t>カカ</t>
    </rPh>
    <rPh sb="20" eb="22">
      <t>ハイシュツ</t>
    </rPh>
    <rPh sb="22" eb="23">
      <t>リョウ</t>
    </rPh>
    <phoneticPr fontId="4"/>
  </si>
  <si>
    <t>MJ/年</t>
    <rPh sb="3" eb="4">
      <t>ネン</t>
    </rPh>
    <phoneticPr fontId="1"/>
  </si>
  <si>
    <t>節水トイレを設置している。</t>
    <rPh sb="0" eb="2">
      <t>セッスイ</t>
    </rPh>
    <rPh sb="6" eb="8">
      <t>セッチ</t>
    </rPh>
    <phoneticPr fontId="4"/>
  </si>
  <si>
    <t>節水水栓を設置している。</t>
    <rPh sb="0" eb="2">
      <t>セッスイ</t>
    </rPh>
    <rPh sb="2" eb="4">
      <t>スイセン</t>
    </rPh>
    <rPh sb="5" eb="7">
      <t>セッチ</t>
    </rPh>
    <phoneticPr fontId="4"/>
  </si>
  <si>
    <t>食器用洗浄機を設置している。</t>
    <rPh sb="0" eb="2">
      <t>ショッキ</t>
    </rPh>
    <rPh sb="2" eb="3">
      <t>ヨウ</t>
    </rPh>
    <rPh sb="3" eb="5">
      <t>センジョウ</t>
    </rPh>
    <rPh sb="5" eb="6">
      <t>キ</t>
    </rPh>
    <rPh sb="7" eb="9">
      <t>セッチ</t>
    </rPh>
    <phoneticPr fontId="4"/>
  </si>
  <si>
    <t>採点LR1</t>
    <rPh sb="0" eb="2">
      <t>サイテン</t>
    </rPh>
    <phoneticPr fontId="4"/>
  </si>
  <si>
    <t>2項目</t>
    <rPh sb="1" eb="3">
      <t>コウモク</t>
    </rPh>
    <phoneticPr fontId="4"/>
  </si>
  <si>
    <t>3項目</t>
    <rPh sb="1" eb="3">
      <t>コウモク</t>
    </rPh>
    <phoneticPr fontId="4"/>
  </si>
  <si>
    <t>年</t>
    <rPh sb="0" eb="1">
      <t>ネン</t>
    </rPh>
    <phoneticPr fontId="4"/>
  </si>
  <si>
    <t>判定シート</t>
    <rPh sb="0" eb="2">
      <t>ハンテイ</t>
    </rPh>
    <phoneticPr fontId="4"/>
  </si>
  <si>
    <t>計画供用期間</t>
    <rPh sb="0" eb="2">
      <t>ケイカク</t>
    </rPh>
    <rPh sb="2" eb="4">
      <t>キョウヨウ</t>
    </rPh>
    <rPh sb="4" eb="6">
      <t>キカン</t>
    </rPh>
    <phoneticPr fontId="4"/>
  </si>
  <si>
    <t>②　計画供用期間</t>
    <rPh sb="2" eb="4">
      <t>ケイカク</t>
    </rPh>
    <rPh sb="4" eb="6">
      <t>キョウヨウ</t>
    </rPh>
    <rPh sb="6" eb="8">
      <t>キカン</t>
    </rPh>
    <phoneticPr fontId="4"/>
  </si>
  <si>
    <t>　建設</t>
    <rPh sb="1" eb="3">
      <t>ケンセツ</t>
    </rPh>
    <phoneticPr fontId="1"/>
  </si>
  <si>
    <t>　修繕・更新・解体</t>
    <rPh sb="1" eb="3">
      <t>シュウゼン</t>
    </rPh>
    <rPh sb="4" eb="6">
      <t>コウシン</t>
    </rPh>
    <rPh sb="7" eb="9">
      <t>カイタイ</t>
    </rPh>
    <phoneticPr fontId="4"/>
  </si>
  <si>
    <t>　居住</t>
    <rPh sb="1" eb="3">
      <t>キョジュウ</t>
    </rPh>
    <phoneticPr fontId="1"/>
  </si>
  <si>
    <t>　排出率（0％以下で適合）</t>
    <rPh sb="1" eb="3">
      <t>ハイシュツ</t>
    </rPh>
    <rPh sb="3" eb="4">
      <t>リツ</t>
    </rPh>
    <rPh sb="10" eb="12">
      <t>テキゴウ</t>
    </rPh>
    <phoneticPr fontId="4"/>
  </si>
  <si>
    <r>
      <t>LCCO</t>
    </r>
    <r>
      <rPr>
        <b/>
        <vertAlign val="subscript"/>
        <sz val="11"/>
        <rFont val="ＭＳ Ｐゴシック"/>
        <family val="3"/>
        <charset val="128"/>
      </rPr>
      <t>2</t>
    </r>
    <r>
      <rPr>
        <b/>
        <sz val="11"/>
        <rFont val="ＭＳ Ｐゴシック"/>
        <family val="3"/>
        <charset val="128"/>
      </rPr>
      <t>計算結果</t>
    </r>
    <rPh sb="5" eb="7">
      <t>ケイサン</t>
    </rPh>
    <rPh sb="7" eb="9">
      <t>ケッカ</t>
    </rPh>
    <phoneticPr fontId="1"/>
  </si>
  <si>
    <t>適　合</t>
    <rPh sb="0" eb="1">
      <t>テキ</t>
    </rPh>
    <rPh sb="2" eb="3">
      <t>ゴウ</t>
    </rPh>
    <phoneticPr fontId="4"/>
  </si>
  <si>
    <t>不適合</t>
    <rPh sb="0" eb="3">
      <t>フテキゴウ</t>
    </rPh>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</si>
  <si>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</si>
  <si>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</si>
  <si>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phoneticPr fontId="4"/>
  </si>
  <si>
    <t>適合判定ツール</t>
    <rPh sb="0" eb="2">
      <t>テキゴウ</t>
    </rPh>
    <rPh sb="2" eb="4">
      <t>ハンテイ</t>
    </rPh>
    <phoneticPr fontId="4"/>
  </si>
  <si>
    <r>
      <t>LCCM住宅部門の基本要件（LCCO</t>
    </r>
    <r>
      <rPr>
        <vertAlign val="subscript"/>
        <sz val="16"/>
        <rFont val="HG丸ｺﾞｼｯｸM-PRO"/>
        <family val="3"/>
        <charset val="128"/>
      </rPr>
      <t>2</t>
    </r>
    <r>
      <rPr>
        <sz val="16"/>
        <rFont val="HG丸ｺﾞｼｯｸM-PRO"/>
        <family val="3"/>
        <charset val="128"/>
      </rPr>
      <t>）</t>
    </r>
    <rPh sb="4" eb="6">
      <t>ジュウタク</t>
    </rPh>
    <rPh sb="6" eb="8">
      <t>ブモン</t>
    </rPh>
    <rPh sb="9" eb="11">
      <t>キホン</t>
    </rPh>
    <rPh sb="11" eb="13">
      <t>ヨウケン</t>
    </rPh>
    <phoneticPr fontId="4"/>
  </si>
  <si>
    <t>構造計</t>
    <rPh sb="0" eb="2">
      <t>コウゾウ</t>
    </rPh>
    <rPh sb="2" eb="3">
      <t>ケイ</t>
    </rPh>
    <phoneticPr fontId="4"/>
  </si>
  <si>
    <t>構造の比率は合計が１になるように入力</t>
    <rPh sb="0" eb="2">
      <t>コウゾウ</t>
    </rPh>
    <rPh sb="3" eb="5">
      <t>ヒリツ</t>
    </rPh>
    <rPh sb="6" eb="8">
      <t>ゴウケイ</t>
    </rPh>
    <rPh sb="16" eb="18">
      <t>ニュウリョク</t>
    </rPh>
    <phoneticPr fontId="4"/>
  </si>
  <si>
    <t>W</t>
    <phoneticPr fontId="4"/>
  </si>
  <si>
    <t>S</t>
    <phoneticPr fontId="4"/>
  </si>
  <si>
    <t>RC</t>
    <phoneticPr fontId="4"/>
  </si>
  <si>
    <t>基礎用コンクリートに高炉セメントB種を使用</t>
    <rPh sb="0" eb="2">
      <t>キソ</t>
    </rPh>
    <rPh sb="2" eb="3">
      <t>ヨウ</t>
    </rPh>
    <rPh sb="10" eb="12">
      <t>コウロ</t>
    </rPh>
    <rPh sb="17" eb="18">
      <t>タネ</t>
    </rPh>
    <rPh sb="19" eb="21">
      <t>シヨウ</t>
    </rPh>
    <phoneticPr fontId="1"/>
  </si>
  <si>
    <t>　C.太陽光発電等による削減量</t>
    <rPh sb="3" eb="6">
      <t>タイヨウコウ</t>
    </rPh>
    <rPh sb="6" eb="7">
      <t>ハツ</t>
    </rPh>
    <rPh sb="7" eb="8">
      <t>デン</t>
    </rPh>
    <rPh sb="8" eb="9">
      <t>トウ</t>
    </rPh>
    <rPh sb="12" eb="14">
      <t>サクゲン</t>
    </rPh>
    <rPh sb="14" eb="15">
      <t>リョウ</t>
    </rPh>
    <phoneticPr fontId="4"/>
  </si>
  <si>
    <t>　D.発電量（コージェネレーション）</t>
    <rPh sb="3" eb="5">
      <t>ハツデン</t>
    </rPh>
    <rPh sb="5" eb="6">
      <t>リョウ</t>
    </rPh>
    <phoneticPr fontId="156"/>
  </si>
  <si>
    <t>　E.発電量（太陽光発電）</t>
    <rPh sb="3" eb="5">
      <t>ハツデン</t>
    </rPh>
    <rPh sb="5" eb="6">
      <t>リョウ</t>
    </rPh>
    <rPh sb="7" eb="10">
      <t>タイヨウコウ</t>
    </rPh>
    <rPh sb="10" eb="12">
      <t>ハツデン</t>
    </rPh>
    <phoneticPr fontId="4"/>
  </si>
  <si>
    <r>
      <t>1-2.　導入設備に係るCO</t>
    </r>
    <r>
      <rPr>
        <b/>
        <vertAlign val="subscript"/>
        <sz val="10"/>
        <rFont val="ＭＳ Ｐゴシック"/>
        <family val="3"/>
        <charset val="128"/>
      </rPr>
      <t>2</t>
    </r>
    <r>
      <rPr>
        <b/>
        <sz val="10"/>
        <rFont val="ＭＳ Ｐゴシック"/>
        <family val="3"/>
        <charset val="128"/>
      </rPr>
      <t>排出量</t>
    </r>
    <rPh sb="5" eb="7">
      <t>ドウニュウ</t>
    </rPh>
    <rPh sb="7" eb="9">
      <t>セツビ</t>
    </rPh>
    <rPh sb="10" eb="11">
      <t>カカ</t>
    </rPh>
    <rPh sb="15" eb="17">
      <t>ハイシュツ</t>
    </rPh>
    <rPh sb="17" eb="18">
      <t>リョウ</t>
    </rPh>
    <phoneticPr fontId="4"/>
  </si>
  <si>
    <t>電気排出係数</t>
    <rPh sb="0" eb="2">
      <t>デンキ</t>
    </rPh>
    <rPh sb="2" eb="4">
      <t>ハイシュツ</t>
    </rPh>
    <rPh sb="4" eb="6">
      <t>ケイスウ</t>
    </rPh>
    <phoneticPr fontId="1"/>
  </si>
  <si>
    <t>CASBEE-戸建（新築）2018年版と共通</t>
    <phoneticPr fontId="4"/>
  </si>
  <si>
    <t>　その２．劣化低減処置</t>
    <rPh sb="5" eb="7">
      <t>レッカ</t>
    </rPh>
    <rPh sb="7" eb="9">
      <t>テイゲン</t>
    </rPh>
    <rPh sb="9" eb="11">
      <t>ショチ</t>
    </rPh>
    <phoneticPr fontId="4"/>
  </si>
  <si>
    <t xml:space="preserve"> 　計画・体制</t>
    <rPh sb="2" eb="4">
      <t>ケイカク</t>
    </rPh>
    <rPh sb="5" eb="7">
      <t>タイセイ</t>
    </rPh>
    <phoneticPr fontId="4"/>
  </si>
  <si>
    <t>□□工務店</t>
    <rPh sb="2" eb="5">
      <t>コウムテン</t>
    </rPh>
    <phoneticPr fontId="4"/>
  </si>
  <si>
    <t>構造用木材の過半にバイオマス乾燥木材または天然乾燥木材を採用</t>
    <rPh sb="0" eb="3">
      <t>コウゾウヨウ</t>
    </rPh>
    <rPh sb="3" eb="5">
      <t>モクザイ</t>
    </rPh>
    <rPh sb="6" eb="8">
      <t>カハン</t>
    </rPh>
    <rPh sb="14" eb="16">
      <t>カンソウ</t>
    </rPh>
    <rPh sb="16" eb="18">
      <t>モクザイ</t>
    </rPh>
    <rPh sb="21" eb="23">
      <t>テンネン</t>
    </rPh>
    <rPh sb="23" eb="25">
      <t>カンソウ</t>
    </rPh>
    <rPh sb="25" eb="27">
      <t>モクザイ</t>
    </rPh>
    <rPh sb="28" eb="30">
      <t>サイヨウ</t>
    </rPh>
    <phoneticPr fontId="1"/>
  </si>
  <si>
    <t>構造用木材の概ね全てにバイオマス乾燥木材または天然乾燥木材を採用</t>
    <rPh sb="0" eb="3">
      <t>コウゾウヨウ</t>
    </rPh>
    <rPh sb="3" eb="5">
      <t>モクザイ</t>
    </rPh>
    <rPh sb="6" eb="7">
      <t>オオム</t>
    </rPh>
    <rPh sb="8" eb="9">
      <t>スベ</t>
    </rPh>
    <rPh sb="16" eb="18">
      <t>カンソウ</t>
    </rPh>
    <rPh sb="18" eb="20">
      <t>モクザイ</t>
    </rPh>
    <rPh sb="23" eb="25">
      <t>テンネン</t>
    </rPh>
    <rPh sb="25" eb="27">
      <t>カンソウ</t>
    </rPh>
    <rPh sb="27" eb="29">
      <t>モクザイ</t>
    </rPh>
    <rPh sb="30" eb="32">
      <t>サイヨウ</t>
    </rPh>
    <phoneticPr fontId="1"/>
  </si>
  <si>
    <r>
      <t>CO</t>
    </r>
    <r>
      <rPr>
        <vertAlign val="subscript"/>
        <sz val="9"/>
        <rFont val="ＭＳ Ｐゴシック"/>
        <family val="3"/>
        <charset val="128"/>
      </rPr>
      <t>2</t>
    </r>
    <r>
      <rPr>
        <sz val="9"/>
        <rFont val="ＭＳ Ｐゴシック"/>
        <family val="3"/>
        <charset val="128"/>
      </rPr>
      <t>削減対策</t>
    </r>
    <phoneticPr fontId="4"/>
  </si>
  <si>
    <t>2018年●月●日</t>
    <rPh sb="4" eb="5">
      <t>ネン</t>
    </rPh>
    <rPh sb="6" eb="7">
      <t>ガツ</t>
    </rPh>
    <rPh sb="8" eb="9">
      <t>ニチ</t>
    </rPh>
    <phoneticPr fontId="4"/>
  </si>
  <si>
    <t>□□ □□</t>
    <phoneticPr fontId="4"/>
  </si>
  <si>
    <r>
      <t>CO</t>
    </r>
    <r>
      <rPr>
        <vertAlign val="subscript"/>
        <sz val="9"/>
        <rFont val="ＭＳ Ｐゴシック"/>
        <family val="3"/>
        <charset val="128"/>
      </rPr>
      <t>2</t>
    </r>
    <r>
      <rPr>
        <sz val="9"/>
        <rFont val="ＭＳ Ｐゴシック"/>
        <family val="3"/>
        <charset val="128"/>
      </rPr>
      <t>削減率</t>
    </r>
    <r>
      <rPr>
        <vertAlign val="superscript"/>
        <sz val="9"/>
        <rFont val="ＭＳ Ｐゴシック"/>
        <family val="3"/>
        <charset val="128"/>
      </rPr>
      <t>※</t>
    </r>
    <rPh sb="3" eb="5">
      <t>サクゲン</t>
    </rPh>
    <rPh sb="5" eb="6">
      <t>リツ</t>
    </rPh>
    <phoneticPr fontId="4"/>
  </si>
  <si>
    <r>
      <t>※ CO</t>
    </r>
    <r>
      <rPr>
        <vertAlign val="subscript"/>
        <sz val="10"/>
        <rFont val="ＭＳ Ｐゴシック"/>
        <family val="3"/>
        <charset val="128"/>
      </rPr>
      <t>2</t>
    </r>
    <r>
      <rPr>
        <sz val="10"/>
        <rFont val="ＭＳ Ｐゴシック"/>
        <family val="3"/>
        <charset val="128"/>
      </rPr>
      <t>削減率：LR</t>
    </r>
    <r>
      <rPr>
        <vertAlign val="subscript"/>
        <sz val="10"/>
        <rFont val="ＭＳ Ｐゴシック"/>
        <family val="3"/>
        <charset val="128"/>
      </rPr>
      <t>H</t>
    </r>
    <r>
      <rPr>
        <sz val="10"/>
        <rFont val="ＭＳ Ｐゴシック"/>
        <family val="3"/>
        <charset val="128"/>
      </rPr>
      <t>3.1.1 地球温暖化への配慮　加点条件</t>
    </r>
    <rPh sb="5" eb="7">
      <t>サクゲン</t>
    </rPh>
    <rPh sb="7" eb="8">
      <t>リツ</t>
    </rPh>
    <rPh sb="18" eb="20">
      <t>チキュウ</t>
    </rPh>
    <rPh sb="20" eb="23">
      <t>オンダンカ</t>
    </rPh>
    <rPh sb="25" eb="27">
      <t>ハイリョ</t>
    </rPh>
    <rPh sb="28" eb="30">
      <t>カテン</t>
    </rPh>
    <rPh sb="30" eb="32">
      <t>ジョウケン</t>
    </rPh>
    <phoneticPr fontId="4"/>
  </si>
  <si>
    <t>〇〇邸</t>
    <rPh sb="2" eb="3">
      <t>テイ</t>
    </rPh>
    <phoneticPr fontId="4"/>
  </si>
  <si>
    <t>構造の種類</t>
    <rPh sb="0" eb="2">
      <t>コウゾウ</t>
    </rPh>
    <rPh sb="3" eb="5">
      <t>シュルイ</t>
    </rPh>
    <phoneticPr fontId="4"/>
  </si>
  <si>
    <r>
      <t>LR</t>
    </r>
    <r>
      <rPr>
        <vertAlign val="subscript"/>
        <sz val="11"/>
        <rFont val="ＭＳ Ｐゴシック"/>
        <family val="3"/>
        <charset val="128"/>
      </rPr>
      <t>H</t>
    </r>
    <r>
      <rPr>
        <sz val="11"/>
        <rFont val="ＭＳ Ｐゴシック"/>
        <family val="3"/>
        <charset val="128"/>
      </rPr>
      <t>3.1.1 地球温暖化への配慮</t>
    </r>
    <rPh sb="9" eb="11">
      <t>チキュウ</t>
    </rPh>
    <rPh sb="11" eb="14">
      <t>オンダンカ</t>
    </rPh>
    <rPh sb="16" eb="18">
      <t>ハイリョ</t>
    </rPh>
    <phoneticPr fontId="4"/>
  </si>
  <si>
    <t>a</t>
    <phoneticPr fontId="4"/>
  </si>
  <si>
    <t>b</t>
    <phoneticPr fontId="4"/>
  </si>
  <si>
    <t>■節水型設備</t>
    <phoneticPr fontId="4"/>
  </si>
  <si>
    <r>
      <t>LR</t>
    </r>
    <r>
      <rPr>
        <vertAlign val="subscript"/>
        <sz val="11"/>
        <rFont val="ＭＳ Ｐゴシック"/>
        <family val="3"/>
        <charset val="128"/>
      </rPr>
      <t>H</t>
    </r>
    <r>
      <rPr>
        <sz val="11"/>
        <rFont val="ＭＳ Ｐゴシック"/>
        <family val="3"/>
        <charset val="128"/>
      </rPr>
      <t>1.2.1 節水型設備</t>
    </r>
    <rPh sb="9" eb="12">
      <t>セッスイガタ</t>
    </rPh>
    <rPh sb="12" eb="14">
      <t>セツビ</t>
    </rPh>
    <phoneticPr fontId="4"/>
  </si>
  <si>
    <r>
      <t>　■使用評価マニュアル：　LCCM住宅部門の基本要件（LCCO</t>
    </r>
    <r>
      <rPr>
        <vertAlign val="subscript"/>
        <sz val="9"/>
        <rFont val="ＭＳ Ｐゴシック"/>
        <family val="3"/>
        <charset val="128"/>
      </rPr>
      <t>2</t>
    </r>
    <r>
      <rPr>
        <sz val="9"/>
        <rFont val="ＭＳ Ｐゴシック"/>
        <family val="3"/>
        <charset val="128"/>
      </rPr>
      <t>）適合判定ツール マニュアル　　　 ■使用評価ソフト：　LCCM_2018v1.0</t>
    </r>
    <phoneticPr fontId="4"/>
  </si>
  <si>
    <r>
      <t>m</t>
    </r>
    <r>
      <rPr>
        <vertAlign val="superscript"/>
        <sz val="11"/>
        <rFont val="ＭＳ Ｐゴシック"/>
        <family val="3"/>
        <charset val="128"/>
      </rPr>
      <t>2</t>
    </r>
    <phoneticPr fontId="4"/>
  </si>
  <si>
    <t>太陽光設置容量</t>
    <phoneticPr fontId="4"/>
  </si>
  <si>
    <t>kW</t>
    <phoneticPr fontId="4"/>
  </si>
  <si>
    <t>評価の実施日</t>
    <phoneticPr fontId="4"/>
  </si>
  <si>
    <r>
      <t>kg-CO</t>
    </r>
    <r>
      <rPr>
        <vertAlign val="subscript"/>
        <sz val="11"/>
        <rFont val="ＭＳ Ｐゴシック"/>
        <family val="3"/>
        <charset val="128"/>
      </rPr>
      <t>2</t>
    </r>
    <r>
      <rPr>
        <sz val="11"/>
        <rFont val="ＭＳ Ｐゴシック"/>
        <family val="3"/>
        <charset val="128"/>
      </rPr>
      <t>/kWh</t>
    </r>
    <phoneticPr fontId="4"/>
  </si>
  <si>
    <t>□□　□□</t>
    <phoneticPr fontId="4"/>
  </si>
  <si>
    <t>①　住宅としての品質の確保</t>
    <phoneticPr fontId="4"/>
  </si>
  <si>
    <t>レベル３</t>
    <phoneticPr fontId="4"/>
  </si>
  <si>
    <t>レベル４</t>
    <phoneticPr fontId="4"/>
  </si>
  <si>
    <t>レベル５</t>
    <phoneticPr fontId="4"/>
  </si>
  <si>
    <t>③　ライフサイクル段階別の条件</t>
    <phoneticPr fontId="4"/>
  </si>
  <si>
    <t>軽量鉄骨造の場合</t>
    <phoneticPr fontId="4"/>
  </si>
  <si>
    <t>基礎用コンクリートに高炉セメントB種を使用</t>
    <phoneticPr fontId="4"/>
  </si>
  <si>
    <t>①</t>
    <phoneticPr fontId="4"/>
  </si>
  <si>
    <t>上部躯体用コンクリートに高炉セメントB種を使用</t>
    <phoneticPr fontId="4"/>
  </si>
  <si>
    <t>a</t>
    <phoneticPr fontId="4"/>
  </si>
  <si>
    <t>c</t>
    <phoneticPr fontId="4"/>
  </si>
  <si>
    <t>b</t>
    <phoneticPr fontId="4"/>
  </si>
  <si>
    <t>■維持管理の</t>
    <phoneticPr fontId="4"/>
  </si>
  <si>
    <t>　B.設計一次エネルギー消費量</t>
    <phoneticPr fontId="4"/>
  </si>
  <si>
    <r>
      <t>kg-CO</t>
    </r>
    <r>
      <rPr>
        <vertAlign val="subscript"/>
        <sz val="11"/>
        <rFont val="ＭＳ Ｐゴシック"/>
        <family val="3"/>
        <charset val="128"/>
      </rPr>
      <t>2</t>
    </r>
    <r>
      <rPr>
        <sz val="11"/>
        <rFont val="ＭＳ Ｐゴシック"/>
        <family val="3"/>
        <charset val="128"/>
      </rPr>
      <t>/年m</t>
    </r>
    <r>
      <rPr>
        <vertAlign val="superscript"/>
        <sz val="11"/>
        <rFont val="ＭＳ Ｐゴシック"/>
        <family val="3"/>
        <charset val="128"/>
      </rPr>
      <t>2</t>
    </r>
    <phoneticPr fontId="4"/>
  </si>
  <si>
    <t>a+b+c</t>
    <phoneticPr fontId="4"/>
  </si>
  <si>
    <t>(d1/d2)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</si>
</sst>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176" formatCode="0.0_ "/>
    <numFmt numFmtId="177" formatCode="0.00_ "/>
    <numFmt numFmtId="178" formatCode="0.00_);[Red]\(0.00\)"/>
    <numFmt numFmtId="179" formatCode=";;&quot;&quot;"/>
    <numFmt numFmtId="180" formatCode="0;0;&quot;－&quot;"/>
    <numFmt numFmtId="181" formatCode="#,##0_ "/>
    <numFmt numFmtId="182" formatCode="0.0"/>
    <numFmt numFmtId="183" formatCode="0.0;0.0;&quot;-&quot;\ "/>
    <numFmt numFmtId="184" formatCode="0.00;0.00;&quot;-&quot;\ "/>
    <numFmt numFmtId="185" formatCode="0.0;0.0;&quot;－&quot;"/>
    <numFmt numFmtId="186" formatCode="#,##0.0;[Red]\-#,##0.0"/>
    <numFmt numFmtId="187" formatCode="0.000_ "/>
    <numFmt numFmtId="188" formatCode="0.000_);[Red]\(0.000\)"/>
    <numFmt numFmtId="189" formatCode="0_ "/>
    <numFmt numFmtId="190" formatCode="&quot;レベル &quot;#"/>
    <numFmt numFmtId="191" formatCode="#&quot;ポイント&quot;"/>
    <numFmt numFmtId="192" formatCode="#&quot;点&quot;"/>
    <numFmt numFmtId="193" formatCode="0.00;0.00;&quot;&quot;\ "/>
    <numFmt numFmtId="194" formatCode="0.00;0.00;&quot;-&quot;"/>
    <numFmt numFmtId="195" formatCode="0.00;0.00;&quot;対象外&quot;"/>
    <numFmt numFmtId="196" formatCode="&quot;レベル &quot;#0.0;0.00;&quot;対象外&quot;"/>
    <numFmt numFmtId="197" formatCode="0.0;_Ā"/>
    <numFmt numFmtId="198" formatCode="0.000;_Ā"/>
    <numFmt numFmtId="199" formatCode="0_);[Red]\(0\)"/>
    <numFmt numFmtId="200" formatCode="&quot;①&quot;&quot;合&quot;&quot;計&quot;&quot;得&quot;&quot;点&quot;\=#&quot;ポイント&quot;"/>
    <numFmt numFmtId="201" formatCode="&quot;レベル &quot;#0;&quot;対象外&quot;"/>
    <numFmt numFmtId="202" formatCode="#&quot; 点&quot;;\-#&quot; 点&quot;;&quot;0 点&quot;"/>
    <numFmt numFmtId="203" formatCode="0.00_ ;[Red]\-0.00\ "/>
    <numFmt numFmtId="204" formatCode="#0&quot;ポイント&quot;"/>
    <numFmt numFmtId="205" formatCode="&quot;レベル &quot;#0.0;&quot;対象外&quot;"/>
    <numFmt numFmtId="206" formatCode="0.0000_ "/>
    <numFmt numFmtId="207" formatCode="#,##0_);[Red]\(#,##0\)"/>
    <numFmt numFmtId="208" formatCode="0.0%"/>
    <numFmt numFmtId="209" formatCode="0.0000"/>
    <numFmt numFmtId="210" formatCode="0.000000"/>
    <numFmt numFmtId="211" formatCode="&quot;レベル &quot;#0;0.00;&quot;対象外&quot;"/>
    <numFmt numFmtId="212" formatCode="&quot;レベル &quot;#0;0.0;&quot;対象外&quot;"/>
  </numFmts>
  <fonts count="171">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9"/>
      <color indexed="10"/>
      <name val="ＭＳ Ｐゴシック"/>
      <family val="3"/>
      <charset val="128"/>
    </font>
    <font>
      <sz val="8"/>
      <name val="ＭＳ Ｐゴシック"/>
      <family val="3"/>
      <charset val="128"/>
    </font>
    <font>
      <sz val="9"/>
      <color indexed="8"/>
      <name val="ＭＳ Ｐゴシック"/>
      <family val="3"/>
      <charset val="128"/>
    </font>
    <font>
      <b/>
      <sz val="9"/>
      <color indexed="8"/>
      <name val="ＭＳ Ｐゴシック"/>
      <family val="3"/>
      <charset val="128"/>
    </font>
    <font>
      <b/>
      <sz val="9"/>
      <name val="ＭＳ Ｐゴシック"/>
      <family val="3"/>
      <charset val="128"/>
    </font>
    <font>
      <b/>
      <sz val="8"/>
      <color indexed="17"/>
      <name val="ＭＳ Ｐゴシック"/>
      <family val="3"/>
      <charset val="128"/>
    </font>
    <font>
      <b/>
      <sz val="11"/>
      <color indexed="17"/>
      <name val="ＭＳ Ｐゴシック"/>
      <family val="3"/>
      <charset val="128"/>
    </font>
    <font>
      <sz val="10"/>
      <name val="ＭＳ Ｐゴシック"/>
      <family val="3"/>
      <charset val="128"/>
    </font>
    <font>
      <b/>
      <sz val="12"/>
      <color indexed="9"/>
      <name val="Arial"/>
      <family val="2"/>
    </font>
    <font>
      <sz val="10"/>
      <color indexed="9"/>
      <name val="ＭＳ Ｐゴシック"/>
      <family val="3"/>
      <charset val="128"/>
    </font>
    <font>
      <sz val="9"/>
      <color indexed="9"/>
      <name val="ＭＳ Ｐゴシック"/>
      <family val="3"/>
      <charset val="128"/>
    </font>
    <font>
      <b/>
      <sz val="10"/>
      <color indexed="9"/>
      <name val="ＭＳ Ｐゴシック"/>
      <family val="3"/>
      <charset val="128"/>
    </font>
    <font>
      <sz val="10"/>
      <name val="Arial"/>
      <family val="2"/>
    </font>
    <font>
      <b/>
      <sz val="10"/>
      <name val="Arial"/>
      <family val="2"/>
    </font>
    <font>
      <sz val="10"/>
      <color indexed="53"/>
      <name val="ＭＳ Ｐゴシック"/>
      <family val="3"/>
      <charset val="128"/>
    </font>
    <font>
      <sz val="11"/>
      <color indexed="10"/>
      <name val="ＭＳ Ｐゴシック"/>
      <family val="3"/>
      <charset val="128"/>
    </font>
    <font>
      <sz val="11"/>
      <color indexed="8"/>
      <name val="ＭＳ Ｐゴシック"/>
      <family val="3"/>
      <charset val="128"/>
    </font>
    <font>
      <sz val="10"/>
      <color indexed="22"/>
      <name val="ＭＳ Ｐゴシック"/>
      <family val="3"/>
      <charset val="128"/>
    </font>
    <font>
      <sz val="8"/>
      <color indexed="53"/>
      <name val="ＭＳ Ｐゴシック"/>
      <family val="3"/>
      <charset val="128"/>
    </font>
    <font>
      <b/>
      <sz val="9"/>
      <name val="Arial"/>
      <family val="2"/>
    </font>
    <font>
      <sz val="9"/>
      <color indexed="20"/>
      <name val="ＭＳ Ｐゴシック"/>
      <family val="3"/>
      <charset val="128"/>
    </font>
    <font>
      <b/>
      <sz val="10"/>
      <name val="ＭＳ Ｐゴシック"/>
      <family val="3"/>
      <charset val="128"/>
    </font>
    <font>
      <b/>
      <sz val="11"/>
      <color indexed="53"/>
      <name val="ＭＳ Ｐゴシック"/>
      <family val="3"/>
      <charset val="128"/>
    </font>
    <font>
      <sz val="9"/>
      <color indexed="81"/>
      <name val="ＭＳ Ｐゴシック"/>
      <family val="3"/>
      <charset val="128"/>
    </font>
    <font>
      <b/>
      <sz val="12"/>
      <color indexed="9"/>
      <name val="ＭＳ Ｐゴシック"/>
      <family val="3"/>
      <charset val="128"/>
    </font>
    <font>
      <b/>
      <sz val="9"/>
      <color indexed="9"/>
      <name val="ＭＳ Ｐゴシック"/>
      <family val="3"/>
      <charset val="128"/>
    </font>
    <font>
      <sz val="8"/>
      <color indexed="9"/>
      <name val="ＭＳ Ｐゴシック"/>
      <family val="3"/>
      <charset val="128"/>
    </font>
    <font>
      <sz val="9"/>
      <color indexed="17"/>
      <name val="ＭＳ Ｐゴシック"/>
      <family val="3"/>
      <charset val="128"/>
    </font>
    <font>
      <b/>
      <sz val="12"/>
      <name val="ＭＳ Ｐゴシック"/>
      <family val="3"/>
      <charset val="128"/>
    </font>
    <font>
      <b/>
      <sz val="8"/>
      <name val="ＭＳ Ｐゴシック"/>
      <family val="3"/>
      <charset val="128"/>
    </font>
    <font>
      <b/>
      <sz val="16"/>
      <name val="ＭＳ Ｐゴシック"/>
      <family val="3"/>
      <charset val="128"/>
    </font>
    <font>
      <sz val="11"/>
      <name val="ＭＳ 明朝"/>
      <family val="1"/>
      <charset val="128"/>
    </font>
    <font>
      <sz val="11"/>
      <name val="Arial"/>
      <family val="2"/>
    </font>
    <font>
      <sz val="12"/>
      <name val="ＭＳ Ｐゴシック"/>
      <family val="3"/>
      <charset val="128"/>
    </font>
    <font>
      <sz val="12"/>
      <name val="Arial"/>
      <family val="2"/>
    </font>
    <font>
      <b/>
      <sz val="18"/>
      <name val="Arial"/>
      <family val="2"/>
    </font>
    <font>
      <b/>
      <sz val="12"/>
      <name val="Arial"/>
      <family val="2"/>
    </font>
    <font>
      <b/>
      <sz val="18"/>
      <name val="ＭＳ Ｐゴシック"/>
      <family val="3"/>
      <charset val="128"/>
    </font>
    <font>
      <sz val="8"/>
      <color indexed="17"/>
      <name val="Arial"/>
      <family val="2"/>
    </font>
    <font>
      <b/>
      <sz val="8"/>
      <color indexed="17"/>
      <name val="Arial"/>
      <family val="2"/>
    </font>
    <font>
      <b/>
      <i/>
      <sz val="9"/>
      <name val="Times New Roman"/>
      <family val="1"/>
    </font>
    <font>
      <sz val="8"/>
      <color indexed="9"/>
      <name val="Arial"/>
      <family val="2"/>
    </font>
    <font>
      <sz val="8"/>
      <name val="Arial"/>
      <family val="2"/>
    </font>
    <font>
      <b/>
      <sz val="8"/>
      <name val="Arial"/>
      <family val="2"/>
    </font>
    <font>
      <b/>
      <sz val="6"/>
      <color indexed="9"/>
      <name val="ＭＳ Ｐゴシック"/>
      <family val="3"/>
      <charset val="128"/>
    </font>
    <font>
      <i/>
      <sz val="10"/>
      <name val="ＭＳ Ｐゴシック"/>
      <family val="3"/>
      <charset val="128"/>
    </font>
    <font>
      <sz val="10"/>
      <color indexed="9"/>
      <name val="Arial"/>
      <family val="2"/>
    </font>
    <font>
      <b/>
      <sz val="10"/>
      <color indexed="9"/>
      <name val="Arial"/>
      <family val="2"/>
    </font>
    <font>
      <sz val="11"/>
      <color indexed="9"/>
      <name val="Arial"/>
      <family val="2"/>
    </font>
    <font>
      <b/>
      <i/>
      <sz val="14"/>
      <color indexed="9"/>
      <name val="Arial"/>
      <family val="2"/>
    </font>
    <font>
      <b/>
      <sz val="11"/>
      <name val="Arial"/>
      <family val="2"/>
    </font>
    <font>
      <b/>
      <i/>
      <sz val="9"/>
      <name val="ＭＳ Ｐゴシック"/>
      <family val="3"/>
      <charset val="128"/>
    </font>
    <font>
      <b/>
      <i/>
      <sz val="10"/>
      <name val="Arial"/>
      <family val="2"/>
    </font>
    <font>
      <b/>
      <i/>
      <sz val="11"/>
      <name val="ＭＳ Ｐゴシック"/>
      <family val="3"/>
      <charset val="128"/>
    </font>
    <font>
      <b/>
      <i/>
      <sz val="11"/>
      <name val="Arial"/>
      <family val="2"/>
    </font>
    <font>
      <i/>
      <sz val="11"/>
      <name val="Arial"/>
      <family val="2"/>
    </font>
    <font>
      <b/>
      <sz val="14"/>
      <name val="ＭＳ Ｐゴシック"/>
      <family val="3"/>
      <charset val="128"/>
    </font>
    <font>
      <b/>
      <sz val="11"/>
      <color indexed="8"/>
      <name val="ＭＳ Ｐゴシック"/>
      <family val="3"/>
      <charset val="128"/>
    </font>
    <font>
      <b/>
      <sz val="14"/>
      <name val="Arial"/>
      <family val="2"/>
    </font>
    <font>
      <sz val="11"/>
      <color indexed="10"/>
      <name val="Arial"/>
      <family val="2"/>
    </font>
    <font>
      <sz val="9"/>
      <name val="Arial"/>
      <family val="2"/>
    </font>
    <font>
      <sz val="8"/>
      <color indexed="22"/>
      <name val="Arial"/>
      <family val="2"/>
    </font>
    <font>
      <sz val="11"/>
      <name val="ＭＳ Ｐゴシック"/>
      <family val="3"/>
      <charset val="128"/>
    </font>
    <font>
      <sz val="14"/>
      <name val="ＭＳ Ｐゴシック"/>
      <family val="3"/>
      <charset val="128"/>
    </font>
    <font>
      <b/>
      <sz val="10"/>
      <color indexed="18"/>
      <name val="ＭＳ Ｐゴシック"/>
      <family val="3"/>
      <charset val="128"/>
    </font>
    <font>
      <sz val="10"/>
      <color indexed="18"/>
      <name val="Arial"/>
      <family val="2"/>
    </font>
    <font>
      <b/>
      <sz val="11"/>
      <color indexed="63"/>
      <name val="Arial"/>
      <family val="2"/>
    </font>
    <font>
      <sz val="9"/>
      <color indexed="63"/>
      <name val="Arial"/>
      <family val="2"/>
    </font>
    <font>
      <sz val="9"/>
      <color indexed="10"/>
      <name val="Arial"/>
      <family val="2"/>
    </font>
    <font>
      <b/>
      <sz val="12"/>
      <color indexed="18"/>
      <name val="Arial"/>
      <family val="2"/>
    </font>
    <font>
      <b/>
      <sz val="12"/>
      <color indexed="18"/>
      <name val="ＭＳ Ｐゴシック"/>
      <family val="3"/>
      <charset val="128"/>
    </font>
    <font>
      <sz val="9"/>
      <color indexed="22"/>
      <name val="ＭＳ Ｐゴシック"/>
      <family val="3"/>
      <charset val="128"/>
    </font>
    <font>
      <b/>
      <sz val="6"/>
      <name val="ＭＳ Ｐゴシック"/>
      <family val="3"/>
      <charset val="128"/>
    </font>
    <font>
      <b/>
      <i/>
      <sz val="14"/>
      <color indexed="17"/>
      <name val="ＭＳ Ｐゴシック"/>
      <family val="3"/>
      <charset val="128"/>
    </font>
    <font>
      <b/>
      <i/>
      <sz val="24"/>
      <color indexed="17"/>
      <name val="ＭＳ Ｐ明朝"/>
      <family val="1"/>
      <charset val="128"/>
    </font>
    <font>
      <b/>
      <i/>
      <sz val="22"/>
      <name val="ＭＳ Ｐ明朝"/>
      <family val="1"/>
      <charset val="128"/>
    </font>
    <font>
      <b/>
      <sz val="10"/>
      <color indexed="18"/>
      <name val="Arial"/>
      <family val="2"/>
    </font>
    <font>
      <b/>
      <sz val="10"/>
      <color indexed="17"/>
      <name val="ＭＳ Ｐゴシック"/>
      <family val="3"/>
      <charset val="128"/>
    </font>
    <font>
      <sz val="12"/>
      <color indexed="22"/>
      <name val="ＭＳ Ｐゴシック"/>
      <family val="3"/>
      <charset val="128"/>
    </font>
    <font>
      <b/>
      <sz val="9"/>
      <color indexed="63"/>
      <name val="Arial"/>
      <family val="2"/>
    </font>
    <font>
      <sz val="11"/>
      <color indexed="22"/>
      <name val="Arial"/>
      <family val="2"/>
    </font>
    <font>
      <b/>
      <sz val="20"/>
      <color indexed="17"/>
      <name val="ＭＳ Ｐゴシック"/>
      <family val="3"/>
      <charset val="128"/>
    </font>
    <font>
      <b/>
      <i/>
      <sz val="12"/>
      <name val="ＭＳ Ｐゴシック"/>
      <family val="3"/>
      <charset val="128"/>
    </font>
    <font>
      <sz val="12"/>
      <color indexed="10"/>
      <name val="Arial"/>
      <family val="2"/>
    </font>
    <font>
      <b/>
      <sz val="8"/>
      <color indexed="22"/>
      <name val="Arial"/>
      <family val="2"/>
    </font>
    <font>
      <i/>
      <sz val="10"/>
      <color indexed="22"/>
      <name val="ＭＳ Ｐゴシック"/>
      <family val="3"/>
      <charset val="128"/>
    </font>
    <font>
      <sz val="10"/>
      <color indexed="55"/>
      <name val="ＭＳ Ｐゴシック"/>
      <family val="3"/>
      <charset val="128"/>
    </font>
    <font>
      <sz val="11"/>
      <color indexed="55"/>
      <name val="Arial"/>
      <family val="2"/>
    </font>
    <font>
      <sz val="12"/>
      <color indexed="9"/>
      <name val="Arial"/>
      <family val="2"/>
    </font>
    <font>
      <sz val="14"/>
      <color indexed="9"/>
      <name val="Arial"/>
      <family val="2"/>
    </font>
    <font>
      <b/>
      <sz val="36"/>
      <color indexed="17"/>
      <name val="ＭＳ Ｐゴシック"/>
      <family val="3"/>
      <charset val="128"/>
    </font>
    <font>
      <b/>
      <sz val="11"/>
      <color indexed="42"/>
      <name val="Arial"/>
      <family val="2"/>
    </font>
    <font>
      <b/>
      <sz val="11"/>
      <color indexed="42"/>
      <name val="ＭＳ Ｐゴシック"/>
      <family val="3"/>
      <charset val="128"/>
    </font>
    <font>
      <sz val="11"/>
      <name val="ＭＳ Ｐゴシック"/>
      <family val="3"/>
      <charset val="128"/>
    </font>
    <font>
      <sz val="11"/>
      <color indexed="55"/>
      <name val="ＭＳ Ｐゴシック"/>
      <family val="3"/>
      <charset val="128"/>
    </font>
    <font>
      <sz val="13"/>
      <name val="ＭＳ Ｐゴシック"/>
      <family val="3"/>
      <charset val="128"/>
    </font>
    <font>
      <sz val="8"/>
      <color indexed="17"/>
      <name val="ＭＳ Ｐゴシック"/>
      <family val="3"/>
      <charset val="128"/>
    </font>
    <font>
      <sz val="12"/>
      <color indexed="9"/>
      <name val="ＭＳ Ｐゴシック"/>
      <family val="3"/>
      <charset val="128"/>
    </font>
    <font>
      <sz val="11"/>
      <name val="ＭＳ Ｐゴシック"/>
      <family val="3"/>
      <charset val="128"/>
    </font>
    <font>
      <sz val="10"/>
      <color indexed="17"/>
      <name val="ＭＳ Ｐゴシック"/>
      <family val="3"/>
      <charset val="128"/>
    </font>
    <font>
      <sz val="11"/>
      <name val="ＭＳ Ｐゴシック"/>
      <family val="3"/>
      <charset val="128"/>
    </font>
    <font>
      <b/>
      <i/>
      <sz val="9"/>
      <color indexed="9"/>
      <name val="Arial"/>
      <family val="2"/>
    </font>
    <font>
      <b/>
      <sz val="11"/>
      <color indexed="43"/>
      <name val="Arial"/>
      <family val="2"/>
    </font>
    <font>
      <b/>
      <sz val="11"/>
      <color indexed="43"/>
      <name val="ＭＳ Ｐゴシック"/>
      <family val="3"/>
      <charset val="128"/>
    </font>
    <font>
      <sz val="10"/>
      <color indexed="42"/>
      <name val="Arial"/>
      <family val="2"/>
    </font>
    <font>
      <b/>
      <i/>
      <sz val="14"/>
      <name val="ＭＳ Ｐ明朝"/>
      <family val="1"/>
      <charset val="128"/>
    </font>
    <font>
      <b/>
      <i/>
      <sz val="14"/>
      <color indexed="9"/>
      <name val="ＭＳ Ｐゴシック"/>
      <family val="3"/>
      <charset val="128"/>
    </font>
    <font>
      <vertAlign val="subscript"/>
      <sz val="9"/>
      <name val="ＭＳ Ｐゴシック"/>
      <family val="3"/>
      <charset val="128"/>
    </font>
    <font>
      <sz val="10"/>
      <color indexed="18"/>
      <name val="ＭＳ Ｐゴシック"/>
      <family val="3"/>
      <charset val="128"/>
    </font>
    <font>
      <b/>
      <sz val="10"/>
      <color indexed="10"/>
      <name val="ＭＳ Ｐゴシック"/>
      <family val="3"/>
      <charset val="128"/>
    </font>
    <font>
      <b/>
      <sz val="11"/>
      <color indexed="10"/>
      <name val="Arial"/>
      <family val="2"/>
    </font>
    <font>
      <sz val="11"/>
      <color indexed="63"/>
      <name val="Arial"/>
      <family val="2"/>
    </font>
    <font>
      <vertAlign val="superscript"/>
      <sz val="10"/>
      <name val="ＭＳ Ｐゴシック"/>
      <family val="3"/>
      <charset val="128"/>
    </font>
    <font>
      <b/>
      <vertAlign val="subscript"/>
      <sz val="12"/>
      <color indexed="9"/>
      <name val="ＭＳ Ｐゴシック"/>
      <family val="3"/>
      <charset val="128"/>
    </font>
    <font>
      <b/>
      <sz val="11"/>
      <color indexed="9"/>
      <name val="ＭＳ Ｐゴシック"/>
      <family val="3"/>
      <charset val="128"/>
    </font>
    <font>
      <b/>
      <sz val="11"/>
      <color indexed="9"/>
      <name val="Arial"/>
      <family val="2"/>
    </font>
    <font>
      <b/>
      <sz val="28"/>
      <name val="ＭＳ Ｐゴシック"/>
      <family val="3"/>
      <charset val="128"/>
    </font>
    <font>
      <b/>
      <sz val="20"/>
      <color indexed="9"/>
      <name val="ＭＳ Ｐゴシック"/>
      <family val="3"/>
      <charset val="128"/>
    </font>
    <font>
      <b/>
      <i/>
      <sz val="20"/>
      <color indexed="9"/>
      <name val="Times New Roman"/>
      <family val="1"/>
    </font>
    <font>
      <vertAlign val="subscript"/>
      <sz val="10"/>
      <name val="ＭＳ Ｐゴシック"/>
      <family val="3"/>
      <charset val="128"/>
    </font>
    <font>
      <b/>
      <sz val="9"/>
      <color indexed="18"/>
      <name val="Arial"/>
      <family val="2"/>
    </font>
    <font>
      <vertAlign val="subscript"/>
      <sz val="11"/>
      <name val="ＭＳ Ｐゴシック"/>
      <family val="3"/>
      <charset val="128"/>
    </font>
    <font>
      <b/>
      <sz val="14"/>
      <color indexed="9"/>
      <name val="ＭＳ Ｐゴシック"/>
      <family val="3"/>
      <charset val="128"/>
    </font>
    <font>
      <b/>
      <sz val="8"/>
      <color indexed="9"/>
      <name val="ＭＳ Ｐゴシック"/>
      <family val="3"/>
      <charset val="128"/>
    </font>
    <font>
      <sz val="11"/>
      <color indexed="9"/>
      <name val="ＭＳ Ｐゴシック"/>
      <family val="3"/>
      <charset val="128"/>
    </font>
    <font>
      <b/>
      <vertAlign val="subscript"/>
      <sz val="10"/>
      <name val="ＭＳ Ｐゴシック"/>
      <family val="3"/>
      <charset val="128"/>
    </font>
    <font>
      <b/>
      <vertAlign val="subscript"/>
      <sz val="14"/>
      <name val="Arial"/>
      <family val="2"/>
    </font>
    <font>
      <b/>
      <vertAlign val="subscript"/>
      <sz val="9"/>
      <name val="ＭＳ Ｐゴシック"/>
      <family val="3"/>
      <charset val="128"/>
    </font>
    <font>
      <b/>
      <vertAlign val="subscript"/>
      <sz val="11"/>
      <name val="ＭＳ Ｐゴシック"/>
      <family val="3"/>
      <charset val="128"/>
    </font>
    <font>
      <b/>
      <vertAlign val="subscript"/>
      <sz val="1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color indexed="10"/>
      <name val="ＭＳ Ｐゴシック"/>
      <family val="3"/>
      <charset val="128"/>
    </font>
    <font>
      <sz val="7.5"/>
      <name val="ＭＳ Ｐゴシック"/>
      <family val="3"/>
      <charset val="128"/>
    </font>
    <font>
      <b/>
      <vertAlign val="subscript"/>
      <sz val="12"/>
      <color indexed="9"/>
      <name val="Arial"/>
      <family val="2"/>
    </font>
    <font>
      <b/>
      <sz val="10"/>
      <color indexed="9"/>
      <name val="ＭＳ Ｐゴシック"/>
      <family val="3"/>
      <charset val="128"/>
    </font>
    <font>
      <sz val="10"/>
      <color indexed="12"/>
      <name val="ＭＳ Ｐゴシック"/>
      <family val="3"/>
      <charset val="128"/>
    </font>
    <font>
      <sz val="10"/>
      <color indexed="10"/>
      <name val="ＭＳ Ｐゴシック"/>
      <family val="3"/>
      <charset val="128"/>
    </font>
    <font>
      <b/>
      <sz val="9"/>
      <color indexed="9"/>
      <name val="Arial"/>
      <family val="2"/>
    </font>
    <font>
      <sz val="9"/>
      <color rgb="FFFF0000"/>
      <name val="ＭＳ Ｐゴシック"/>
      <family val="3"/>
      <charset val="128"/>
    </font>
    <font>
      <sz val="6"/>
      <name val="ＭＳ Ｐゴシック"/>
      <family val="2"/>
      <charset val="128"/>
      <scheme val="minor"/>
    </font>
    <font>
      <b/>
      <sz val="11"/>
      <color rgb="FF00B050"/>
      <name val="ＭＳ Ｐゴシック"/>
      <family val="3"/>
      <charset val="128"/>
    </font>
    <font>
      <b/>
      <vertAlign val="subscript"/>
      <sz val="11"/>
      <color rgb="FF00B050"/>
      <name val="ＭＳ Ｐゴシック"/>
      <family val="3"/>
      <charset val="128"/>
    </font>
    <font>
      <b/>
      <sz val="10"/>
      <color rgb="FF00B050"/>
      <name val="ＭＳ Ｐゴシック"/>
      <family val="3"/>
      <charset val="128"/>
    </font>
    <font>
      <b/>
      <vertAlign val="subscript"/>
      <sz val="10"/>
      <color rgb="FF00B050"/>
      <name val="ＭＳ Ｐゴシック"/>
      <family val="3"/>
      <charset val="128"/>
    </font>
    <font>
      <sz val="10"/>
      <color rgb="FF00B050"/>
      <name val="ＭＳ Ｐゴシック"/>
      <family val="3"/>
      <charset val="128"/>
    </font>
    <font>
      <sz val="11"/>
      <color rgb="FF00B050"/>
      <name val="ＭＳ Ｐゴシック"/>
      <family val="3"/>
      <charset val="128"/>
    </font>
    <font>
      <b/>
      <sz val="11"/>
      <color theme="0"/>
      <name val="ＭＳ Ｐゴシック"/>
      <family val="3"/>
      <charset val="128"/>
    </font>
    <font>
      <vertAlign val="superscript"/>
      <sz val="11"/>
      <name val="ＭＳ Ｐゴシック"/>
      <family val="3"/>
      <charset val="128"/>
    </font>
    <font>
      <sz val="11"/>
      <color theme="0"/>
      <name val="ＭＳ Ｐゴシック"/>
      <family val="3"/>
      <charset val="128"/>
    </font>
    <font>
      <sz val="16"/>
      <name val="HG丸ｺﾞｼｯｸM-PRO"/>
      <family val="3"/>
      <charset val="128"/>
    </font>
    <font>
      <vertAlign val="subscript"/>
      <sz val="16"/>
      <name val="HG丸ｺﾞｼｯｸM-PRO"/>
      <family val="3"/>
      <charset val="128"/>
    </font>
    <font>
      <sz val="28"/>
      <name val="ＭＳ Ｐゴシック"/>
      <family val="3"/>
      <charset val="128"/>
    </font>
    <font>
      <sz val="9"/>
      <color theme="1"/>
      <name val="ＭＳ Ｐゴシック"/>
      <family val="3"/>
      <charset val="128"/>
    </font>
    <font>
      <vertAlign val="superscript"/>
      <sz val="9"/>
      <name val="ＭＳ Ｐゴシック"/>
      <family val="3"/>
      <charset val="12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17"/>
        <bgColor indexed="64"/>
      </patternFill>
    </fill>
    <fill>
      <patternFill patternType="solid">
        <fgColor indexed="41"/>
        <bgColor indexed="64"/>
      </patternFill>
    </fill>
    <fill>
      <patternFill patternType="solid">
        <fgColor indexed="8"/>
        <bgColor indexed="64"/>
      </patternFill>
    </fill>
    <fill>
      <patternFill patternType="solid">
        <fgColor indexed="47"/>
        <bgColor indexed="64"/>
      </patternFill>
    </fill>
    <fill>
      <patternFill patternType="solid">
        <fgColor indexed="13"/>
        <bgColor indexed="64"/>
      </patternFill>
    </fill>
    <fill>
      <patternFill patternType="solid">
        <fgColor indexed="40"/>
        <bgColor indexed="64"/>
      </patternFill>
    </fill>
    <fill>
      <patternFill patternType="solid">
        <fgColor indexed="55"/>
        <bgColor indexed="64"/>
      </patternFill>
    </fill>
    <fill>
      <patternFill patternType="solid">
        <fgColor indexed="42"/>
        <bgColor indexed="64"/>
      </patternFill>
    </fill>
    <fill>
      <patternFill patternType="solid">
        <fgColor indexed="14"/>
        <bgColor indexed="64"/>
      </patternFill>
    </fill>
    <fill>
      <patternFill patternType="solid">
        <fgColor indexed="22"/>
        <bgColor indexed="45"/>
      </patternFill>
    </fill>
    <fill>
      <patternFill patternType="lightTrellis"/>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1"/>
        <bgColor indexed="64"/>
      </patternFill>
    </fill>
    <fill>
      <patternFill patternType="solid">
        <fgColor theme="0" tint="-0.499984740745262"/>
        <bgColor indexed="64"/>
      </patternFill>
    </fill>
  </fills>
  <borders count="2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style="thin">
        <color indexed="57"/>
      </bottom>
      <diagonal/>
    </border>
    <border>
      <left style="medium">
        <color indexed="17"/>
      </left>
      <right/>
      <top/>
      <bottom/>
      <diagonal/>
    </border>
    <border>
      <left/>
      <right style="medium">
        <color indexed="17"/>
      </right>
      <top/>
      <bottom/>
      <diagonal/>
    </border>
    <border>
      <left style="medium">
        <color indexed="17"/>
      </left>
      <right/>
      <top style="medium">
        <color indexed="17"/>
      </top>
      <bottom/>
      <diagonal/>
    </border>
    <border>
      <left style="medium">
        <color indexed="17"/>
      </left>
      <right style="medium">
        <color indexed="17"/>
      </right>
      <top/>
      <bottom style="medium">
        <color indexed="17"/>
      </bottom>
      <diagonal/>
    </border>
    <border>
      <left style="medium">
        <color indexed="17"/>
      </left>
      <right/>
      <top style="medium">
        <color indexed="17"/>
      </top>
      <bottom style="medium">
        <color indexed="17"/>
      </bottom>
      <diagonal/>
    </border>
    <border>
      <left/>
      <right/>
      <top style="medium">
        <color indexed="17"/>
      </top>
      <bottom/>
      <diagonal/>
    </border>
    <border>
      <left/>
      <right style="medium">
        <color indexed="17"/>
      </right>
      <top style="medium">
        <color indexed="17"/>
      </top>
      <bottom/>
      <diagonal/>
    </border>
    <border>
      <left/>
      <right style="medium">
        <color indexed="17"/>
      </right>
      <top/>
      <bottom style="medium">
        <color indexed="17"/>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diagonal/>
    </border>
    <border>
      <left style="dashed">
        <color indexed="64"/>
      </left>
      <right/>
      <top/>
      <bottom/>
      <diagonal/>
    </border>
    <border>
      <left style="medium">
        <color indexed="64"/>
      </left>
      <right/>
      <top style="medium">
        <color indexed="23"/>
      </top>
      <bottom style="medium">
        <color indexed="23"/>
      </bottom>
      <diagonal/>
    </border>
    <border>
      <left/>
      <right/>
      <top style="medium">
        <color indexed="23"/>
      </top>
      <bottom style="medium">
        <color indexed="23"/>
      </bottom>
      <diagonal/>
    </border>
    <border>
      <left style="thin">
        <color indexed="64"/>
      </left>
      <right style="dashed">
        <color indexed="64"/>
      </right>
      <top style="medium">
        <color indexed="23"/>
      </top>
      <bottom style="medium">
        <color indexed="23"/>
      </bottom>
      <diagonal/>
    </border>
    <border>
      <left style="dashed">
        <color indexed="64"/>
      </left>
      <right style="thin">
        <color indexed="64"/>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style="medium">
        <color indexed="64"/>
      </left>
      <right/>
      <top style="thin">
        <color indexed="64"/>
      </top>
      <bottom style="medium">
        <color indexed="23"/>
      </bottom>
      <diagonal/>
    </border>
    <border>
      <left style="medium">
        <color indexed="64"/>
      </left>
      <right/>
      <top/>
      <bottom style="medium">
        <color indexed="23"/>
      </bottom>
      <diagonal/>
    </border>
    <border>
      <left/>
      <right style="medium">
        <color indexed="64"/>
      </right>
      <top style="medium">
        <color indexed="23"/>
      </top>
      <bottom style="medium">
        <color indexed="23"/>
      </bottom>
      <diagonal/>
    </border>
    <border>
      <left/>
      <right/>
      <top style="medium">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dashed">
        <color indexed="64"/>
      </left>
      <right style="thin">
        <color indexed="64"/>
      </right>
      <top/>
      <bottom/>
      <diagonal/>
    </border>
    <border>
      <left style="medium">
        <color indexed="64"/>
      </left>
      <right style="medium">
        <color indexed="64"/>
      </right>
      <top/>
      <bottom/>
      <diagonal/>
    </border>
    <border>
      <left style="thin">
        <color indexed="64"/>
      </left>
      <right style="dashed">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dashed">
        <color indexed="64"/>
      </right>
      <top style="medium">
        <color indexed="23"/>
      </top>
      <bottom style="thin">
        <color indexed="64"/>
      </bottom>
      <diagonal/>
    </border>
    <border>
      <left/>
      <right/>
      <top style="thin">
        <color indexed="64"/>
      </top>
      <bottom style="medium">
        <color indexed="64"/>
      </bottom>
      <diagonal/>
    </border>
    <border>
      <left style="medium">
        <color indexed="64"/>
      </left>
      <right/>
      <top style="medium">
        <color indexed="23"/>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style="medium">
        <color indexed="64"/>
      </top>
      <bottom style="medium">
        <color indexed="23"/>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ashed">
        <color indexed="64"/>
      </left>
      <right style="thin">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64"/>
      </left>
      <right style="dashed">
        <color indexed="64"/>
      </right>
      <top style="medium">
        <color indexed="23"/>
      </top>
      <bottom/>
      <diagonal/>
    </border>
    <border>
      <left/>
      <right style="thin">
        <color indexed="64"/>
      </right>
      <top style="medium">
        <color indexed="23"/>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hair">
        <color indexed="64"/>
      </bottom>
      <diagonal/>
    </border>
    <border>
      <left style="medium">
        <color indexed="9"/>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64"/>
      </left>
      <right style="medium">
        <color indexed="17"/>
      </right>
      <top style="thin">
        <color indexed="64"/>
      </top>
      <bottom style="thin">
        <color indexed="64"/>
      </bottom>
      <diagonal/>
    </border>
    <border>
      <left style="dashed">
        <color indexed="64"/>
      </left>
      <right style="medium">
        <color indexed="64"/>
      </right>
      <top/>
      <bottom style="thin">
        <color indexed="64"/>
      </bottom>
      <diagonal/>
    </border>
    <border>
      <left style="medium">
        <color indexed="17"/>
      </left>
      <right/>
      <top style="hair">
        <color indexed="64"/>
      </top>
      <bottom style="hair">
        <color indexed="64"/>
      </bottom>
      <diagonal/>
    </border>
    <border>
      <left/>
      <right/>
      <top/>
      <bottom style="medium">
        <color indexed="17"/>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23"/>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17"/>
      </left>
      <right style="thin">
        <color indexed="64"/>
      </right>
      <top/>
      <bottom/>
      <diagonal/>
    </border>
    <border>
      <left style="medium">
        <color indexed="64"/>
      </left>
      <right style="thin">
        <color indexed="64"/>
      </right>
      <top style="hair">
        <color indexed="64"/>
      </top>
      <bottom/>
      <diagonal/>
    </border>
    <border>
      <left style="medium">
        <color indexed="17"/>
      </left>
      <right style="medium">
        <color indexed="17"/>
      </right>
      <top/>
      <bottom/>
      <diagonal/>
    </border>
    <border>
      <left style="medium">
        <color indexed="17"/>
      </left>
      <right style="medium">
        <color indexed="17"/>
      </right>
      <top style="thin">
        <color indexed="9"/>
      </top>
      <bottom style="thin">
        <color indexed="9"/>
      </bottom>
      <diagonal/>
    </border>
    <border>
      <left/>
      <right style="medium">
        <color indexed="17"/>
      </right>
      <top style="hair">
        <color indexed="64"/>
      </top>
      <bottom style="hair">
        <color indexed="64"/>
      </bottom>
      <diagonal/>
    </border>
    <border>
      <left/>
      <right style="medium">
        <color indexed="57"/>
      </right>
      <top style="hair">
        <color indexed="64"/>
      </top>
      <bottom style="hair">
        <color indexed="64"/>
      </bottom>
      <diagonal/>
    </border>
    <border>
      <left style="medium">
        <color indexed="17"/>
      </left>
      <right style="medium">
        <color indexed="17"/>
      </right>
      <top style="medium">
        <color indexed="17"/>
      </top>
      <bottom/>
      <diagonal/>
    </border>
    <border>
      <left style="medium">
        <color indexed="17"/>
      </left>
      <right/>
      <top style="medium">
        <color indexed="17"/>
      </top>
      <bottom style="hair">
        <color indexed="64"/>
      </bottom>
      <diagonal/>
    </border>
    <border>
      <left/>
      <right style="medium">
        <color indexed="17"/>
      </right>
      <top style="medium">
        <color indexed="17"/>
      </top>
      <bottom style="hair">
        <color indexed="64"/>
      </bottom>
      <diagonal/>
    </border>
    <border>
      <left style="thin">
        <color indexed="64"/>
      </left>
      <right style="thin">
        <color indexed="64"/>
      </right>
      <top/>
      <bottom style="medium">
        <color indexed="17"/>
      </bottom>
      <diagonal/>
    </border>
    <border>
      <left style="medium">
        <color indexed="64"/>
      </left>
      <right/>
      <top style="hair">
        <color indexed="64"/>
      </top>
      <bottom style="hair">
        <color indexed="64"/>
      </bottom>
      <diagonal/>
    </border>
    <border>
      <left/>
      <right/>
      <top style="medium">
        <color indexed="17"/>
      </top>
      <bottom style="hair">
        <color indexed="64"/>
      </bottom>
      <diagonal/>
    </border>
    <border>
      <left/>
      <right style="medium">
        <color indexed="57"/>
      </right>
      <top/>
      <bottom style="medium">
        <color indexed="17"/>
      </bottom>
      <diagonal/>
    </border>
    <border>
      <left style="medium">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17"/>
      </right>
      <top style="thin">
        <color indexed="64"/>
      </top>
      <bottom/>
      <diagonal/>
    </border>
    <border>
      <left/>
      <right style="medium">
        <color indexed="17"/>
      </right>
      <top/>
      <bottom style="thin">
        <color indexed="64"/>
      </bottom>
      <diagonal/>
    </border>
    <border>
      <left style="thin">
        <color indexed="64"/>
      </left>
      <right style="medium">
        <color indexed="17"/>
      </right>
      <top style="thin">
        <color indexed="64"/>
      </top>
      <bottom/>
      <diagonal/>
    </border>
    <border>
      <left style="thin">
        <color indexed="64"/>
      </left>
      <right style="medium">
        <color indexed="17"/>
      </right>
      <top/>
      <bottom style="thin">
        <color indexed="64"/>
      </bottom>
      <diagonal/>
    </border>
    <border>
      <left style="thin">
        <color indexed="64"/>
      </left>
      <right style="medium">
        <color indexed="17"/>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medium">
        <color indexed="23"/>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diagonal/>
    </border>
    <border>
      <left style="medium">
        <color indexed="64"/>
      </left>
      <right/>
      <top style="dotted">
        <color indexed="64"/>
      </top>
      <bottom/>
      <diagonal/>
    </border>
    <border>
      <left/>
      <right/>
      <top style="dotted">
        <color indexed="64"/>
      </top>
      <bottom/>
      <diagonal/>
    </border>
    <border>
      <left style="medium">
        <color indexed="64"/>
      </left>
      <right/>
      <top/>
      <bottom style="dotted">
        <color indexed="64"/>
      </bottom>
      <diagonal/>
    </border>
    <border>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auto="1"/>
      </top>
      <bottom style="dotted">
        <color auto="1"/>
      </bottom>
      <diagonal/>
    </border>
    <border>
      <left/>
      <right/>
      <top style="dashed">
        <color auto="1"/>
      </top>
      <bottom style="dotted">
        <color auto="1"/>
      </bottom>
      <diagonal/>
    </border>
    <border>
      <left/>
      <right style="dotted">
        <color indexed="64"/>
      </right>
      <top style="dotted">
        <color auto="1"/>
      </top>
      <bottom style="dotted">
        <color auto="1"/>
      </bottom>
      <diagonal/>
    </border>
    <border>
      <left style="medium">
        <color indexed="64"/>
      </left>
      <right/>
      <top style="dotted">
        <color auto="1"/>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style="dotted">
        <color auto="1"/>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style="dotted">
        <color auto="1"/>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51">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130" fillId="12" borderId="0" applyNumberFormat="0" applyBorder="0" applyAlignment="0" applyProtection="0">
      <alignment vertical="center"/>
    </xf>
    <xf numFmtId="0" fontId="130" fillId="9" borderId="0" applyNumberFormat="0" applyBorder="0" applyAlignment="0" applyProtection="0">
      <alignment vertical="center"/>
    </xf>
    <xf numFmtId="0" fontId="130" fillId="10"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30" fillId="15" borderId="0" applyNumberFormat="0" applyBorder="0" applyAlignment="0" applyProtection="0">
      <alignment vertical="center"/>
    </xf>
    <xf numFmtId="0" fontId="130" fillId="16" borderId="0" applyNumberFormat="0" applyBorder="0" applyAlignment="0" applyProtection="0">
      <alignment vertical="center"/>
    </xf>
    <xf numFmtId="0" fontId="130" fillId="17" borderId="0" applyNumberFormat="0" applyBorder="0" applyAlignment="0" applyProtection="0">
      <alignment vertical="center"/>
    </xf>
    <xf numFmtId="0" fontId="130" fillId="18"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30" fillId="19" borderId="0" applyNumberFormat="0" applyBorder="0" applyAlignment="0" applyProtection="0">
      <alignment vertical="center"/>
    </xf>
    <xf numFmtId="0" fontId="136" fillId="0" borderId="0" applyNumberFormat="0" applyFill="0" applyBorder="0" applyAlignment="0" applyProtection="0">
      <alignment vertical="center"/>
    </xf>
    <xf numFmtId="0" fontId="120" fillId="20" borderId="1" applyNumberFormat="0" applyAlignment="0" applyProtection="0">
      <alignment vertical="center"/>
    </xf>
    <xf numFmtId="0" fontId="137" fillId="21" borderId="0" applyNumberFormat="0" applyBorder="0" applyAlignment="0" applyProtection="0">
      <alignment vertical="center"/>
    </xf>
    <xf numFmtId="9" fontId="2" fillId="0" borderId="0" applyFont="0" applyFill="0" applyBorder="0" applyAlignment="0" applyProtection="0">
      <alignment vertical="center"/>
    </xf>
    <xf numFmtId="0" fontId="71"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8" fillId="0" borderId="3" applyNumberFormat="0" applyFill="0" applyAlignment="0" applyProtection="0">
      <alignment vertical="center"/>
    </xf>
    <xf numFmtId="0" fontId="139" fillId="3" borderId="0" applyNumberFormat="0" applyBorder="0" applyAlignment="0" applyProtection="0">
      <alignment vertical="center"/>
    </xf>
    <xf numFmtId="0" fontId="140" fillId="23" borderId="4" applyNumberFormat="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1" fillId="0" borderId="5" applyNumberFormat="0" applyFill="0" applyAlignment="0" applyProtection="0">
      <alignment vertical="center"/>
    </xf>
    <xf numFmtId="0" fontId="142" fillId="0" borderId="6" applyNumberFormat="0" applyFill="0" applyAlignment="0" applyProtection="0">
      <alignment vertical="center"/>
    </xf>
    <xf numFmtId="0" fontId="143" fillId="0" borderId="7" applyNumberFormat="0" applyFill="0" applyAlignment="0" applyProtection="0">
      <alignment vertical="center"/>
    </xf>
    <xf numFmtId="0" fontId="143" fillId="0" borderId="0" applyNumberFormat="0" applyFill="0" applyBorder="0" applyAlignment="0" applyProtection="0">
      <alignment vertical="center"/>
    </xf>
    <xf numFmtId="0" fontId="63" fillId="0" borderId="8" applyNumberFormat="0" applyFill="0" applyAlignment="0" applyProtection="0">
      <alignment vertical="center"/>
    </xf>
    <xf numFmtId="0" fontId="144" fillId="23" borderId="9" applyNumberFormat="0" applyAlignment="0" applyProtection="0">
      <alignment vertical="center"/>
    </xf>
    <xf numFmtId="0" fontId="145" fillId="0" borderId="0" applyNumberFormat="0" applyFill="0" applyBorder="0" applyAlignment="0" applyProtection="0">
      <alignment vertical="center"/>
    </xf>
    <xf numFmtId="0" fontId="146" fillId="7" borderId="4" applyNumberFormat="0" applyAlignment="0" applyProtection="0">
      <alignment vertical="center"/>
    </xf>
    <xf numFmtId="0" fontId="2" fillId="0" borderId="0"/>
    <xf numFmtId="0" fontId="37" fillId="0" borderId="0"/>
    <xf numFmtId="0" fontId="147" fillId="4"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539">
    <xf numFmtId="0" fontId="0" fillId="0" borderId="0" xfId="0">
      <alignment vertical="center"/>
    </xf>
    <xf numFmtId="0" fontId="13" fillId="24" borderId="10" xfId="0" applyFont="1" applyFill="1" applyBorder="1" applyAlignment="1" applyProtection="1">
      <alignment horizontal="right" vertical="center"/>
      <protection locked="0"/>
    </xf>
    <xf numFmtId="0" fontId="3" fillId="24" borderId="0" xfId="0" applyFont="1" applyFill="1" applyProtection="1">
      <alignment vertical="center"/>
    </xf>
    <xf numFmtId="179" fontId="3" fillId="24" borderId="0" xfId="0" applyNumberFormat="1" applyFont="1" applyFill="1" applyBorder="1" applyAlignment="1" applyProtection="1">
      <alignment horizontal="center" vertical="center"/>
    </xf>
    <xf numFmtId="0" fontId="68" fillId="24" borderId="0" xfId="0" applyFont="1" applyFill="1" applyProtection="1">
      <alignment vertical="center"/>
    </xf>
    <xf numFmtId="0" fontId="3" fillId="0" borderId="0" xfId="0" applyFont="1" applyFill="1" applyProtection="1">
      <alignment vertical="center"/>
    </xf>
    <xf numFmtId="0" fontId="3" fillId="0" borderId="0" xfId="0" applyFont="1" applyProtection="1">
      <alignment vertical="center"/>
    </xf>
    <xf numFmtId="0" fontId="3" fillId="24" borderId="11" xfId="0" applyFont="1" applyFill="1" applyBorder="1" applyProtection="1">
      <alignment vertical="center"/>
    </xf>
    <xf numFmtId="0" fontId="0" fillId="25" borderId="0" xfId="0" applyFill="1" applyAlignment="1" applyProtection="1">
      <alignment vertical="center"/>
    </xf>
    <xf numFmtId="0" fontId="0" fillId="24" borderId="0" xfId="0" applyFill="1">
      <alignment vertical="center"/>
    </xf>
    <xf numFmtId="0" fontId="0" fillId="25" borderId="0" xfId="0" applyFill="1" applyProtection="1">
      <alignment vertical="center"/>
    </xf>
    <xf numFmtId="0" fontId="0" fillId="25" borderId="0" xfId="0" applyFill="1" applyAlignment="1" applyProtection="1">
      <alignment horizontal="center"/>
    </xf>
    <xf numFmtId="0" fontId="0" fillId="0" borderId="0" xfId="0" applyFill="1" applyProtection="1">
      <alignment vertical="center"/>
    </xf>
    <xf numFmtId="0" fontId="0" fillId="0" borderId="0" xfId="0" applyFill="1" applyAlignment="1" applyProtection="1">
      <alignment vertical="center"/>
    </xf>
    <xf numFmtId="0" fontId="13" fillId="0" borderId="0" xfId="0" applyFont="1" applyFill="1" applyProtection="1">
      <alignment vertical="center"/>
    </xf>
    <xf numFmtId="0" fontId="13" fillId="25" borderId="10" xfId="0" applyFont="1" applyFill="1" applyBorder="1" applyProtection="1">
      <alignment vertical="center"/>
    </xf>
    <xf numFmtId="2" fontId="3" fillId="25" borderId="0" xfId="0" applyNumberFormat="1" applyFont="1" applyFill="1" applyBorder="1" applyAlignment="1" applyProtection="1">
      <alignment horizontal="left" vertical="center"/>
    </xf>
    <xf numFmtId="0" fontId="13" fillId="25" borderId="0" xfId="0" applyFont="1" applyFill="1" applyProtection="1">
      <alignment vertical="center"/>
    </xf>
    <xf numFmtId="0" fontId="0" fillId="25" borderId="0" xfId="0" applyFill="1" applyAlignment="1" applyProtection="1"/>
    <xf numFmtId="0" fontId="0" fillId="0" borderId="0" xfId="0" applyFill="1" applyAlignment="1" applyProtection="1"/>
    <xf numFmtId="0" fontId="13" fillId="25" borderId="0" xfId="0" applyFont="1" applyFill="1" applyBorder="1" applyAlignment="1" applyProtection="1">
      <alignment vertical="center"/>
    </xf>
    <xf numFmtId="0" fontId="0" fillId="25" borderId="0" xfId="0" applyFill="1" applyBorder="1" applyAlignment="1" applyProtection="1">
      <alignment horizontal="left" vertical="center" indent="1"/>
    </xf>
    <xf numFmtId="3" fontId="28" fillId="25" borderId="0" xfId="0" applyNumberFormat="1" applyFont="1" applyFill="1" applyBorder="1" applyAlignment="1" applyProtection="1">
      <alignment horizontal="left"/>
    </xf>
    <xf numFmtId="0" fontId="0" fillId="0" borderId="0" xfId="0" applyProtection="1">
      <alignment vertical="center"/>
    </xf>
    <xf numFmtId="0" fontId="39" fillId="24" borderId="0" xfId="0" applyFont="1" applyFill="1" applyProtection="1">
      <alignment vertical="center"/>
    </xf>
    <xf numFmtId="0" fontId="34" fillId="24" borderId="0" xfId="0" applyFont="1" applyFill="1" applyProtection="1">
      <alignment vertical="center"/>
    </xf>
    <xf numFmtId="0" fontId="39" fillId="0" borderId="0" xfId="0" applyFont="1" applyProtection="1">
      <alignment vertical="center"/>
    </xf>
    <xf numFmtId="0" fontId="6" fillId="25" borderId="0" xfId="0" applyFont="1" applyFill="1" applyAlignment="1" applyProtection="1">
      <alignment vertical="center"/>
    </xf>
    <xf numFmtId="31" fontId="13" fillId="24" borderId="10" xfId="0" applyNumberFormat="1" applyFont="1" applyFill="1" applyBorder="1" applyAlignment="1" applyProtection="1">
      <alignment horizontal="right" vertical="center"/>
      <protection locked="0"/>
    </xf>
    <xf numFmtId="181" fontId="13" fillId="24" borderId="10" xfId="0" applyNumberFormat="1" applyFont="1" applyFill="1" applyBorder="1" applyAlignment="1" applyProtection="1">
      <alignment horizontal="right" vertical="center"/>
      <protection locked="0"/>
    </xf>
    <xf numFmtId="0" fontId="3" fillId="24" borderId="0" xfId="0" applyFont="1" applyFill="1" applyProtection="1">
      <alignment vertical="center"/>
      <protection hidden="1"/>
    </xf>
    <xf numFmtId="0" fontId="69" fillId="24" borderId="0" xfId="0" applyFont="1" applyFill="1" applyProtection="1">
      <alignment vertical="center"/>
      <protection hidden="1"/>
    </xf>
    <xf numFmtId="0" fontId="3" fillId="24" borderId="0" xfId="0" applyFont="1" applyFill="1" applyAlignment="1" applyProtection="1">
      <alignment horizontal="left" vertical="center"/>
      <protection hidden="1"/>
    </xf>
    <xf numFmtId="0" fontId="39" fillId="24" borderId="0" xfId="0" applyFont="1" applyFill="1" applyProtection="1">
      <alignment vertical="center"/>
      <protection hidden="1"/>
    </xf>
    <xf numFmtId="0" fontId="34" fillId="24" borderId="0" xfId="0" applyFont="1" applyFill="1" applyProtection="1">
      <alignment vertical="center"/>
      <protection hidden="1"/>
    </xf>
    <xf numFmtId="0" fontId="34" fillId="24" borderId="0" xfId="0" applyFont="1" applyFill="1" applyBorder="1" applyAlignment="1" applyProtection="1">
      <alignment horizontal="left" vertical="center"/>
      <protection hidden="1"/>
    </xf>
    <xf numFmtId="179" fontId="10" fillId="25" borderId="12" xfId="0" applyNumberFormat="1" applyFont="1" applyFill="1" applyBorder="1" applyAlignment="1" applyProtection="1">
      <alignment horizontal="center" vertical="center"/>
      <protection hidden="1"/>
    </xf>
    <xf numFmtId="179" fontId="10" fillId="25" borderId="13" xfId="0" applyNumberFormat="1" applyFont="1" applyFill="1" applyBorder="1" applyAlignment="1" applyProtection="1">
      <alignment horizontal="center" vertical="center"/>
      <protection hidden="1"/>
    </xf>
    <xf numFmtId="179" fontId="3" fillId="24" borderId="0" xfId="0" applyNumberFormat="1" applyFont="1" applyFill="1" applyBorder="1" applyAlignment="1" applyProtection="1">
      <alignment horizontal="center" vertical="center"/>
      <protection hidden="1"/>
    </xf>
    <xf numFmtId="179" fontId="10" fillId="25" borderId="14" xfId="0" applyNumberFormat="1" applyFont="1" applyFill="1" applyBorder="1" applyAlignment="1" applyProtection="1">
      <alignment horizontal="center" vertical="center"/>
      <protection hidden="1"/>
    </xf>
    <xf numFmtId="0" fontId="34" fillId="24" borderId="0" xfId="0" applyFont="1" applyFill="1" applyAlignment="1" applyProtection="1">
      <alignment horizontal="left" vertical="center"/>
      <protection hidden="1"/>
    </xf>
    <xf numFmtId="0" fontId="3" fillId="0" borderId="0" xfId="0" applyFont="1" applyFill="1" applyProtection="1">
      <alignment vertical="center"/>
      <protection hidden="1"/>
    </xf>
    <xf numFmtId="179" fontId="3" fillId="24" borderId="0" xfId="0" applyNumberFormat="1" applyFont="1" applyFill="1" applyBorder="1" applyAlignment="1" applyProtection="1">
      <alignment vertical="center"/>
      <protection hidden="1"/>
    </xf>
    <xf numFmtId="179" fontId="10" fillId="25" borderId="15" xfId="0" applyNumberFormat="1" applyFont="1" applyFill="1" applyBorder="1" applyAlignment="1" applyProtection="1">
      <alignment horizontal="center" vertical="center"/>
      <protection hidden="1"/>
    </xf>
    <xf numFmtId="0" fontId="3" fillId="24" borderId="0" xfId="0" applyFont="1" applyFill="1" applyAlignment="1" applyProtection="1">
      <alignment horizontal="left" vertical="top"/>
      <protection hidden="1"/>
    </xf>
    <xf numFmtId="0" fontId="62" fillId="24" borderId="0" xfId="0" applyFont="1" applyFill="1" applyProtection="1">
      <alignment vertical="center"/>
      <protection hidden="1"/>
    </xf>
    <xf numFmtId="0" fontId="69" fillId="24" borderId="0" xfId="0" applyFont="1" applyFill="1" applyAlignment="1" applyProtection="1">
      <alignment horizontal="left" vertical="top"/>
      <protection hidden="1"/>
    </xf>
    <xf numFmtId="0" fontId="69" fillId="0" borderId="0" xfId="0" applyFont="1" applyProtection="1">
      <alignment vertical="center"/>
      <protection hidden="1"/>
    </xf>
    <xf numFmtId="0" fontId="39" fillId="24" borderId="0" xfId="0" applyFont="1" applyFill="1" applyAlignment="1" applyProtection="1">
      <alignment horizontal="left" vertical="top"/>
      <protection hidden="1"/>
    </xf>
    <xf numFmtId="0" fontId="3" fillId="0" borderId="0" xfId="0" applyFont="1" applyProtection="1">
      <alignment vertical="center"/>
      <protection hidden="1"/>
    </xf>
    <xf numFmtId="179" fontId="3" fillId="24" borderId="16" xfId="0" applyNumberFormat="1" applyFont="1" applyFill="1" applyBorder="1" applyAlignment="1" applyProtection="1">
      <alignment horizontal="center" vertical="center"/>
      <protection hidden="1"/>
    </xf>
    <xf numFmtId="0" fontId="3" fillId="24" borderId="0" xfId="0" applyFont="1" applyFill="1" applyBorder="1" applyAlignment="1" applyProtection="1">
      <alignment vertical="center"/>
      <protection hidden="1"/>
    </xf>
    <xf numFmtId="2" fontId="3" fillId="26" borderId="17" xfId="0" applyNumberFormat="1" applyFont="1" applyFill="1" applyBorder="1" applyAlignment="1" applyProtection="1">
      <alignment horizontal="left" vertical="center"/>
      <protection hidden="1"/>
    </xf>
    <xf numFmtId="179" fontId="3" fillId="25" borderId="18" xfId="0" applyNumberFormat="1" applyFont="1" applyFill="1" applyBorder="1" applyAlignment="1" applyProtection="1">
      <alignment horizontal="left" vertical="center"/>
      <protection hidden="1"/>
    </xf>
    <xf numFmtId="0" fontId="2" fillId="24" borderId="0" xfId="0" applyFont="1" applyFill="1" applyProtection="1">
      <alignment vertical="center"/>
      <protection hidden="1"/>
    </xf>
    <xf numFmtId="0" fontId="3" fillId="24" borderId="0" xfId="0" applyFont="1" applyFill="1" applyAlignment="1" applyProtection="1">
      <alignment vertical="center"/>
      <protection hidden="1"/>
    </xf>
    <xf numFmtId="0" fontId="7" fillId="24" borderId="0" xfId="0" applyFont="1" applyFill="1" applyAlignment="1" applyProtection="1">
      <alignment vertical="center"/>
      <protection hidden="1"/>
    </xf>
    <xf numFmtId="0" fontId="3" fillId="25" borderId="0" xfId="0" applyFont="1" applyFill="1" applyBorder="1" applyAlignment="1" applyProtection="1">
      <alignment horizontal="left" vertical="center"/>
      <protection hidden="1"/>
    </xf>
    <xf numFmtId="0" fontId="0" fillId="25" borderId="0" xfId="0" applyFill="1" applyAlignment="1" applyProtection="1">
      <alignment vertical="center"/>
      <protection hidden="1"/>
    </xf>
    <xf numFmtId="0" fontId="0" fillId="24" borderId="0" xfId="0" applyFill="1" applyProtection="1">
      <alignment vertical="center"/>
      <protection hidden="1"/>
    </xf>
    <xf numFmtId="0" fontId="36" fillId="24" borderId="0" xfId="45" applyFont="1" applyFill="1" applyProtection="1">
      <protection hidden="1"/>
    </xf>
    <xf numFmtId="0" fontId="45" fillId="24" borderId="19" xfId="0" applyFont="1" applyFill="1" applyBorder="1" applyAlignment="1" applyProtection="1">
      <alignment vertical="center"/>
      <protection hidden="1"/>
    </xf>
    <xf numFmtId="0" fontId="44" fillId="24" borderId="0" xfId="0" applyFont="1" applyFill="1" applyBorder="1" applyAlignment="1" applyProtection="1">
      <alignment horizontal="left" vertical="center"/>
      <protection hidden="1"/>
    </xf>
    <xf numFmtId="0" fontId="44" fillId="24" borderId="0" xfId="0" applyFont="1" applyFill="1" applyBorder="1" applyAlignment="1" applyProtection="1">
      <alignment horizontal="right" vertical="center"/>
      <protection hidden="1"/>
    </xf>
    <xf numFmtId="0" fontId="44" fillId="24" borderId="0" xfId="0" applyFont="1" applyFill="1" applyBorder="1" applyAlignment="1" applyProtection="1">
      <alignment vertical="center"/>
      <protection hidden="1"/>
    </xf>
    <xf numFmtId="0" fontId="45" fillId="24" borderId="0" xfId="0" applyFont="1" applyFill="1" applyBorder="1" applyAlignment="1" applyProtection="1">
      <alignment vertical="center"/>
      <protection hidden="1"/>
    </xf>
    <xf numFmtId="0" fontId="45" fillId="24" borderId="0" xfId="0" applyFont="1" applyFill="1" applyBorder="1" applyAlignment="1" applyProtection="1">
      <alignment horizontal="center" vertical="center"/>
      <protection hidden="1"/>
    </xf>
    <xf numFmtId="0" fontId="18" fillId="24" borderId="0" xfId="0" applyFont="1" applyFill="1" applyBorder="1" applyAlignment="1" applyProtection="1">
      <alignment vertical="center"/>
      <protection hidden="1"/>
    </xf>
    <xf numFmtId="0" fontId="18" fillId="24" borderId="0" xfId="0" applyFont="1" applyFill="1" applyBorder="1" applyAlignment="1" applyProtection="1">
      <alignment horizontal="right" vertical="center"/>
      <protection hidden="1"/>
    </xf>
    <xf numFmtId="0" fontId="48" fillId="24" borderId="0" xfId="0" applyFont="1" applyFill="1" applyBorder="1" applyAlignment="1" applyProtection="1">
      <alignment vertical="center"/>
      <protection hidden="1"/>
    </xf>
    <xf numFmtId="0" fontId="55" fillId="27" borderId="0" xfId="0" applyFont="1" applyFill="1" applyBorder="1" applyAlignment="1" applyProtection="1">
      <alignment horizontal="right" vertical="center"/>
      <protection hidden="1"/>
    </xf>
    <xf numFmtId="0" fontId="52" fillId="27" borderId="0" xfId="0" applyFont="1" applyFill="1" applyBorder="1" applyAlignment="1" applyProtection="1">
      <alignment vertical="center"/>
      <protection hidden="1"/>
    </xf>
    <xf numFmtId="0" fontId="56" fillId="24" borderId="0" xfId="0" applyFont="1" applyFill="1" applyBorder="1" applyAlignment="1" applyProtection="1">
      <alignment vertical="center"/>
      <protection hidden="1"/>
    </xf>
    <xf numFmtId="182" fontId="56" fillId="24" borderId="0" xfId="0" applyNumberFormat="1" applyFont="1" applyFill="1" applyBorder="1" applyAlignment="1" applyProtection="1">
      <alignment horizontal="left" vertical="center"/>
      <protection hidden="1"/>
    </xf>
    <xf numFmtId="0" fontId="38" fillId="24" borderId="0" xfId="0" applyFont="1" applyFill="1" applyBorder="1" applyProtection="1">
      <alignment vertical="center"/>
      <protection hidden="1"/>
    </xf>
    <xf numFmtId="0" fontId="56" fillId="24" borderId="0" xfId="0" applyFont="1" applyFill="1" applyBorder="1" applyAlignment="1" applyProtection="1">
      <alignment horizontal="left" vertical="center"/>
      <protection hidden="1"/>
    </xf>
    <xf numFmtId="0" fontId="38" fillId="24" borderId="20" xfId="0" applyFont="1" applyFill="1" applyBorder="1" applyProtection="1">
      <alignment vertical="center"/>
      <protection hidden="1"/>
    </xf>
    <xf numFmtId="0" fontId="57" fillId="24" borderId="0" xfId="0" applyFont="1" applyFill="1" applyBorder="1" applyAlignment="1" applyProtection="1">
      <alignment vertical="center"/>
      <protection hidden="1"/>
    </xf>
    <xf numFmtId="0" fontId="58" fillId="24" borderId="0" xfId="0" applyFont="1" applyFill="1" applyBorder="1" applyAlignment="1" applyProtection="1">
      <alignment horizontal="left" vertical="center"/>
      <protection hidden="1"/>
    </xf>
    <xf numFmtId="0" fontId="59" fillId="24" borderId="0" xfId="0" applyFont="1" applyFill="1" applyBorder="1" applyAlignment="1" applyProtection="1">
      <alignment horizontal="right" vertical="center"/>
      <protection hidden="1"/>
    </xf>
    <xf numFmtId="0" fontId="60" fillId="24" borderId="0" xfId="0" applyFont="1" applyFill="1" applyBorder="1" applyAlignment="1" applyProtection="1">
      <alignment horizontal="right" vertical="center"/>
      <protection hidden="1"/>
    </xf>
    <xf numFmtId="0" fontId="61" fillId="24" borderId="0" xfId="0" applyFont="1" applyFill="1" applyBorder="1" applyProtection="1">
      <alignment vertical="center"/>
      <protection hidden="1"/>
    </xf>
    <xf numFmtId="182" fontId="19" fillId="24" borderId="0" xfId="0" applyNumberFormat="1" applyFont="1" applyFill="1" applyBorder="1" applyAlignment="1" applyProtection="1">
      <alignment horizontal="left" vertical="center"/>
      <protection hidden="1"/>
    </xf>
    <xf numFmtId="0" fontId="45" fillId="24" borderId="21" xfId="0" applyFont="1" applyFill="1" applyBorder="1" applyAlignment="1" applyProtection="1">
      <alignment horizontal="center" vertical="center"/>
      <protection hidden="1"/>
    </xf>
    <xf numFmtId="0" fontId="45" fillId="24" borderId="21" xfId="0" applyFont="1" applyFill="1" applyBorder="1" applyAlignment="1" applyProtection="1">
      <alignment vertical="center"/>
      <protection hidden="1"/>
    </xf>
    <xf numFmtId="0" fontId="38" fillId="24" borderId="21" xfId="0" applyFont="1" applyFill="1" applyBorder="1" applyProtection="1">
      <alignment vertical="center"/>
      <protection hidden="1"/>
    </xf>
    <xf numFmtId="0" fontId="38" fillId="24" borderId="22" xfId="0" applyFont="1" applyFill="1" applyBorder="1" applyProtection="1">
      <alignment vertical="center"/>
      <protection hidden="1"/>
    </xf>
    <xf numFmtId="0" fontId="48" fillId="24" borderId="23" xfId="0" applyFont="1" applyFill="1" applyBorder="1" applyAlignment="1" applyProtection="1">
      <alignment vertical="center"/>
      <protection hidden="1"/>
    </xf>
    <xf numFmtId="1" fontId="18" fillId="24" borderId="0" xfId="0" applyNumberFormat="1" applyFont="1" applyFill="1" applyBorder="1" applyAlignment="1" applyProtection="1">
      <alignment vertical="center"/>
      <protection hidden="1"/>
    </xf>
    <xf numFmtId="0" fontId="48" fillId="24" borderId="20" xfId="0" applyFont="1" applyFill="1" applyBorder="1" applyAlignment="1" applyProtection="1">
      <alignment vertical="center"/>
      <protection hidden="1"/>
    </xf>
    <xf numFmtId="0" fontId="48" fillId="24" borderId="0" xfId="0" applyFont="1" applyFill="1" applyBorder="1" applyAlignment="1" applyProtection="1">
      <alignment horizontal="right" vertical="center"/>
      <protection hidden="1"/>
    </xf>
    <xf numFmtId="0" fontId="19" fillId="24" borderId="0" xfId="0" applyFont="1" applyFill="1" applyBorder="1" applyAlignment="1" applyProtection="1">
      <alignment horizontal="left" vertical="center"/>
      <protection hidden="1"/>
    </xf>
    <xf numFmtId="0" fontId="18" fillId="24" borderId="23" xfId="0" applyFont="1" applyFill="1" applyBorder="1" applyAlignment="1" applyProtection="1">
      <alignment vertical="center"/>
      <protection hidden="1"/>
    </xf>
    <xf numFmtId="0" fontId="18" fillId="24" borderId="24" xfId="0" applyFont="1" applyFill="1" applyBorder="1" applyAlignment="1" applyProtection="1">
      <alignment vertical="center"/>
      <protection hidden="1"/>
    </xf>
    <xf numFmtId="0" fontId="18" fillId="24" borderId="19" xfId="0" applyFont="1" applyFill="1" applyBorder="1" applyAlignment="1" applyProtection="1">
      <alignment vertical="center"/>
      <protection hidden="1"/>
    </xf>
    <xf numFmtId="0" fontId="18" fillId="24" borderId="19" xfId="0" applyFont="1" applyFill="1" applyBorder="1" applyAlignment="1" applyProtection="1">
      <alignment horizontal="right" vertical="center"/>
      <protection hidden="1"/>
    </xf>
    <xf numFmtId="0" fontId="19" fillId="24" borderId="19" xfId="0" applyFont="1" applyFill="1" applyBorder="1" applyAlignment="1" applyProtection="1">
      <alignment horizontal="left" vertical="center"/>
      <protection hidden="1"/>
    </xf>
    <xf numFmtId="0" fontId="38" fillId="24" borderId="19" xfId="0" applyFont="1" applyFill="1" applyBorder="1" applyProtection="1">
      <alignment vertical="center"/>
      <protection hidden="1"/>
    </xf>
    <xf numFmtId="0" fontId="48" fillId="24" borderId="19" xfId="0" applyFont="1" applyFill="1" applyBorder="1" applyAlignment="1" applyProtection="1">
      <alignment vertical="center"/>
      <protection hidden="1"/>
    </xf>
    <xf numFmtId="0" fontId="48" fillId="24" borderId="25" xfId="0" applyFont="1" applyFill="1" applyBorder="1" applyAlignment="1" applyProtection="1">
      <alignment vertical="center"/>
      <protection hidden="1"/>
    </xf>
    <xf numFmtId="0" fontId="67" fillId="24" borderId="0" xfId="0" applyFont="1" applyFill="1" applyBorder="1" applyAlignment="1" applyProtection="1">
      <alignment vertical="center"/>
      <protection hidden="1"/>
    </xf>
    <xf numFmtId="0" fontId="19" fillId="24" borderId="0" xfId="0" applyFont="1" applyFill="1" applyBorder="1" applyAlignment="1" applyProtection="1">
      <alignment horizontal="right" vertical="center"/>
      <protection hidden="1"/>
    </xf>
    <xf numFmtId="0" fontId="30" fillId="28" borderId="26" xfId="0" applyFont="1" applyFill="1" applyBorder="1" applyAlignment="1" applyProtection="1">
      <alignment horizontal="left" vertical="center"/>
      <protection hidden="1"/>
    </xf>
    <xf numFmtId="0" fontId="12" fillId="24" borderId="27" xfId="0" applyFont="1" applyFill="1" applyBorder="1" applyAlignment="1" applyProtection="1">
      <alignment vertical="center"/>
      <protection hidden="1"/>
    </xf>
    <xf numFmtId="0" fontId="12" fillId="24" borderId="28" xfId="0" applyFont="1" applyFill="1" applyBorder="1" applyAlignment="1" applyProtection="1">
      <alignment vertical="center"/>
      <protection hidden="1"/>
    </xf>
    <xf numFmtId="0" fontId="0" fillId="24" borderId="28" xfId="0" applyFill="1" applyBorder="1" applyAlignment="1" applyProtection="1">
      <alignment vertical="center"/>
      <protection hidden="1"/>
    </xf>
    <xf numFmtId="0" fontId="0" fillId="24" borderId="29" xfId="0" applyFill="1" applyBorder="1" applyAlignment="1" applyProtection="1">
      <alignment vertical="center"/>
      <protection hidden="1"/>
    </xf>
    <xf numFmtId="0" fontId="17" fillId="29" borderId="30" xfId="0" applyFont="1" applyFill="1" applyBorder="1" applyAlignment="1" applyProtection="1">
      <alignment vertical="center"/>
      <protection hidden="1"/>
    </xf>
    <xf numFmtId="0" fontId="15" fillId="29" borderId="31" xfId="0" applyFont="1" applyFill="1" applyBorder="1" applyAlignment="1" applyProtection="1">
      <alignment vertical="center"/>
      <protection hidden="1"/>
    </xf>
    <xf numFmtId="0" fontId="15" fillId="29" borderId="32" xfId="0" applyFont="1" applyFill="1" applyBorder="1" applyAlignment="1" applyProtection="1">
      <alignment vertical="center"/>
      <protection hidden="1"/>
    </xf>
    <xf numFmtId="0" fontId="0" fillId="25" borderId="0" xfId="0" applyFill="1" applyProtection="1">
      <alignment vertical="center"/>
      <protection hidden="1"/>
    </xf>
    <xf numFmtId="0" fontId="17" fillId="29" borderId="33" xfId="0" applyFont="1" applyFill="1" applyBorder="1" applyAlignment="1" applyProtection="1">
      <alignment vertical="center"/>
      <protection hidden="1"/>
    </xf>
    <xf numFmtId="0" fontId="17" fillId="29" borderId="33" xfId="0" applyFont="1" applyFill="1" applyBorder="1" applyAlignment="1" applyProtection="1">
      <alignment horizontal="center" vertical="center"/>
      <protection hidden="1"/>
    </xf>
    <xf numFmtId="0" fontId="15" fillId="29" borderId="34" xfId="0" applyFont="1" applyFill="1" applyBorder="1" applyAlignment="1" applyProtection="1">
      <alignment vertical="center"/>
      <protection hidden="1"/>
    </xf>
    <xf numFmtId="3" fontId="19" fillId="25" borderId="0" xfId="0" applyNumberFormat="1" applyFont="1" applyFill="1" applyBorder="1" applyAlignment="1" applyProtection="1">
      <alignment horizontal="left" vertical="center"/>
      <protection hidden="1"/>
    </xf>
    <xf numFmtId="0" fontId="2" fillId="25" borderId="35" xfId="0" applyFont="1" applyFill="1" applyBorder="1" applyAlignment="1" applyProtection="1">
      <alignment vertical="center"/>
      <protection hidden="1"/>
    </xf>
    <xf numFmtId="0" fontId="3" fillId="25" borderId="34" xfId="0" applyFont="1" applyFill="1" applyBorder="1" applyAlignment="1" applyProtection="1">
      <alignment horizontal="left" vertical="center"/>
      <protection hidden="1"/>
    </xf>
    <xf numFmtId="0" fontId="0" fillId="25" borderId="0" xfId="0" applyFill="1" applyBorder="1" applyAlignment="1" applyProtection="1">
      <alignment horizontal="left"/>
      <protection hidden="1"/>
    </xf>
    <xf numFmtId="3" fontId="18" fillId="25" borderId="0" xfId="0" applyNumberFormat="1" applyFont="1" applyFill="1" applyBorder="1" applyAlignment="1" applyProtection="1">
      <alignment horizontal="left" vertical="center"/>
      <protection hidden="1"/>
    </xf>
    <xf numFmtId="182" fontId="3" fillId="25" borderId="0" xfId="0" applyNumberFormat="1" applyFont="1" applyFill="1" applyBorder="1" applyAlignment="1" applyProtection="1">
      <alignment horizontal="left" vertical="center"/>
      <protection hidden="1"/>
    </xf>
    <xf numFmtId="0" fontId="24" fillId="25" borderId="34" xfId="0" applyFont="1" applyFill="1" applyBorder="1" applyAlignment="1" applyProtection="1">
      <alignment horizontal="left" vertical="center"/>
      <protection hidden="1"/>
    </xf>
    <xf numFmtId="2" fontId="3" fillId="25" borderId="0" xfId="0" applyNumberFormat="1" applyFont="1" applyFill="1" applyBorder="1" applyAlignment="1" applyProtection="1">
      <alignment horizontal="left" vertical="center"/>
      <protection hidden="1"/>
    </xf>
    <xf numFmtId="3" fontId="25" fillId="25" borderId="0" xfId="0" applyNumberFormat="1" applyFont="1" applyFill="1" applyBorder="1" applyAlignment="1" applyProtection="1">
      <alignment horizontal="left" vertical="center"/>
      <protection hidden="1"/>
    </xf>
    <xf numFmtId="3" fontId="3" fillId="25" borderId="0" xfId="0" applyNumberFormat="1" applyFont="1" applyFill="1" applyBorder="1" applyAlignment="1" applyProtection="1">
      <alignment horizontal="left" vertical="center"/>
      <protection hidden="1"/>
    </xf>
    <xf numFmtId="37" fontId="3" fillId="25" borderId="0" xfId="0" applyNumberFormat="1" applyFont="1" applyFill="1" applyBorder="1" applyAlignment="1" applyProtection="1">
      <alignment horizontal="left" vertical="center"/>
      <protection hidden="1"/>
    </xf>
    <xf numFmtId="0" fontId="17" fillId="29" borderId="36" xfId="0" applyFont="1" applyFill="1" applyBorder="1" applyAlignment="1" applyProtection="1">
      <alignment vertical="center"/>
      <protection hidden="1"/>
    </xf>
    <xf numFmtId="0" fontId="13" fillId="25" borderId="0" xfId="0" applyFont="1" applyFill="1" applyProtection="1">
      <alignment vertical="center"/>
      <protection hidden="1"/>
    </xf>
    <xf numFmtId="0" fontId="17" fillId="29" borderId="37" xfId="0" applyFont="1" applyFill="1" applyBorder="1" applyAlignment="1" applyProtection="1">
      <alignment vertical="center"/>
      <protection hidden="1"/>
    </xf>
    <xf numFmtId="0" fontId="15" fillId="29" borderId="38" xfId="0" applyFont="1" applyFill="1" applyBorder="1" applyAlignment="1" applyProtection="1">
      <alignment vertical="center"/>
      <protection hidden="1"/>
    </xf>
    <xf numFmtId="0" fontId="15" fillId="29" borderId="39" xfId="0" applyFont="1" applyFill="1" applyBorder="1" applyAlignment="1" applyProtection="1">
      <alignment vertical="center"/>
      <protection hidden="1"/>
    </xf>
    <xf numFmtId="0" fontId="0" fillId="25" borderId="0" xfId="0" applyFill="1" applyAlignment="1" applyProtection="1">
      <protection hidden="1"/>
    </xf>
    <xf numFmtId="0" fontId="7" fillId="25" borderId="33" xfId="0" applyFont="1" applyFill="1" applyBorder="1" applyAlignment="1" applyProtection="1">
      <alignment vertical="center"/>
      <protection hidden="1"/>
    </xf>
    <xf numFmtId="0" fontId="0" fillId="25" borderId="34" xfId="0" applyFill="1" applyBorder="1" applyAlignment="1" applyProtection="1">
      <protection hidden="1"/>
    </xf>
    <xf numFmtId="0" fontId="0" fillId="25" borderId="40" xfId="0" applyFill="1" applyBorder="1" applyAlignment="1" applyProtection="1">
      <protection hidden="1"/>
    </xf>
    <xf numFmtId="2" fontId="78" fillId="0" borderId="0" xfId="0" applyNumberFormat="1" applyFont="1" applyFill="1" applyBorder="1" applyAlignment="1" applyProtection="1">
      <alignment horizontal="center" vertical="center" wrapText="1"/>
      <protection hidden="1"/>
    </xf>
    <xf numFmtId="0" fontId="75" fillId="24" borderId="0" xfId="0" applyFont="1" applyFill="1" applyAlignment="1" applyProtection="1">
      <alignment horizontal="left" vertical="center"/>
      <protection hidden="1"/>
    </xf>
    <xf numFmtId="0" fontId="77" fillId="0" borderId="0" xfId="0" applyFont="1" applyFill="1" applyAlignment="1" applyProtection="1">
      <alignment vertical="center"/>
      <protection hidden="1"/>
    </xf>
    <xf numFmtId="0" fontId="3" fillId="24" borderId="0" xfId="0" applyFont="1" applyFill="1" applyAlignment="1" applyProtection="1">
      <alignment vertical="center"/>
    </xf>
    <xf numFmtId="0" fontId="3" fillId="0" borderId="0" xfId="0" applyFont="1" applyAlignment="1" applyProtection="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179" fontId="3" fillId="26" borderId="41" xfId="0" applyNumberFormat="1" applyFont="1" applyFill="1" applyBorder="1" applyAlignment="1" applyProtection="1">
      <alignment horizontal="centerContinuous" vertical="top"/>
      <protection hidden="1"/>
    </xf>
    <xf numFmtId="179" fontId="3" fillId="26" borderId="42" xfId="0" applyNumberFormat="1" applyFont="1" applyFill="1" applyBorder="1" applyAlignment="1" applyProtection="1">
      <alignment horizontal="centerContinuous" vertical="top"/>
      <protection hidden="1"/>
    </xf>
    <xf numFmtId="0" fontId="3" fillId="25" borderId="21" xfId="0" applyFont="1" applyFill="1" applyBorder="1" applyAlignment="1" applyProtection="1">
      <alignment horizontal="center" vertical="center"/>
      <protection hidden="1"/>
    </xf>
    <xf numFmtId="0" fontId="3" fillId="25" borderId="43" xfId="0" applyFont="1" applyFill="1" applyBorder="1" applyAlignment="1" applyProtection="1">
      <alignment horizontal="center" vertical="center" wrapText="1"/>
      <protection hidden="1"/>
    </xf>
    <xf numFmtId="179" fontId="3" fillId="26" borderId="17" xfId="0" applyNumberFormat="1" applyFont="1" applyFill="1" applyBorder="1" applyAlignment="1" applyProtection="1">
      <alignment horizontal="centerContinuous" vertical="top"/>
      <protection hidden="1"/>
    </xf>
    <xf numFmtId="178" fontId="3" fillId="0" borderId="0" xfId="0" applyNumberFormat="1" applyFont="1" applyFill="1" applyAlignment="1" applyProtection="1">
      <alignment horizontal="center" vertical="center"/>
      <protection hidden="1"/>
    </xf>
    <xf numFmtId="178" fontId="39" fillId="0" borderId="0" xfId="0" applyNumberFormat="1" applyFont="1" applyFill="1" applyAlignment="1" applyProtection="1">
      <alignment horizontal="center" vertical="center"/>
      <protection hidden="1"/>
    </xf>
    <xf numFmtId="0" fontId="3" fillId="0" borderId="0" xfId="0" applyFont="1" applyFill="1" applyAlignment="1" applyProtection="1">
      <alignment vertical="center"/>
      <protection hidden="1"/>
    </xf>
    <xf numFmtId="178" fontId="3" fillId="0" borderId="0" xfId="0" applyNumberFormat="1" applyFont="1" applyFill="1" applyBorder="1" applyAlignment="1" applyProtection="1">
      <alignment horizontal="center" vertical="center" wrapText="1"/>
      <protection hidden="1"/>
    </xf>
    <xf numFmtId="0" fontId="3" fillId="30" borderId="44" xfId="0" applyFont="1" applyFill="1" applyBorder="1" applyAlignment="1" applyProtection="1">
      <alignment vertical="center"/>
      <protection hidden="1"/>
    </xf>
    <xf numFmtId="0" fontId="34" fillId="24" borderId="0" xfId="0" applyFont="1" applyFill="1" applyAlignment="1" applyProtection="1">
      <alignment vertical="center"/>
      <protection hidden="1"/>
    </xf>
    <xf numFmtId="0" fontId="34" fillId="24" borderId="21" xfId="0" applyFont="1" applyFill="1" applyBorder="1" applyAlignment="1" applyProtection="1">
      <alignment vertical="center"/>
      <protection hidden="1"/>
    </xf>
    <xf numFmtId="0" fontId="69" fillId="24" borderId="0" xfId="0" applyFont="1" applyFill="1" applyAlignment="1" applyProtection="1">
      <alignment vertical="center"/>
      <protection hidden="1"/>
    </xf>
    <xf numFmtId="0" fontId="39" fillId="24" borderId="0" xfId="0" applyFont="1" applyFill="1" applyAlignment="1" applyProtection="1">
      <alignment vertical="center"/>
      <protection hidden="1"/>
    </xf>
    <xf numFmtId="0" fontId="5" fillId="24" borderId="0" xfId="0" applyFont="1" applyFill="1" applyAlignment="1" applyProtection="1">
      <alignment vertical="center"/>
      <protection hidden="1"/>
    </xf>
    <xf numFmtId="0" fontId="27" fillId="24" borderId="0" xfId="0" applyFont="1" applyFill="1" applyAlignment="1" applyProtection="1">
      <alignment vertical="center"/>
      <protection hidden="1"/>
    </xf>
    <xf numFmtId="0" fontId="0" fillId="0" borderId="0" xfId="0" applyAlignment="1" applyProtection="1">
      <alignment vertical="center"/>
      <protection hidden="1"/>
    </xf>
    <xf numFmtId="179" fontId="7" fillId="24" borderId="0" xfId="0" applyNumberFormat="1" applyFont="1" applyFill="1" applyBorder="1" applyAlignment="1" applyProtection="1">
      <alignment horizontal="left" vertical="top"/>
      <protection hidden="1"/>
    </xf>
    <xf numFmtId="0" fontId="10" fillId="24" borderId="0" xfId="0" applyFont="1" applyFill="1" applyAlignment="1" applyProtection="1">
      <alignment vertical="center"/>
      <protection hidden="1"/>
    </xf>
    <xf numFmtId="0" fontId="7" fillId="24" borderId="0" xfId="0" applyFont="1" applyFill="1" applyBorder="1" applyAlignment="1" applyProtection="1">
      <alignment horizontal="justify"/>
      <protection hidden="1"/>
    </xf>
    <xf numFmtId="0" fontId="7" fillId="24" borderId="0" xfId="0" applyFont="1" applyFill="1" applyBorder="1" applyAlignment="1" applyProtection="1">
      <alignment horizontal="left"/>
      <protection hidden="1"/>
    </xf>
    <xf numFmtId="179" fontId="7" fillId="24" borderId="0" xfId="0" applyNumberFormat="1" applyFont="1" applyFill="1" applyBorder="1" applyAlignment="1" applyProtection="1">
      <alignment horizontal="left" vertical="top"/>
    </xf>
    <xf numFmtId="0" fontId="34" fillId="0" borderId="0" xfId="0" applyFont="1" applyAlignment="1">
      <alignment horizontal="left" vertical="center"/>
    </xf>
    <xf numFmtId="0" fontId="34" fillId="24" borderId="0" xfId="0" applyFont="1" applyFill="1" applyAlignment="1" applyProtection="1">
      <alignment horizontal="left" vertical="center"/>
    </xf>
    <xf numFmtId="0" fontId="7" fillId="24" borderId="0" xfId="0" applyFont="1" applyFill="1" applyAlignment="1" applyProtection="1">
      <alignment horizontal="left" vertical="center"/>
      <protection hidden="1"/>
    </xf>
    <xf numFmtId="0" fontId="7" fillId="24" borderId="0" xfId="0" applyFont="1" applyFill="1" applyAlignment="1" applyProtection="1">
      <alignment horizontal="right" vertical="center"/>
      <protection hidden="1"/>
    </xf>
    <xf numFmtId="0" fontId="68" fillId="24" borderId="0" xfId="0" applyFont="1" applyFill="1" applyAlignment="1" applyProtection="1">
      <alignment vertical="center"/>
      <protection hidden="1"/>
    </xf>
    <xf numFmtId="0" fontId="42" fillId="24" borderId="0" xfId="0" applyFont="1" applyFill="1" applyAlignment="1" applyProtection="1">
      <alignment horizontal="left" vertical="center"/>
      <protection hidden="1"/>
    </xf>
    <xf numFmtId="0" fontId="3" fillId="25" borderId="10" xfId="0" applyFont="1" applyFill="1" applyBorder="1" applyAlignment="1" applyProtection="1">
      <alignment horizontal="center" vertical="center"/>
      <protection hidden="1"/>
    </xf>
    <xf numFmtId="179" fontId="3" fillId="25" borderId="45" xfId="0" applyNumberFormat="1" applyFont="1" applyFill="1" applyBorder="1" applyAlignment="1" applyProtection="1">
      <alignment horizontal="left" vertical="center"/>
      <protection hidden="1"/>
    </xf>
    <xf numFmtId="179" fontId="3" fillId="25" borderId="46" xfId="0" applyNumberFormat="1" applyFont="1" applyFill="1" applyBorder="1" applyAlignment="1" applyProtection="1">
      <alignment horizontal="left" vertical="center"/>
      <protection hidden="1"/>
    </xf>
    <xf numFmtId="179" fontId="3" fillId="25" borderId="47" xfId="0" applyNumberFormat="1" applyFont="1" applyFill="1" applyBorder="1" applyAlignment="1" applyProtection="1">
      <alignment horizontal="left" vertical="center"/>
      <protection hidden="1"/>
    </xf>
    <xf numFmtId="179" fontId="3" fillId="25" borderId="48" xfId="0" applyNumberFormat="1" applyFont="1" applyFill="1" applyBorder="1" applyAlignment="1" applyProtection="1">
      <alignment horizontal="left" vertical="center"/>
      <protection hidden="1"/>
    </xf>
    <xf numFmtId="179" fontId="3" fillId="25" borderId="49" xfId="0" applyNumberFormat="1" applyFont="1" applyFill="1" applyBorder="1" applyAlignment="1" applyProtection="1">
      <alignment horizontal="left" vertical="center"/>
      <protection hidden="1"/>
    </xf>
    <xf numFmtId="179" fontId="3" fillId="25" borderId="50" xfId="0" applyNumberFormat="1" applyFont="1" applyFill="1" applyBorder="1" applyAlignment="1" applyProtection="1">
      <alignment horizontal="left" vertical="center"/>
      <protection hidden="1"/>
    </xf>
    <xf numFmtId="0" fontId="2" fillId="25" borderId="33" xfId="0" applyFont="1" applyFill="1" applyBorder="1" applyAlignment="1" applyProtection="1">
      <alignment vertical="center"/>
      <protection hidden="1"/>
    </xf>
    <xf numFmtId="178" fontId="3" fillId="26" borderId="17" xfId="0" applyNumberFormat="1" applyFont="1" applyFill="1" applyBorder="1" applyAlignment="1" applyProtection="1">
      <alignment horizontal="left" vertical="center"/>
      <protection hidden="1"/>
    </xf>
    <xf numFmtId="179" fontId="3" fillId="25" borderId="47" xfId="0" applyNumberFormat="1" applyFont="1" applyFill="1" applyBorder="1" applyAlignment="1" applyProtection="1">
      <alignment vertical="center"/>
      <protection hidden="1"/>
    </xf>
    <xf numFmtId="0" fontId="39" fillId="0" borderId="0" xfId="0" applyFont="1" applyFill="1" applyAlignment="1" applyProtection="1">
      <alignment vertical="center"/>
      <protection hidden="1"/>
    </xf>
    <xf numFmtId="0" fontId="7" fillId="26" borderId="51" xfId="0" applyFont="1" applyFill="1" applyBorder="1" applyAlignment="1" applyProtection="1">
      <alignment horizontal="right" vertical="center"/>
      <protection hidden="1"/>
    </xf>
    <xf numFmtId="180" fontId="7" fillId="28" borderId="52" xfId="0" applyNumberFormat="1" applyFont="1" applyFill="1" applyBorder="1" applyAlignment="1" applyProtection="1">
      <alignment horizontal="left" vertical="center"/>
      <protection hidden="1"/>
    </xf>
    <xf numFmtId="183" fontId="17" fillId="28" borderId="53" xfId="0" applyNumberFormat="1" applyFont="1" applyFill="1" applyBorder="1" applyAlignment="1" applyProtection="1">
      <alignment vertical="center"/>
      <protection hidden="1"/>
    </xf>
    <xf numFmtId="180" fontId="5" fillId="25" borderId="21" xfId="0" applyNumberFormat="1" applyFont="1" applyFill="1" applyBorder="1" applyAlignment="1" applyProtection="1">
      <alignment horizontal="centerContinuous" vertical="top"/>
      <protection hidden="1"/>
    </xf>
    <xf numFmtId="180" fontId="5" fillId="25" borderId="54" xfId="0" applyNumberFormat="1" applyFont="1" applyFill="1" applyBorder="1" applyAlignment="1" applyProtection="1">
      <alignment horizontal="centerContinuous" vertical="top"/>
      <protection hidden="1"/>
    </xf>
    <xf numFmtId="183" fontId="10" fillId="25" borderId="55" xfId="0" applyNumberFormat="1" applyFont="1" applyFill="1" applyBorder="1" applyAlignment="1" applyProtection="1">
      <alignment horizontal="center" vertical="center" wrapText="1"/>
      <protection hidden="1"/>
    </xf>
    <xf numFmtId="183" fontId="8" fillId="25" borderId="56" xfId="0" applyNumberFormat="1" applyFont="1" applyFill="1" applyBorder="1" applyAlignment="1" applyProtection="1">
      <alignment horizontal="center" vertical="center" wrapText="1"/>
      <protection hidden="1"/>
    </xf>
    <xf numFmtId="183" fontId="10" fillId="25" borderId="21" xfId="0" applyNumberFormat="1" applyFont="1" applyFill="1" applyBorder="1" applyAlignment="1" applyProtection="1">
      <alignment horizontal="center" vertical="center" wrapText="1"/>
      <protection hidden="1"/>
    </xf>
    <xf numFmtId="183" fontId="8" fillId="25" borderId="57" xfId="0" applyNumberFormat="1" applyFont="1" applyFill="1" applyBorder="1" applyAlignment="1" applyProtection="1">
      <alignment horizontal="center" vertical="center" wrapText="1"/>
      <protection hidden="1"/>
    </xf>
    <xf numFmtId="180" fontId="7" fillId="27" borderId="23" xfId="0" applyNumberFormat="1" applyFont="1" applyFill="1" applyBorder="1" applyAlignment="1" applyProtection="1">
      <alignment horizontal="left" vertical="center"/>
      <protection hidden="1"/>
    </xf>
    <xf numFmtId="180" fontId="7" fillId="27" borderId="0" xfId="0" applyNumberFormat="1" applyFont="1" applyFill="1" applyBorder="1" applyAlignment="1" applyProtection="1">
      <alignment horizontal="left" vertical="center"/>
      <protection hidden="1"/>
    </xf>
    <xf numFmtId="180" fontId="7" fillId="27" borderId="0" xfId="0" applyNumberFormat="1" applyFont="1" applyFill="1" applyBorder="1" applyAlignment="1" applyProtection="1">
      <alignment horizontal="left"/>
      <protection hidden="1"/>
    </xf>
    <xf numFmtId="180" fontId="7" fillId="27" borderId="58" xfId="0" applyNumberFormat="1" applyFont="1" applyFill="1" applyBorder="1" applyAlignment="1" applyProtection="1">
      <alignment horizontal="left"/>
      <protection hidden="1"/>
    </xf>
    <xf numFmtId="183" fontId="66" fillId="27" borderId="0" xfId="0" applyNumberFormat="1" applyFont="1" applyFill="1" applyBorder="1" applyAlignment="1" applyProtection="1">
      <alignment horizontal="center" vertical="center"/>
      <protection hidden="1"/>
    </xf>
    <xf numFmtId="194" fontId="53" fillId="27" borderId="59" xfId="0" applyNumberFormat="1" applyFont="1" applyFill="1" applyBorder="1" applyAlignment="1" applyProtection="1">
      <alignment horizontal="center" vertical="center"/>
      <protection hidden="1"/>
    </xf>
    <xf numFmtId="180" fontId="7" fillId="26" borderId="60" xfId="0" applyNumberFormat="1" applyFont="1" applyFill="1" applyBorder="1" applyAlignment="1" applyProtection="1">
      <alignment horizontal="left" vertical="center"/>
      <protection hidden="1"/>
    </xf>
    <xf numFmtId="180" fontId="7" fillId="26" borderId="61" xfId="0" applyNumberFormat="1" applyFont="1" applyFill="1" applyBorder="1" applyAlignment="1" applyProtection="1">
      <alignment horizontal="left" vertical="center"/>
      <protection hidden="1"/>
    </xf>
    <xf numFmtId="180" fontId="7" fillId="26" borderId="61" xfId="0" applyNumberFormat="1" applyFont="1" applyFill="1" applyBorder="1" applyAlignment="1" applyProtection="1">
      <alignment horizontal="left"/>
      <protection hidden="1"/>
    </xf>
    <xf numFmtId="180" fontId="7" fillId="26" borderId="62" xfId="0" applyNumberFormat="1" applyFont="1" applyFill="1" applyBorder="1" applyAlignment="1" applyProtection="1">
      <alignment horizontal="left"/>
      <protection hidden="1"/>
    </xf>
    <xf numFmtId="194" fontId="85" fillId="26" borderId="63" xfId="0" applyNumberFormat="1" applyFont="1" applyFill="1" applyBorder="1" applyAlignment="1" applyProtection="1">
      <alignment horizontal="center" vertical="center"/>
      <protection hidden="1"/>
    </xf>
    <xf numFmtId="183" fontId="72" fillId="26" borderId="64" xfId="0" applyNumberFormat="1" applyFont="1" applyFill="1" applyBorder="1" applyAlignment="1" applyProtection="1">
      <alignment horizontal="center" vertical="center"/>
      <protection hidden="1"/>
    </xf>
    <xf numFmtId="0" fontId="8" fillId="28" borderId="52" xfId="0" applyFont="1" applyFill="1" applyBorder="1" applyAlignment="1" applyProtection="1">
      <alignment horizontal="left" vertical="center"/>
      <protection hidden="1"/>
    </xf>
    <xf numFmtId="0" fontId="31" fillId="28" borderId="52" xfId="0" applyFont="1" applyFill="1" applyBorder="1" applyAlignment="1" applyProtection="1">
      <alignment vertical="center"/>
      <protection hidden="1"/>
    </xf>
    <xf numFmtId="0" fontId="8" fillId="25" borderId="21" xfId="0" applyFont="1" applyFill="1" applyBorder="1" applyAlignment="1" applyProtection="1">
      <alignment horizontal="left" vertical="top"/>
      <protection hidden="1"/>
    </xf>
    <xf numFmtId="0" fontId="33" fillId="25" borderId="21" xfId="0" applyFont="1" applyFill="1" applyBorder="1" applyAlignment="1" applyProtection="1">
      <alignment vertical="top"/>
      <protection hidden="1"/>
    </xf>
    <xf numFmtId="0" fontId="11" fillId="25" borderId="22" xfId="0" applyFont="1" applyFill="1" applyBorder="1" applyAlignment="1" applyProtection="1">
      <alignment vertical="top"/>
      <protection hidden="1"/>
    </xf>
    <xf numFmtId="0" fontId="30" fillId="27" borderId="65" xfId="0" applyNumberFormat="1" applyFont="1" applyFill="1" applyBorder="1" applyAlignment="1" applyProtection="1">
      <alignment vertical="center"/>
      <protection hidden="1"/>
    </xf>
    <xf numFmtId="0" fontId="9" fillId="27" borderId="0" xfId="0" applyNumberFormat="1" applyFont="1" applyFill="1" applyBorder="1" applyAlignment="1" applyProtection="1">
      <alignment horizontal="left" vertical="center"/>
      <protection hidden="1"/>
    </xf>
    <xf numFmtId="0" fontId="5" fillId="26" borderId="66" xfId="0" applyFont="1" applyFill="1" applyBorder="1" applyAlignment="1" applyProtection="1">
      <alignment vertical="center"/>
      <protection hidden="1"/>
    </xf>
    <xf numFmtId="0" fontId="5" fillId="26" borderId="61" xfId="0" applyNumberFormat="1" applyFont="1" applyFill="1" applyBorder="1" applyAlignment="1" applyProtection="1">
      <alignment horizontal="left" vertical="center"/>
      <protection hidden="1"/>
    </xf>
    <xf numFmtId="0" fontId="13" fillId="26" borderId="67" xfId="0" applyNumberFormat="1" applyFont="1" applyFill="1" applyBorder="1" applyAlignment="1" applyProtection="1">
      <alignment horizontal="left" vertical="center"/>
      <protection hidden="1"/>
    </xf>
    <xf numFmtId="0" fontId="5" fillId="25" borderId="23" xfId="0" quotePrefix="1" applyFont="1" applyFill="1" applyBorder="1" applyAlignment="1" applyProtection="1">
      <alignment vertical="center"/>
      <protection hidden="1"/>
    </xf>
    <xf numFmtId="0" fontId="27" fillId="25" borderId="68" xfId="0" applyNumberFormat="1" applyFont="1" applyFill="1" applyBorder="1" applyAlignment="1" applyProtection="1">
      <alignment horizontal="left" vertical="center"/>
      <protection hidden="1"/>
    </xf>
    <xf numFmtId="0" fontId="27" fillId="25" borderId="0" xfId="0" applyNumberFormat="1" applyFont="1" applyFill="1" applyBorder="1" applyAlignment="1" applyProtection="1">
      <alignment horizontal="left" vertical="center"/>
      <protection hidden="1"/>
    </xf>
    <xf numFmtId="0" fontId="83" fillId="25" borderId="20" xfId="0" applyFont="1" applyFill="1" applyBorder="1" applyAlignment="1" applyProtection="1">
      <alignment vertical="center"/>
      <protection hidden="1"/>
    </xf>
    <xf numFmtId="0" fontId="27" fillId="25" borderId="23" xfId="0" applyFont="1" applyFill="1" applyBorder="1" applyAlignment="1" applyProtection="1">
      <alignment horizontal="center"/>
      <protection hidden="1"/>
    </xf>
    <xf numFmtId="0" fontId="5" fillId="25" borderId="69" xfId="0" applyFont="1" applyFill="1" applyBorder="1" applyAlignment="1" applyProtection="1">
      <alignment vertical="center"/>
      <protection hidden="1"/>
    </xf>
    <xf numFmtId="0" fontId="13" fillId="25" borderId="70" xfId="0" applyFont="1" applyFill="1" applyBorder="1" applyAlignment="1" applyProtection="1">
      <alignment vertical="center"/>
      <protection hidden="1"/>
    </xf>
    <xf numFmtId="0" fontId="13" fillId="25" borderId="42" xfId="0" applyFont="1" applyFill="1" applyBorder="1" applyAlignment="1" applyProtection="1">
      <alignment vertical="center"/>
      <protection hidden="1"/>
    </xf>
    <xf numFmtId="0" fontId="13" fillId="25" borderId="71" xfId="0" applyFont="1" applyFill="1" applyBorder="1" applyAlignment="1" applyProtection="1">
      <alignment vertical="center"/>
      <protection hidden="1"/>
    </xf>
    <xf numFmtId="0" fontId="82" fillId="25" borderId="11" xfId="29" applyFont="1" applyFill="1" applyBorder="1" applyAlignment="1" applyProtection="1">
      <alignment horizontal="center" vertical="center"/>
      <protection hidden="1"/>
    </xf>
    <xf numFmtId="0" fontId="13" fillId="25" borderId="21" xfId="0" applyFont="1" applyFill="1" applyBorder="1" applyAlignment="1" applyProtection="1">
      <alignment vertical="center"/>
      <protection hidden="1"/>
    </xf>
    <xf numFmtId="0" fontId="13" fillId="25" borderId="22" xfId="0" applyFont="1" applyFill="1" applyBorder="1" applyAlignment="1" applyProtection="1">
      <alignment vertical="center"/>
      <protection hidden="1"/>
    </xf>
    <xf numFmtId="0" fontId="82" fillId="25" borderId="72" xfId="29" applyFont="1" applyFill="1" applyBorder="1" applyAlignment="1" applyProtection="1">
      <alignment horizontal="center" vertical="center"/>
      <protection hidden="1"/>
    </xf>
    <xf numFmtId="0" fontId="13" fillId="25" borderId="51" xfId="0" applyFont="1" applyFill="1" applyBorder="1" applyAlignment="1" applyProtection="1">
      <alignment vertical="center"/>
      <protection hidden="1"/>
    </xf>
    <xf numFmtId="0" fontId="5" fillId="25" borderId="11" xfId="0" applyFont="1" applyFill="1" applyBorder="1" applyAlignment="1" applyProtection="1">
      <alignment vertical="center"/>
      <protection hidden="1"/>
    </xf>
    <xf numFmtId="0" fontId="13" fillId="25" borderId="0" xfId="0" applyFont="1" applyFill="1" applyBorder="1" applyAlignment="1" applyProtection="1">
      <alignment vertical="center"/>
      <protection hidden="1"/>
    </xf>
    <xf numFmtId="0" fontId="13" fillId="25" borderId="20" xfId="0" applyFont="1" applyFill="1" applyBorder="1" applyAlignment="1" applyProtection="1">
      <alignment vertical="center"/>
      <protection hidden="1"/>
    </xf>
    <xf numFmtId="0" fontId="5" fillId="25" borderId="51" xfId="0" applyFont="1" applyFill="1" applyBorder="1" applyAlignment="1" applyProtection="1">
      <alignment vertical="center"/>
      <protection hidden="1"/>
    </xf>
    <xf numFmtId="0" fontId="27" fillId="25" borderId="42" xfId="0" applyNumberFormat="1" applyFont="1" applyFill="1" applyBorder="1" applyAlignment="1" applyProtection="1">
      <alignment horizontal="left" vertical="center"/>
      <protection hidden="1"/>
    </xf>
    <xf numFmtId="0" fontId="13" fillId="25" borderId="70" xfId="0" applyNumberFormat="1" applyFont="1" applyFill="1" applyBorder="1" applyAlignment="1" applyProtection="1">
      <alignment horizontal="left" vertical="center"/>
      <protection hidden="1"/>
    </xf>
    <xf numFmtId="0" fontId="83" fillId="25" borderId="73" xfId="0" applyFont="1" applyFill="1" applyBorder="1" applyAlignment="1" applyProtection="1">
      <alignment vertical="center"/>
      <protection hidden="1"/>
    </xf>
    <xf numFmtId="0" fontId="83" fillId="25" borderId="71" xfId="0" applyFont="1" applyFill="1" applyBorder="1" applyAlignment="1" applyProtection="1">
      <alignment vertical="center"/>
      <protection hidden="1"/>
    </xf>
    <xf numFmtId="0" fontId="27" fillId="25" borderId="23" xfId="0" quotePrefix="1" applyNumberFormat="1" applyFont="1" applyFill="1" applyBorder="1" applyAlignment="1" applyProtection="1">
      <alignment horizontal="center" vertical="center"/>
      <protection hidden="1"/>
    </xf>
    <xf numFmtId="0" fontId="83" fillId="25" borderId="22" xfId="0" applyFont="1" applyFill="1" applyBorder="1" applyAlignment="1" applyProtection="1">
      <alignment vertical="center"/>
      <protection hidden="1"/>
    </xf>
    <xf numFmtId="0" fontId="5" fillId="26" borderId="74" xfId="0" applyFont="1" applyFill="1" applyBorder="1" applyAlignment="1" applyProtection="1">
      <alignment vertical="center"/>
      <protection hidden="1"/>
    </xf>
    <xf numFmtId="0" fontId="5" fillId="26" borderId="75" xfId="0" applyFont="1" applyFill="1" applyBorder="1" applyAlignment="1" applyProtection="1">
      <alignment horizontal="left"/>
      <protection hidden="1"/>
    </xf>
    <xf numFmtId="0" fontId="2" fillId="26" borderId="76" xfId="0" applyFont="1" applyFill="1" applyBorder="1" applyAlignment="1" applyProtection="1">
      <alignment vertical="center"/>
      <protection hidden="1"/>
    </xf>
    <xf numFmtId="0" fontId="27" fillId="25" borderId="0" xfId="0" applyFont="1" applyFill="1" applyBorder="1" applyAlignment="1" applyProtection="1">
      <alignment horizontal="left" vertical="center"/>
      <protection hidden="1"/>
    </xf>
    <xf numFmtId="0" fontId="27" fillId="25" borderId="70" xfId="0" applyNumberFormat="1" applyFont="1" applyFill="1" applyBorder="1" applyAlignment="1" applyProtection="1">
      <alignment horizontal="left" vertical="center"/>
      <protection hidden="1"/>
    </xf>
    <xf numFmtId="0" fontId="5" fillId="26" borderId="75" xfId="0" applyNumberFormat="1" applyFont="1" applyFill="1" applyBorder="1" applyAlignment="1" applyProtection="1">
      <alignment horizontal="left" vertical="center"/>
      <protection hidden="1"/>
    </xf>
    <xf numFmtId="0" fontId="13" fillId="26" borderId="76" xfId="0" applyNumberFormat="1" applyFont="1" applyFill="1" applyBorder="1" applyAlignment="1" applyProtection="1">
      <alignment horizontal="left" vertical="center"/>
      <protection hidden="1"/>
    </xf>
    <xf numFmtId="0" fontId="5" fillId="25" borderId="41" xfId="0" quotePrefix="1" applyFont="1" applyFill="1" applyBorder="1" applyAlignment="1" applyProtection="1">
      <alignment vertical="center"/>
      <protection hidden="1"/>
    </xf>
    <xf numFmtId="0" fontId="27" fillId="25" borderId="42" xfId="0" applyFont="1" applyFill="1" applyBorder="1" applyAlignment="1" applyProtection="1">
      <alignment horizontal="left" vertical="center"/>
      <protection hidden="1"/>
    </xf>
    <xf numFmtId="0" fontId="5" fillId="25" borderId="77" xfId="0" quotePrefix="1" applyFont="1" applyFill="1" applyBorder="1" applyAlignment="1" applyProtection="1">
      <alignment vertical="center"/>
      <protection hidden="1"/>
    </xf>
    <xf numFmtId="0" fontId="27" fillId="25" borderId="21" xfId="0" applyNumberFormat="1" applyFont="1" applyFill="1" applyBorder="1" applyAlignment="1" applyProtection="1">
      <alignment horizontal="left" vertical="center"/>
      <protection hidden="1"/>
    </xf>
    <xf numFmtId="0" fontId="5" fillId="25" borderId="51" xfId="0" applyFont="1" applyFill="1" applyBorder="1" applyProtection="1">
      <alignment vertical="center"/>
      <protection hidden="1"/>
    </xf>
    <xf numFmtId="0" fontId="11" fillId="24" borderId="0" xfId="0" applyFont="1" applyFill="1" applyBorder="1" applyAlignment="1" applyProtection="1">
      <alignment vertical="center"/>
      <protection hidden="1"/>
    </xf>
    <xf numFmtId="0" fontId="30" fillId="27" borderId="78" xfId="0" applyNumberFormat="1" applyFont="1" applyFill="1" applyBorder="1" applyAlignment="1" applyProtection="1">
      <alignment horizontal="left" vertical="center"/>
      <protection hidden="1"/>
    </xf>
    <xf numFmtId="0" fontId="30" fillId="27" borderId="79" xfId="0" applyNumberFormat="1" applyFont="1" applyFill="1" applyBorder="1" applyAlignment="1" applyProtection="1">
      <alignment horizontal="left" vertical="center"/>
      <protection hidden="1"/>
    </xf>
    <xf numFmtId="0" fontId="30" fillId="27" borderId="80" xfId="0" applyNumberFormat="1" applyFont="1" applyFill="1" applyBorder="1" applyAlignment="1" applyProtection="1">
      <alignment horizontal="left" vertical="center"/>
      <protection hidden="1"/>
    </xf>
    <xf numFmtId="0" fontId="5" fillId="26" borderId="60" xfId="0" applyFont="1" applyFill="1" applyBorder="1" applyAlignment="1" applyProtection="1">
      <alignment vertical="center"/>
      <protection hidden="1"/>
    </xf>
    <xf numFmtId="0" fontId="27" fillId="26" borderId="67" xfId="0" applyNumberFormat="1" applyFont="1" applyFill="1" applyBorder="1" applyAlignment="1" applyProtection="1">
      <alignment horizontal="right" vertical="center"/>
      <protection hidden="1"/>
    </xf>
    <xf numFmtId="0" fontId="27" fillId="25" borderId="71" xfId="0" applyFont="1" applyFill="1" applyBorder="1" applyAlignment="1" applyProtection="1">
      <alignment horizontal="right" vertical="center"/>
      <protection hidden="1"/>
    </xf>
    <xf numFmtId="0" fontId="5" fillId="25" borderId="77" xfId="0" applyFont="1" applyFill="1" applyBorder="1" applyAlignment="1" applyProtection="1">
      <alignment vertical="center"/>
      <protection hidden="1"/>
    </xf>
    <xf numFmtId="0" fontId="5" fillId="25" borderId="23" xfId="0" applyFont="1" applyFill="1" applyBorder="1" applyAlignment="1" applyProtection="1">
      <alignment vertical="center"/>
      <protection hidden="1"/>
    </xf>
    <xf numFmtId="0" fontId="70" fillId="25" borderId="23" xfId="0" applyNumberFormat="1" applyFont="1" applyFill="1" applyBorder="1" applyAlignment="1" applyProtection="1">
      <alignment horizontal="center" vertical="center"/>
      <protection hidden="1"/>
    </xf>
    <xf numFmtId="0" fontId="70" fillId="25" borderId="23" xfId="0" quotePrefix="1" applyNumberFormat="1" applyFont="1" applyFill="1" applyBorder="1" applyAlignment="1" applyProtection="1">
      <alignment horizontal="center" vertical="center"/>
      <protection hidden="1"/>
    </xf>
    <xf numFmtId="0" fontId="70" fillId="25" borderId="24" xfId="0" applyFont="1" applyFill="1" applyBorder="1" applyAlignment="1" applyProtection="1">
      <alignment horizontal="center" vertical="center"/>
      <protection hidden="1"/>
    </xf>
    <xf numFmtId="0" fontId="5" fillId="25" borderId="81" xfId="0" applyFont="1" applyFill="1" applyBorder="1" applyAlignment="1" applyProtection="1">
      <alignment vertical="center"/>
      <protection hidden="1"/>
    </xf>
    <xf numFmtId="0" fontId="83" fillId="25" borderId="82" xfId="0" applyFont="1" applyFill="1" applyBorder="1" applyAlignment="1" applyProtection="1">
      <alignment vertical="center"/>
      <protection hidden="1"/>
    </xf>
    <xf numFmtId="0" fontId="27" fillId="24" borderId="0" xfId="0" quotePrefix="1" applyNumberFormat="1" applyFont="1" applyFill="1" applyBorder="1" applyAlignment="1" applyProtection="1">
      <alignment horizontal="left" vertical="center"/>
      <protection hidden="1"/>
    </xf>
    <xf numFmtId="0" fontId="8" fillId="24" borderId="0" xfId="0" applyNumberFormat="1" applyFont="1" applyFill="1" applyBorder="1" applyAlignment="1" applyProtection="1">
      <alignment horizontal="left" vertical="center"/>
      <protection hidden="1"/>
    </xf>
    <xf numFmtId="0" fontId="3" fillId="24" borderId="0" xfId="0" applyNumberFormat="1" applyFont="1" applyFill="1" applyBorder="1" applyAlignment="1" applyProtection="1">
      <alignment horizontal="left" vertical="center"/>
      <protection hidden="1"/>
    </xf>
    <xf numFmtId="0" fontId="2" fillId="24" borderId="0" xfId="0" applyFont="1" applyFill="1" applyBorder="1" applyProtection="1">
      <alignment vertical="center"/>
      <protection hidden="1"/>
    </xf>
    <xf numFmtId="0" fontId="10" fillId="24" borderId="0" xfId="0" applyFont="1" applyFill="1" applyBorder="1" applyAlignment="1" applyProtection="1">
      <alignment horizontal="center" vertical="justify"/>
      <protection hidden="1"/>
    </xf>
    <xf numFmtId="183" fontId="25" fillId="25" borderId="58" xfId="0" applyNumberFormat="1" applyFont="1" applyFill="1" applyBorder="1" applyAlignment="1" applyProtection="1">
      <alignment horizontal="center" vertical="center"/>
      <protection hidden="1"/>
    </xf>
    <xf numFmtId="194" fontId="73" fillId="25" borderId="83" xfId="0" applyNumberFormat="1" applyFont="1" applyFill="1" applyBorder="1" applyAlignment="1" applyProtection="1">
      <alignment horizontal="center" vertical="center"/>
      <protection hidden="1"/>
    </xf>
    <xf numFmtId="183" fontId="85" fillId="25" borderId="84" xfId="0" applyNumberFormat="1" applyFont="1" applyFill="1" applyBorder="1" applyAlignment="1" applyProtection="1">
      <alignment horizontal="center" vertical="center"/>
      <protection hidden="1"/>
    </xf>
    <xf numFmtId="183" fontId="25" fillId="25" borderId="85" xfId="0" applyNumberFormat="1" applyFont="1" applyFill="1" applyBorder="1" applyAlignment="1" applyProtection="1">
      <alignment horizontal="center" vertical="center"/>
      <protection hidden="1"/>
    </xf>
    <xf numFmtId="183" fontId="85" fillId="25" borderId="86" xfId="0" applyNumberFormat="1" applyFont="1" applyFill="1" applyBorder="1" applyAlignment="1" applyProtection="1">
      <alignment horizontal="center" vertical="center"/>
      <protection hidden="1"/>
    </xf>
    <xf numFmtId="183" fontId="66" fillId="24" borderId="87" xfId="0" applyNumberFormat="1" applyFont="1" applyFill="1" applyBorder="1" applyAlignment="1" applyProtection="1">
      <alignment horizontal="center" vertical="center"/>
      <protection hidden="1"/>
    </xf>
    <xf numFmtId="183" fontId="66" fillId="24" borderId="88" xfId="0" applyNumberFormat="1" applyFont="1" applyFill="1" applyBorder="1" applyAlignment="1" applyProtection="1">
      <alignment horizontal="center" vertical="center"/>
      <protection hidden="1"/>
    </xf>
    <xf numFmtId="183" fontId="66" fillId="24" borderId="84" xfId="0" applyNumberFormat="1" applyFont="1" applyFill="1" applyBorder="1" applyAlignment="1" applyProtection="1">
      <alignment horizontal="center" vertical="center"/>
      <protection hidden="1"/>
    </xf>
    <xf numFmtId="183" fontId="25" fillId="24" borderId="88" xfId="0" applyNumberFormat="1" applyFont="1" applyFill="1" applyBorder="1" applyAlignment="1" applyProtection="1">
      <alignment horizontal="center" vertical="center"/>
      <protection hidden="1"/>
    </xf>
    <xf numFmtId="183" fontId="25" fillId="25" borderId="55" xfId="0" applyNumberFormat="1" applyFont="1" applyFill="1" applyBorder="1" applyAlignment="1" applyProtection="1">
      <alignment horizontal="center" vertical="center"/>
      <protection hidden="1"/>
    </xf>
    <xf numFmtId="194" fontId="73" fillId="25" borderId="89" xfId="0" applyNumberFormat="1" applyFont="1" applyFill="1" applyBorder="1" applyAlignment="1" applyProtection="1">
      <alignment horizontal="center" vertical="center"/>
      <protection hidden="1"/>
    </xf>
    <xf numFmtId="183" fontId="85" fillId="25" borderId="90" xfId="0" applyNumberFormat="1" applyFont="1" applyFill="1" applyBorder="1" applyAlignment="1" applyProtection="1">
      <alignment horizontal="center" vertical="center"/>
      <protection hidden="1"/>
    </xf>
    <xf numFmtId="194" fontId="73" fillId="25" borderId="91" xfId="0" applyNumberFormat="1" applyFont="1" applyFill="1" applyBorder="1" applyAlignment="1" applyProtection="1">
      <alignment horizontal="center" vertical="center"/>
      <protection hidden="1"/>
    </xf>
    <xf numFmtId="183" fontId="85" fillId="25" borderId="88" xfId="0" applyNumberFormat="1" applyFont="1" applyFill="1" applyBorder="1" applyAlignment="1" applyProtection="1">
      <alignment horizontal="center" vertical="center"/>
      <protection hidden="1"/>
    </xf>
    <xf numFmtId="194" fontId="85" fillId="26" borderId="92" xfId="0" applyNumberFormat="1" applyFont="1" applyFill="1" applyBorder="1" applyAlignment="1" applyProtection="1">
      <alignment horizontal="center" vertical="center"/>
      <protection hidden="1"/>
    </xf>
    <xf numFmtId="183" fontId="72" fillId="26" borderId="93" xfId="0" applyNumberFormat="1" applyFont="1" applyFill="1" applyBorder="1" applyAlignment="1" applyProtection="1">
      <alignment horizontal="center" vertical="center"/>
      <protection hidden="1"/>
    </xf>
    <xf numFmtId="183" fontId="85" fillId="25" borderId="94" xfId="0" applyNumberFormat="1" applyFont="1" applyFill="1" applyBorder="1" applyAlignment="1" applyProtection="1">
      <alignment horizontal="center" vertical="center"/>
      <protection hidden="1"/>
    </xf>
    <xf numFmtId="194" fontId="73" fillId="25" borderId="16" xfId="0" applyNumberFormat="1" applyFont="1" applyFill="1" applyBorder="1" applyAlignment="1" applyProtection="1">
      <alignment horizontal="center" vertical="center"/>
      <protection hidden="1"/>
    </xf>
    <xf numFmtId="183" fontId="25" fillId="25" borderId="95" xfId="0" applyNumberFormat="1" applyFont="1" applyFill="1" applyBorder="1" applyAlignment="1" applyProtection="1">
      <alignment horizontal="center" vertical="center"/>
      <protection hidden="1"/>
    </xf>
    <xf numFmtId="194" fontId="73" fillId="25" borderId="17" xfId="0" applyNumberFormat="1" applyFont="1" applyFill="1" applyBorder="1" applyAlignment="1" applyProtection="1">
      <alignment horizontal="center" vertical="center"/>
      <protection hidden="1"/>
    </xf>
    <xf numFmtId="194" fontId="73" fillId="27" borderId="96" xfId="0" applyNumberFormat="1" applyFont="1" applyFill="1" applyBorder="1" applyAlignment="1" applyProtection="1">
      <alignment horizontal="center" vertical="center"/>
      <protection hidden="1"/>
    </xf>
    <xf numFmtId="183" fontId="25" fillId="24" borderId="44" xfId="0" applyNumberFormat="1" applyFont="1" applyFill="1" applyBorder="1" applyAlignment="1" applyProtection="1">
      <alignment horizontal="center" vertical="center"/>
      <protection hidden="1"/>
    </xf>
    <xf numFmtId="194" fontId="73" fillId="25" borderId="97" xfId="0" applyNumberFormat="1" applyFont="1" applyFill="1" applyBorder="1" applyAlignment="1" applyProtection="1">
      <alignment horizontal="center" vertical="center"/>
      <protection hidden="1"/>
    </xf>
    <xf numFmtId="183" fontId="25" fillId="24" borderId="84" xfId="0" applyNumberFormat="1" applyFont="1" applyFill="1" applyBorder="1" applyAlignment="1" applyProtection="1">
      <alignment horizontal="center" vertical="center"/>
      <protection hidden="1"/>
    </xf>
    <xf numFmtId="180" fontId="7" fillId="24" borderId="0" xfId="0" applyNumberFormat="1" applyFont="1" applyFill="1" applyBorder="1" applyAlignment="1" applyProtection="1">
      <alignment horizontal="left" vertical="center"/>
      <protection hidden="1"/>
    </xf>
    <xf numFmtId="183" fontId="27" fillId="0" borderId="0" xfId="0" applyNumberFormat="1" applyFont="1" applyFill="1" applyBorder="1" applyAlignment="1" applyProtection="1">
      <alignment horizontal="center" vertical="center"/>
      <protection hidden="1"/>
    </xf>
    <xf numFmtId="184" fontId="13" fillId="24" borderId="0" xfId="0" applyNumberFormat="1" applyFont="1" applyFill="1" applyBorder="1" applyAlignment="1" applyProtection="1">
      <alignment horizontal="center" vertical="center"/>
      <protection hidden="1"/>
    </xf>
    <xf numFmtId="40" fontId="7" fillId="24" borderId="0" xfId="35" applyNumberFormat="1" applyFont="1" applyFill="1" applyBorder="1" applyAlignment="1" applyProtection="1">
      <alignment vertical="center"/>
      <protection hidden="1"/>
    </xf>
    <xf numFmtId="40" fontId="35" fillId="24" borderId="0" xfId="35" applyNumberFormat="1" applyFont="1" applyFill="1" applyBorder="1" applyAlignment="1" applyProtection="1">
      <alignment vertical="center"/>
      <protection hidden="1"/>
    </xf>
    <xf numFmtId="0" fontId="35" fillId="24" borderId="0" xfId="0" quotePrefix="1" applyNumberFormat="1" applyFont="1" applyFill="1" applyBorder="1" applyAlignment="1" applyProtection="1">
      <alignment horizontal="center" vertical="center"/>
      <protection hidden="1"/>
    </xf>
    <xf numFmtId="183" fontId="25" fillId="25" borderId="98" xfId="0" applyNumberFormat="1" applyFont="1" applyFill="1" applyBorder="1" applyAlignment="1" applyProtection="1">
      <alignment horizontal="center" vertical="center"/>
      <protection hidden="1"/>
    </xf>
    <xf numFmtId="0" fontId="13" fillId="25" borderId="99" xfId="0" applyFont="1" applyFill="1" applyBorder="1" applyAlignment="1" applyProtection="1">
      <alignment vertical="center"/>
      <protection hidden="1"/>
    </xf>
    <xf numFmtId="0" fontId="27" fillId="25" borderId="20" xfId="0" applyFont="1" applyFill="1" applyBorder="1" applyAlignment="1" applyProtection="1">
      <alignment horizontal="right" vertical="center"/>
      <protection hidden="1"/>
    </xf>
    <xf numFmtId="0" fontId="10" fillId="24" borderId="21" xfId="0" applyFont="1" applyFill="1" applyBorder="1" applyAlignment="1" applyProtection="1">
      <alignment horizontal="right" vertical="center"/>
      <protection hidden="1"/>
    </xf>
    <xf numFmtId="0" fontId="7" fillId="24" borderId="0" xfId="0" applyFont="1" applyFill="1" applyBorder="1" applyAlignment="1" applyProtection="1">
      <alignment horizontal="left" vertical="center"/>
      <protection hidden="1"/>
    </xf>
    <xf numFmtId="0" fontId="5" fillId="25" borderId="100" xfId="0" quotePrefix="1" applyFont="1" applyFill="1" applyBorder="1" applyAlignment="1" applyProtection="1">
      <alignment vertical="center"/>
      <protection hidden="1"/>
    </xf>
    <xf numFmtId="0" fontId="64" fillId="0" borderId="0" xfId="0" applyFont="1" applyAlignment="1">
      <alignment horizontal="left" vertical="center"/>
    </xf>
    <xf numFmtId="0" fontId="10" fillId="24" borderId="0" xfId="0" applyFont="1" applyFill="1" applyAlignment="1" applyProtection="1">
      <alignment horizontal="center" vertical="center"/>
      <protection hidden="1"/>
    </xf>
    <xf numFmtId="0" fontId="3" fillId="0" borderId="0" xfId="0" applyFont="1" applyFill="1" applyAlignment="1" applyProtection="1">
      <alignment vertical="center"/>
    </xf>
    <xf numFmtId="0" fontId="84" fillId="0" borderId="0" xfId="0" applyFont="1" applyFill="1" applyAlignment="1" applyProtection="1">
      <alignment vertical="center"/>
      <protection hidden="1"/>
    </xf>
    <xf numFmtId="0" fontId="39" fillId="24" borderId="0" xfId="0" applyFont="1" applyFill="1" applyAlignment="1" applyProtection="1">
      <alignment vertical="center"/>
    </xf>
    <xf numFmtId="0" fontId="39" fillId="0" borderId="0" xfId="0" applyFont="1" applyFill="1" applyAlignment="1" applyProtection="1">
      <alignment vertical="center"/>
    </xf>
    <xf numFmtId="179" fontId="3" fillId="0" borderId="0" xfId="0" applyNumberFormat="1" applyFont="1" applyFill="1" applyBorder="1" applyAlignment="1" applyProtection="1">
      <alignment vertical="center" wrapText="1"/>
    </xf>
    <xf numFmtId="0" fontId="3" fillId="24" borderId="0" xfId="0" applyFont="1" applyFill="1" applyAlignment="1" applyProtection="1">
      <alignment vertical="top"/>
      <protection hidden="1"/>
    </xf>
    <xf numFmtId="0" fontId="42" fillId="24" borderId="0" xfId="0" applyFont="1" applyFill="1" applyAlignment="1" applyProtection="1">
      <alignment vertical="center"/>
      <protection hidden="1"/>
    </xf>
    <xf numFmtId="0" fontId="42" fillId="24" borderId="0" xfId="0" applyFont="1" applyFill="1" applyAlignment="1" applyProtection="1">
      <alignment horizontal="left" vertical="center"/>
    </xf>
    <xf numFmtId="0" fontId="64" fillId="0" borderId="0" xfId="0" applyFont="1">
      <alignment vertical="center"/>
    </xf>
    <xf numFmtId="0" fontId="10" fillId="24" borderId="0" xfId="0" applyFont="1" applyFill="1" applyProtection="1">
      <alignment vertical="center"/>
    </xf>
    <xf numFmtId="0" fontId="88" fillId="24" borderId="0" xfId="0" applyFont="1" applyFill="1" applyAlignment="1" applyProtection="1">
      <alignment vertical="center"/>
      <protection hidden="1"/>
    </xf>
    <xf numFmtId="179" fontId="3" fillId="24" borderId="0" xfId="0" applyNumberFormat="1" applyFont="1" applyFill="1" applyBorder="1" applyAlignment="1" applyProtection="1">
      <alignment vertical="center"/>
    </xf>
    <xf numFmtId="0" fontId="42" fillId="24" borderId="0" xfId="29" applyFont="1" applyFill="1" applyAlignment="1" applyProtection="1">
      <alignment horizontal="left"/>
      <protection hidden="1"/>
    </xf>
    <xf numFmtId="178" fontId="2" fillId="24" borderId="17" xfId="35" applyNumberFormat="1" applyFont="1" applyFill="1" applyBorder="1" applyAlignment="1" applyProtection="1">
      <alignment horizontal="right" vertical="center"/>
      <protection locked="0"/>
    </xf>
    <xf numFmtId="38" fontId="3" fillId="0" borderId="10" xfId="35" applyFont="1" applyFill="1" applyBorder="1" applyAlignment="1" applyProtection="1">
      <alignment horizontal="center" vertical="center"/>
      <protection hidden="1"/>
    </xf>
    <xf numFmtId="0" fontId="5" fillId="0" borderId="0" xfId="0" applyFont="1" applyFill="1" applyAlignment="1" applyProtection="1">
      <alignment vertical="center"/>
      <protection hidden="1"/>
    </xf>
    <xf numFmtId="38" fontId="10" fillId="0" borderId="10" xfId="35" applyFont="1" applyFill="1" applyBorder="1" applyAlignment="1" applyProtection="1">
      <alignment horizontal="center" vertical="center"/>
      <protection hidden="1"/>
    </xf>
    <xf numFmtId="178" fontId="10" fillId="0" borderId="10" xfId="0" applyNumberFormat="1" applyFont="1" applyFill="1" applyBorder="1" applyAlignment="1" applyProtection="1">
      <alignment horizontal="center" vertical="center"/>
      <protection hidden="1"/>
    </xf>
    <xf numFmtId="0" fontId="77" fillId="0" borderId="10" xfId="0" applyFont="1" applyFill="1" applyBorder="1" applyAlignment="1" applyProtection="1">
      <alignment vertical="center"/>
      <protection hidden="1"/>
    </xf>
    <xf numFmtId="178" fontId="10" fillId="0" borderId="10" xfId="0" quotePrefix="1" applyNumberFormat="1" applyFont="1" applyFill="1" applyBorder="1" applyAlignment="1" applyProtection="1">
      <alignment horizontal="center" vertical="center"/>
      <protection hidden="1"/>
    </xf>
    <xf numFmtId="0" fontId="77" fillId="0" borderId="10" xfId="0" applyFont="1" applyFill="1" applyBorder="1" applyAlignment="1" applyProtection="1">
      <alignment horizontal="center" vertical="center"/>
      <protection hidden="1"/>
    </xf>
    <xf numFmtId="195" fontId="3" fillId="0" borderId="10" xfId="35" applyNumberFormat="1" applyFont="1" applyFill="1" applyBorder="1" applyAlignment="1" applyProtection="1">
      <alignment horizontal="center" vertical="center"/>
      <protection hidden="1"/>
    </xf>
    <xf numFmtId="196" fontId="10" fillId="26" borderId="44" xfId="0" applyNumberFormat="1" applyFont="1" applyFill="1" applyBorder="1" applyAlignment="1" applyProtection="1">
      <alignment horizontal="center" vertical="center"/>
      <protection locked="0" hidden="1"/>
    </xf>
    <xf numFmtId="0" fontId="23" fillId="0" borderId="10" xfId="0" applyFont="1" applyFill="1" applyBorder="1" applyAlignment="1" applyProtection="1">
      <alignment horizontal="center" vertical="center"/>
      <protection hidden="1"/>
    </xf>
    <xf numFmtId="0" fontId="68" fillId="0" borderId="0" xfId="0" applyFont="1" applyFill="1" applyProtection="1">
      <alignment vertical="center"/>
    </xf>
    <xf numFmtId="0" fontId="34" fillId="0" borderId="0" xfId="0" applyFont="1" applyFill="1" applyProtection="1">
      <alignment vertical="center"/>
    </xf>
    <xf numFmtId="0" fontId="75" fillId="0" borderId="0" xfId="0" applyFont="1" applyFill="1" applyAlignment="1" applyProtection="1">
      <alignment horizontal="left" vertical="center"/>
      <protection hidden="1"/>
    </xf>
    <xf numFmtId="0" fontId="39" fillId="0" borderId="0" xfId="0" applyFont="1" applyFill="1" applyProtection="1">
      <alignment vertical="center"/>
    </xf>
    <xf numFmtId="0" fontId="89" fillId="0" borderId="0" xfId="0" applyFont="1" applyFill="1" applyBorder="1" applyProtection="1">
      <alignment vertical="center"/>
      <protection hidden="1"/>
    </xf>
    <xf numFmtId="177" fontId="89" fillId="0" borderId="0" xfId="0" applyNumberFormat="1" applyFont="1" applyFill="1" applyBorder="1" applyProtection="1">
      <alignment vertical="center"/>
      <protection hidden="1"/>
    </xf>
    <xf numFmtId="0" fontId="65" fillId="0" borderId="0" xfId="0" applyFont="1" applyFill="1" applyBorder="1" applyProtection="1">
      <alignment vertical="center"/>
      <protection hidden="1"/>
    </xf>
    <xf numFmtId="177" fontId="65" fillId="0" borderId="0" xfId="0" applyNumberFormat="1" applyFont="1" applyFill="1" applyBorder="1" applyProtection="1">
      <alignment vertical="center"/>
      <protection hidden="1"/>
    </xf>
    <xf numFmtId="0" fontId="65" fillId="0" borderId="0" xfId="0" applyFont="1" applyFill="1" applyProtection="1">
      <alignment vertical="center"/>
      <protection hidden="1"/>
    </xf>
    <xf numFmtId="0" fontId="14" fillId="31" borderId="52" xfId="0" applyFont="1" applyFill="1" applyBorder="1" applyAlignment="1" applyProtection="1">
      <alignment horizontal="left" vertical="center"/>
      <protection hidden="1"/>
    </xf>
    <xf numFmtId="0" fontId="14" fillId="31" borderId="53" xfId="0" applyFont="1" applyFill="1" applyBorder="1" applyAlignment="1" applyProtection="1">
      <alignment horizontal="left" vertical="center"/>
      <protection hidden="1"/>
    </xf>
    <xf numFmtId="176" fontId="38" fillId="0" borderId="10" xfId="0" applyNumberFormat="1" applyFont="1" applyFill="1" applyBorder="1" applyAlignment="1" applyProtection="1">
      <alignment horizontal="right"/>
      <protection hidden="1"/>
    </xf>
    <xf numFmtId="0" fontId="10" fillId="24" borderId="51" xfId="0" applyFont="1" applyFill="1" applyBorder="1" applyAlignment="1" applyProtection="1">
      <alignment horizontal="center" vertical="justify"/>
      <protection hidden="1"/>
    </xf>
    <xf numFmtId="0" fontId="10" fillId="24" borderId="17" xfId="0" applyFont="1" applyFill="1" applyBorder="1" applyAlignment="1" applyProtection="1">
      <alignment horizontal="center" vertical="justify"/>
      <protection hidden="1"/>
    </xf>
    <xf numFmtId="0" fontId="32" fillId="27" borderId="20" xfId="0" applyFont="1" applyFill="1" applyBorder="1" applyAlignment="1" applyProtection="1">
      <alignment horizontal="right" vertical="center"/>
      <protection hidden="1"/>
    </xf>
    <xf numFmtId="0" fontId="10" fillId="24" borderId="10" xfId="0" applyNumberFormat="1" applyFont="1" applyFill="1" applyBorder="1" applyAlignment="1" applyProtection="1">
      <alignment horizontal="center" vertical="justify"/>
      <protection hidden="1"/>
    </xf>
    <xf numFmtId="0" fontId="25" fillId="25" borderId="10" xfId="0" applyNumberFormat="1" applyFont="1" applyFill="1" applyBorder="1" applyAlignment="1" applyProtection="1">
      <alignment horizontal="center" vertical="center"/>
      <protection hidden="1"/>
    </xf>
    <xf numFmtId="0" fontId="10" fillId="0" borderId="10" xfId="0" applyNumberFormat="1" applyFont="1" applyFill="1" applyBorder="1" applyAlignment="1" applyProtection="1">
      <alignment horizontal="center" vertical="justify"/>
      <protection hidden="1"/>
    </xf>
    <xf numFmtId="0" fontId="85" fillId="0" borderId="10" xfId="0" applyNumberFormat="1" applyFont="1" applyFill="1" applyBorder="1" applyAlignment="1" applyProtection="1">
      <alignment horizontal="center" vertical="center"/>
      <protection hidden="1"/>
    </xf>
    <xf numFmtId="0" fontId="73" fillId="0" borderId="10" xfId="0" applyNumberFormat="1" applyFont="1" applyFill="1" applyBorder="1" applyAlignment="1" applyProtection="1">
      <alignment horizontal="center" vertical="center"/>
      <protection hidden="1"/>
    </xf>
    <xf numFmtId="0" fontId="3" fillId="24" borderId="10" xfId="0" applyFont="1" applyFill="1" applyBorder="1" applyAlignment="1" applyProtection="1">
      <alignment horizontal="center" vertical="justify"/>
      <protection hidden="1"/>
    </xf>
    <xf numFmtId="0" fontId="65" fillId="0" borderId="0" xfId="0" applyNumberFormat="1" applyFont="1" applyFill="1" applyBorder="1" applyProtection="1">
      <alignment vertical="center"/>
      <protection hidden="1"/>
    </xf>
    <xf numFmtId="0" fontId="38" fillId="0" borderId="10" xfId="0" applyNumberFormat="1" applyFont="1" applyFill="1" applyBorder="1" applyAlignment="1" applyProtection="1">
      <alignment horizontal="left" vertical="center"/>
      <protection hidden="1"/>
    </xf>
    <xf numFmtId="0" fontId="68" fillId="0" borderId="10" xfId="0" applyNumberFormat="1" applyFont="1" applyFill="1" applyBorder="1" applyProtection="1">
      <alignment vertical="center"/>
      <protection hidden="1"/>
    </xf>
    <xf numFmtId="0" fontId="38" fillId="0" borderId="10" xfId="0" applyNumberFormat="1" applyFont="1" applyFill="1" applyBorder="1" applyAlignment="1" applyProtection="1">
      <alignment horizontal="right"/>
      <protection hidden="1"/>
    </xf>
    <xf numFmtId="0" fontId="2" fillId="0" borderId="10" xfId="0" applyNumberFormat="1" applyFont="1" applyFill="1" applyBorder="1" applyProtection="1">
      <alignment vertical="center"/>
      <protection hidden="1"/>
    </xf>
    <xf numFmtId="0" fontId="38" fillId="0" borderId="10" xfId="0" applyNumberFormat="1" applyFont="1" applyFill="1" applyBorder="1" applyProtection="1">
      <alignment vertical="center"/>
      <protection hidden="1"/>
    </xf>
    <xf numFmtId="0" fontId="38" fillId="0" borderId="0" xfId="0" applyNumberFormat="1" applyFont="1" applyFill="1" applyBorder="1" applyProtection="1">
      <alignment vertical="center"/>
      <protection hidden="1"/>
    </xf>
    <xf numFmtId="0" fontId="38" fillId="0" borderId="10" xfId="35" applyNumberFormat="1" applyFont="1" applyFill="1" applyBorder="1" applyAlignment="1" applyProtection="1">
      <protection hidden="1"/>
    </xf>
    <xf numFmtId="0" fontId="13" fillId="0" borderId="0" xfId="0" applyNumberFormat="1" applyFont="1" applyFill="1" applyBorder="1" applyAlignment="1" applyProtection="1">
      <alignment horizontal="left" vertical="center"/>
      <protection hidden="1"/>
    </xf>
    <xf numFmtId="0" fontId="38" fillId="0" borderId="0" xfId="0" applyNumberFormat="1" applyFont="1" applyFill="1" applyBorder="1" applyAlignment="1" applyProtection="1">
      <alignment horizontal="right"/>
      <protection hidden="1"/>
    </xf>
    <xf numFmtId="186" fontId="38" fillId="0" borderId="10" xfId="35" applyNumberFormat="1" applyFont="1" applyFill="1" applyBorder="1" applyAlignment="1" applyProtection="1">
      <alignment horizontal="right"/>
      <protection hidden="1"/>
    </xf>
    <xf numFmtId="197" fontId="38" fillId="0" borderId="10" xfId="0" applyNumberFormat="1" applyFont="1" applyFill="1" applyBorder="1" applyAlignment="1" applyProtection="1">
      <alignment horizontal="left"/>
      <protection hidden="1"/>
    </xf>
    <xf numFmtId="0" fontId="48" fillId="0" borderId="0" xfId="0" applyFont="1" applyFill="1" applyBorder="1" applyAlignment="1" applyProtection="1">
      <alignment vertical="center"/>
      <protection hidden="1"/>
    </xf>
    <xf numFmtId="0" fontId="36"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3" fontId="19" fillId="0" borderId="0" xfId="0" applyNumberFormat="1" applyFont="1" applyFill="1" applyBorder="1" applyAlignment="1" applyProtection="1">
      <alignment horizontal="left" vertical="center"/>
    </xf>
    <xf numFmtId="0" fontId="0" fillId="25" borderId="101" xfId="0" applyFill="1" applyBorder="1" applyAlignment="1" applyProtection="1">
      <alignment horizontal="center" vertical="center"/>
    </xf>
    <xf numFmtId="0" fontId="0" fillId="25" borderId="102" xfId="0" applyFill="1" applyBorder="1" applyAlignment="1" applyProtection="1">
      <alignment horizontal="center" vertical="center" wrapText="1"/>
    </xf>
    <xf numFmtId="0" fontId="0" fillId="0" borderId="0" xfId="0" applyFill="1" applyAlignment="1" applyProtection="1">
      <alignment horizontal="left" vertical="center"/>
    </xf>
    <xf numFmtId="0" fontId="0" fillId="0" borderId="0" xfId="0" applyFill="1">
      <alignment vertical="center"/>
    </xf>
    <xf numFmtId="0" fontId="0" fillId="0" borderId="0" xfId="0" applyFill="1" applyAlignment="1">
      <alignment horizontal="left" vertical="center"/>
    </xf>
    <xf numFmtId="0" fontId="13" fillId="0" borderId="99" xfId="0" applyFont="1" applyFill="1" applyBorder="1" applyProtection="1">
      <alignment vertical="center"/>
    </xf>
    <xf numFmtId="0" fontId="13" fillId="0" borderId="99" xfId="0" applyFont="1" applyFill="1" applyBorder="1" applyAlignment="1" applyProtection="1">
      <alignment horizontal="left" vertical="top" wrapText="1"/>
    </xf>
    <xf numFmtId="38" fontId="38" fillId="0" borderId="10" xfId="35" applyFont="1" applyFill="1" applyBorder="1" applyAlignment="1" applyProtection="1">
      <protection hidden="1"/>
    </xf>
    <xf numFmtId="0" fontId="3" fillId="25" borderId="42" xfId="0" applyFont="1" applyFill="1" applyBorder="1" applyAlignment="1" applyProtection="1">
      <alignment horizontal="center" vertical="center"/>
      <protection hidden="1"/>
    </xf>
    <xf numFmtId="192" fontId="10" fillId="25" borderId="42" xfId="0" applyNumberFormat="1" applyFont="1" applyFill="1" applyBorder="1" applyAlignment="1" applyProtection="1">
      <alignment horizontal="center" vertical="center" wrapText="1"/>
      <protection hidden="1"/>
    </xf>
    <xf numFmtId="177" fontId="10" fillId="25" borderId="17" xfId="0" applyNumberFormat="1" applyFont="1" applyFill="1" applyBorder="1" applyAlignment="1" applyProtection="1">
      <alignment horizontal="center" vertical="center" wrapText="1"/>
      <protection hidden="1"/>
    </xf>
    <xf numFmtId="2" fontId="3" fillId="26" borderId="17" xfId="0" applyNumberFormat="1" applyFont="1" applyFill="1" applyBorder="1" applyAlignment="1" applyProtection="1">
      <alignment horizontal="center" vertical="center"/>
      <protection hidden="1"/>
    </xf>
    <xf numFmtId="0" fontId="39" fillId="25" borderId="72" xfId="0" applyFont="1" applyFill="1" applyBorder="1" applyAlignment="1" applyProtection="1">
      <alignment horizontal="center" vertical="center"/>
      <protection hidden="1"/>
    </xf>
    <xf numFmtId="0" fontId="5" fillId="26" borderId="103" xfId="0" applyFont="1" applyFill="1" applyBorder="1" applyAlignment="1" applyProtection="1">
      <alignment horizontal="center" vertical="center"/>
      <protection locked="0" hidden="1"/>
    </xf>
    <xf numFmtId="0" fontId="5" fillId="26" borderId="104" xfId="0" applyFont="1" applyFill="1" applyBorder="1" applyAlignment="1" applyProtection="1">
      <alignment horizontal="center" vertical="center"/>
      <protection locked="0" hidden="1"/>
    </xf>
    <xf numFmtId="0" fontId="10" fillId="24" borderId="0" xfId="0" applyFont="1" applyFill="1" applyAlignment="1" applyProtection="1">
      <alignment horizontal="right" vertical="center"/>
      <protection hidden="1"/>
    </xf>
    <xf numFmtId="180" fontId="7" fillId="26" borderId="105" xfId="0" applyNumberFormat="1" applyFont="1" applyFill="1" applyBorder="1" applyAlignment="1" applyProtection="1">
      <alignment horizontal="center"/>
      <protection hidden="1"/>
    </xf>
    <xf numFmtId="180" fontId="7" fillId="26" borderId="106" xfId="0" applyNumberFormat="1" applyFont="1" applyFill="1" applyBorder="1" applyAlignment="1" applyProtection="1">
      <alignment horizontal="center"/>
      <protection hidden="1"/>
    </xf>
    <xf numFmtId="195" fontId="3" fillId="0" borderId="0" xfId="35" applyNumberFormat="1" applyFont="1" applyFill="1" applyBorder="1" applyAlignment="1" applyProtection="1">
      <alignment horizontal="center" vertical="center"/>
      <protection hidden="1"/>
    </xf>
    <xf numFmtId="0" fontId="42" fillId="24" borderId="0" xfId="0" applyFont="1" applyFill="1" applyAlignment="1" applyProtection="1">
      <alignment horizontal="center" vertical="center"/>
      <protection hidden="1"/>
    </xf>
    <xf numFmtId="38" fontId="68" fillId="0" borderId="10" xfId="0" applyNumberFormat="1" applyFont="1" applyFill="1" applyBorder="1" applyProtection="1">
      <alignment vertical="center"/>
    </xf>
    <xf numFmtId="0" fontId="94" fillId="31" borderId="79" xfId="0" applyFont="1" applyFill="1" applyBorder="1" applyAlignment="1" applyProtection="1">
      <alignment horizontal="right" vertical="center"/>
      <protection hidden="1"/>
    </xf>
    <xf numFmtId="0" fontId="14" fillId="31" borderId="78" xfId="0" applyFont="1" applyFill="1" applyBorder="1" applyAlignment="1" applyProtection="1">
      <alignment vertical="center"/>
      <protection hidden="1"/>
    </xf>
    <xf numFmtId="0" fontId="94" fillId="31" borderId="79" xfId="0" applyFont="1" applyFill="1" applyBorder="1" applyAlignment="1" applyProtection="1">
      <alignment vertical="center"/>
      <protection hidden="1"/>
    </xf>
    <xf numFmtId="0" fontId="14" fillId="31" borderId="26" xfId="0" applyFont="1" applyFill="1" applyBorder="1" applyAlignment="1" applyProtection="1">
      <alignment vertical="center"/>
      <protection hidden="1"/>
    </xf>
    <xf numFmtId="0" fontId="52" fillId="31" borderId="52" xfId="0" applyFont="1" applyFill="1" applyBorder="1" applyAlignment="1" applyProtection="1">
      <alignment vertical="center"/>
      <protection hidden="1"/>
    </xf>
    <xf numFmtId="0" fontId="52" fillId="31" borderId="52" xfId="0" applyFont="1" applyFill="1" applyBorder="1" applyAlignment="1" applyProtection="1">
      <alignment horizontal="right" vertical="center"/>
      <protection hidden="1"/>
    </xf>
    <xf numFmtId="0" fontId="32" fillId="31" borderId="52" xfId="0" applyFont="1" applyFill="1" applyBorder="1" applyAlignment="1" applyProtection="1">
      <alignment horizontal="right" vertical="top"/>
      <protection hidden="1"/>
    </xf>
    <xf numFmtId="0" fontId="45" fillId="31" borderId="52" xfId="0" applyFont="1" applyFill="1" applyBorder="1" applyAlignment="1" applyProtection="1">
      <alignment horizontal="center" vertical="center"/>
      <protection hidden="1"/>
    </xf>
    <xf numFmtId="0" fontId="48" fillId="31" borderId="52" xfId="0" applyFont="1" applyFill="1" applyBorder="1" applyAlignment="1" applyProtection="1">
      <alignment vertical="center"/>
      <protection hidden="1"/>
    </xf>
    <xf numFmtId="0" fontId="32" fillId="31" borderId="53" xfId="0" applyFont="1" applyFill="1" applyBorder="1" applyAlignment="1" applyProtection="1">
      <alignment horizontal="right" vertical="center"/>
      <protection hidden="1"/>
    </xf>
    <xf numFmtId="176" fontId="55" fillId="27" borderId="0" xfId="0" applyNumberFormat="1" applyFont="1" applyFill="1" applyBorder="1" applyAlignment="1" applyProtection="1">
      <alignment horizontal="right" vertical="center"/>
      <protection hidden="1"/>
    </xf>
    <xf numFmtId="182" fontId="55" fillId="27" borderId="0" xfId="0" applyNumberFormat="1" applyFont="1" applyFill="1" applyBorder="1" applyAlignment="1" applyProtection="1">
      <alignment horizontal="right" vertical="center"/>
      <protection hidden="1"/>
    </xf>
    <xf numFmtId="0" fontId="68"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13" fillId="0" borderId="0" xfId="0" applyFont="1" applyFill="1" applyAlignment="1" applyProtection="1">
      <alignment vertical="center"/>
    </xf>
    <xf numFmtId="0" fontId="13"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13" fillId="0" borderId="0" xfId="0" applyFont="1" applyFill="1" applyBorder="1" applyAlignment="1" applyProtection="1">
      <protection hidden="1"/>
    </xf>
    <xf numFmtId="0" fontId="68" fillId="0" borderId="0" xfId="0" applyFont="1" applyFill="1" applyBorder="1" applyProtection="1">
      <alignment vertical="center"/>
      <protection hidden="1"/>
    </xf>
    <xf numFmtId="0" fontId="13" fillId="0" borderId="0" xfId="0" applyFont="1" applyFill="1" applyBorder="1" applyAlignment="1" applyProtection="1"/>
    <xf numFmtId="0" fontId="68" fillId="0" borderId="0" xfId="0" applyFont="1" applyFill="1" applyBorder="1" applyProtection="1">
      <alignment vertical="center"/>
    </xf>
    <xf numFmtId="0" fontId="27"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13" fillId="0" borderId="0" xfId="0" applyFont="1" applyFill="1" applyBorder="1" applyAlignment="1">
      <alignment vertical="center" shrinkToFi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shrinkToFit="1"/>
    </xf>
    <xf numFmtId="2" fontId="3" fillId="0" borderId="0" xfId="0" applyNumberFormat="1" applyFont="1" applyFill="1" applyBorder="1" applyAlignment="1" applyProtection="1">
      <alignment horizontal="left" vertical="center"/>
    </xf>
    <xf numFmtId="179" fontId="10" fillId="25" borderId="49" xfId="0" applyNumberFormat="1" applyFont="1" applyFill="1" applyBorder="1" applyAlignment="1" applyProtection="1">
      <alignment horizontal="center" vertical="center"/>
      <protection hidden="1"/>
    </xf>
    <xf numFmtId="0" fontId="3" fillId="0" borderId="10" xfId="0" applyFont="1" applyFill="1" applyBorder="1" applyAlignment="1" applyProtection="1">
      <alignment vertical="center"/>
      <protection hidden="1"/>
    </xf>
    <xf numFmtId="0" fontId="88" fillId="24" borderId="21" xfId="0" applyFont="1" applyFill="1" applyBorder="1" applyAlignment="1" applyProtection="1">
      <alignment vertical="center"/>
      <protection hidden="1"/>
    </xf>
    <xf numFmtId="0" fontId="39" fillId="0" borderId="0" xfId="0" applyFont="1" applyAlignment="1" applyProtection="1">
      <alignment vertical="center"/>
    </xf>
    <xf numFmtId="179" fontId="3" fillId="24" borderId="0" xfId="0" applyNumberFormat="1" applyFont="1" applyFill="1" applyBorder="1" applyAlignment="1" applyProtection="1">
      <alignment vertical="center" wrapText="1"/>
      <protection hidden="1"/>
    </xf>
    <xf numFmtId="0" fontId="3" fillId="0" borderId="10" xfId="0" applyFont="1" applyFill="1" applyBorder="1" applyAlignment="1" applyProtection="1">
      <alignment horizontal="center" vertical="center"/>
      <protection hidden="1"/>
    </xf>
    <xf numFmtId="0" fontId="3" fillId="0" borderId="0" xfId="0" applyFont="1" applyFill="1" applyBorder="1" applyAlignment="1" applyProtection="1">
      <alignment vertical="center"/>
      <protection hidden="1"/>
    </xf>
    <xf numFmtId="0" fontId="42" fillId="24" borderId="0" xfId="0" applyFont="1" applyFill="1" applyBorder="1" applyAlignment="1" applyProtection="1">
      <alignment horizontal="center" vertical="center"/>
      <protection hidden="1"/>
    </xf>
    <xf numFmtId="0" fontId="40" fillId="24" borderId="0" xfId="0" applyFont="1" applyFill="1" applyProtection="1">
      <alignment vertical="center"/>
      <protection hidden="1"/>
    </xf>
    <xf numFmtId="0" fontId="40" fillId="24" borderId="0" xfId="0" applyFont="1" applyFill="1" applyBorder="1" applyAlignment="1" applyProtection="1">
      <alignment horizontal="left" vertical="center"/>
      <protection hidden="1"/>
    </xf>
    <xf numFmtId="0" fontId="41" fillId="24" borderId="0" xfId="0" applyFont="1" applyFill="1" applyBorder="1" applyAlignment="1" applyProtection="1">
      <alignment horizontal="left" vertical="center"/>
      <protection hidden="1"/>
    </xf>
    <xf numFmtId="0" fontId="40" fillId="24" borderId="0" xfId="0" applyFont="1" applyFill="1" applyBorder="1" applyAlignment="1" applyProtection="1">
      <alignment horizontal="right" vertical="center"/>
      <protection hidden="1"/>
    </xf>
    <xf numFmtId="0" fontId="40" fillId="24" borderId="0" xfId="0" applyFont="1" applyFill="1" applyBorder="1" applyAlignment="1" applyProtection="1">
      <alignment vertical="center"/>
      <protection hidden="1"/>
    </xf>
    <xf numFmtId="0" fontId="42" fillId="24" borderId="0" xfId="0" applyFont="1" applyFill="1" applyBorder="1" applyAlignment="1" applyProtection="1">
      <alignment vertical="center"/>
      <protection hidden="1"/>
    </xf>
    <xf numFmtId="14" fontId="38" fillId="24" borderId="0" xfId="0" applyNumberFormat="1" applyFont="1" applyFill="1" applyBorder="1" applyAlignment="1" applyProtection="1">
      <alignment horizontal="center" vertical="center"/>
      <protection hidden="1"/>
    </xf>
    <xf numFmtId="0" fontId="40" fillId="0" borderId="0" xfId="0" applyFont="1" applyFill="1" applyProtection="1">
      <alignment vertical="center"/>
      <protection hidden="1"/>
    </xf>
    <xf numFmtId="0" fontId="38" fillId="24" borderId="0" xfId="0" applyFont="1" applyFill="1" applyProtection="1">
      <alignment vertical="center"/>
      <protection hidden="1"/>
    </xf>
    <xf numFmtId="0" fontId="65" fillId="0" borderId="79" xfId="0" applyFont="1" applyFill="1" applyBorder="1" applyProtection="1">
      <alignment vertical="center"/>
      <protection hidden="1"/>
    </xf>
    <xf numFmtId="0" fontId="65" fillId="0" borderId="19" xfId="0" applyFont="1" applyFill="1" applyBorder="1" applyProtection="1">
      <alignment vertical="center"/>
      <protection hidden="1"/>
    </xf>
    <xf numFmtId="0" fontId="38" fillId="0" borderId="0" xfId="0" applyFont="1" applyFill="1" applyProtection="1">
      <alignment vertical="center"/>
      <protection hidden="1"/>
    </xf>
    <xf numFmtId="0" fontId="65" fillId="0" borderId="23" xfId="0" applyFont="1" applyFill="1" applyBorder="1" applyProtection="1">
      <alignment vertical="center"/>
      <protection hidden="1"/>
    </xf>
    <xf numFmtId="0" fontId="65" fillId="0" borderId="20" xfId="0" applyFont="1" applyFill="1" applyBorder="1" applyProtection="1">
      <alignment vertical="center"/>
      <protection hidden="1"/>
    </xf>
    <xf numFmtId="0" fontId="65" fillId="0" borderId="10" xfId="0" applyFont="1" applyFill="1" applyBorder="1" applyProtection="1">
      <alignment vertical="center"/>
      <protection hidden="1"/>
    </xf>
    <xf numFmtId="0" fontId="65" fillId="0" borderId="24" xfId="0" applyFont="1" applyFill="1" applyBorder="1" applyProtection="1">
      <alignment vertical="center"/>
      <protection hidden="1"/>
    </xf>
    <xf numFmtId="0" fontId="38" fillId="0" borderId="0" xfId="0" applyFont="1" applyFill="1" applyBorder="1" applyProtection="1">
      <alignment vertical="center"/>
      <protection hidden="1"/>
    </xf>
    <xf numFmtId="0" fontId="65" fillId="24" borderId="23" xfId="0" applyFont="1" applyFill="1" applyBorder="1" applyProtection="1">
      <alignment vertical="center"/>
      <protection hidden="1"/>
    </xf>
    <xf numFmtId="176" fontId="38" fillId="0" borderId="10" xfId="0" applyNumberFormat="1" applyFont="1" applyFill="1" applyBorder="1" applyProtection="1">
      <alignment vertical="center"/>
      <protection hidden="1"/>
    </xf>
    <xf numFmtId="176" fontId="65" fillId="0" borderId="0" xfId="0" applyNumberFormat="1" applyFont="1" applyFill="1" applyBorder="1" applyProtection="1">
      <alignment vertical="center"/>
      <protection hidden="1"/>
    </xf>
    <xf numFmtId="198" fontId="38" fillId="0" borderId="0" xfId="0" applyNumberFormat="1" applyFont="1" applyFill="1" applyBorder="1" applyProtection="1">
      <alignment vertical="center"/>
      <protection hidden="1"/>
    </xf>
    <xf numFmtId="0" fontId="45" fillId="0" borderId="0" xfId="0" applyFont="1" applyBorder="1" applyAlignment="1" applyProtection="1">
      <alignment vertical="center"/>
      <protection hidden="1"/>
    </xf>
    <xf numFmtId="0" fontId="45" fillId="0" borderId="0" xfId="0" applyFont="1" applyBorder="1" applyAlignment="1" applyProtection="1">
      <alignment horizontal="center" vertical="center"/>
      <protection hidden="1"/>
    </xf>
    <xf numFmtId="0" fontId="48" fillId="0" borderId="0" xfId="0" applyFont="1" applyBorder="1" applyAlignment="1" applyProtection="1">
      <alignment vertical="center"/>
      <protection hidden="1"/>
    </xf>
    <xf numFmtId="0" fontId="49" fillId="0" borderId="0" xfId="0" applyFont="1" applyFill="1" applyBorder="1" applyAlignment="1" applyProtection="1">
      <alignment vertical="center"/>
      <protection hidden="1"/>
    </xf>
    <xf numFmtId="0" fontId="44" fillId="0" borderId="0" xfId="0" applyFont="1" applyFill="1" applyBorder="1" applyAlignment="1" applyProtection="1">
      <alignment horizontal="left" vertical="center"/>
      <protection hidden="1"/>
    </xf>
    <xf numFmtId="0" fontId="44" fillId="0" borderId="0" xfId="0" applyFont="1" applyFill="1" applyBorder="1" applyAlignment="1" applyProtection="1">
      <alignment horizontal="right" vertical="center"/>
      <protection hidden="1"/>
    </xf>
    <xf numFmtId="0" fontId="44" fillId="0" borderId="0" xfId="0" applyFont="1" applyBorder="1" applyAlignment="1" applyProtection="1">
      <alignment vertical="center"/>
      <protection hidden="1"/>
    </xf>
    <xf numFmtId="0" fontId="44" fillId="0" borderId="0" xfId="0" applyFont="1" applyFill="1" applyBorder="1" applyAlignment="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center" vertical="center"/>
      <protection hidden="1"/>
    </xf>
    <xf numFmtId="0" fontId="65" fillId="0" borderId="0" xfId="0" applyFont="1" applyFill="1" applyBorder="1" applyProtection="1">
      <alignment vertical="center"/>
      <protection locked="0"/>
    </xf>
    <xf numFmtId="0" fontId="65" fillId="0" borderId="20" xfId="0" applyFont="1" applyFill="1" applyBorder="1" applyProtection="1">
      <alignment vertical="center"/>
      <protection locked="0"/>
    </xf>
    <xf numFmtId="3" fontId="51" fillId="24" borderId="0" xfId="0" applyNumberFormat="1" applyFont="1" applyFill="1" applyBorder="1" applyAlignment="1" applyProtection="1">
      <alignment horizontal="left" vertical="center"/>
      <protection locked="0"/>
    </xf>
    <xf numFmtId="0" fontId="66" fillId="0" borderId="0" xfId="0" applyFont="1" applyFill="1" applyProtection="1">
      <alignment vertical="center"/>
      <protection hidden="1"/>
    </xf>
    <xf numFmtId="0" fontId="2" fillId="0" borderId="0" xfId="0" applyFont="1" applyFill="1" applyProtection="1">
      <alignment vertical="center"/>
      <protection hidden="1"/>
    </xf>
    <xf numFmtId="0" fontId="17" fillId="28" borderId="52" xfId="0" applyNumberFormat="1" applyFont="1" applyFill="1" applyBorder="1" applyAlignment="1" applyProtection="1">
      <alignment horizontal="left" vertical="center"/>
      <protection hidden="1"/>
    </xf>
    <xf numFmtId="185" fontId="74" fillId="24" borderId="0" xfId="0" applyNumberFormat="1" applyFont="1" applyFill="1" applyAlignment="1" applyProtection="1">
      <alignment horizontal="center"/>
      <protection hidden="1"/>
    </xf>
    <xf numFmtId="0" fontId="3" fillId="0" borderId="51" xfId="0" applyFont="1" applyFill="1" applyBorder="1" applyProtection="1">
      <alignment vertical="center"/>
      <protection hidden="1"/>
    </xf>
    <xf numFmtId="0" fontId="3" fillId="0" borderId="42" xfId="0" applyFont="1" applyFill="1" applyBorder="1" applyProtection="1">
      <alignment vertical="center"/>
      <protection hidden="1"/>
    </xf>
    <xf numFmtId="0" fontId="66" fillId="0" borderId="10" xfId="0" applyFont="1" applyFill="1" applyBorder="1" applyProtection="1">
      <alignment vertical="center"/>
      <protection hidden="1"/>
    </xf>
    <xf numFmtId="185" fontId="6" fillId="32" borderId="107" xfId="0" applyNumberFormat="1" applyFont="1" applyFill="1" applyBorder="1" applyAlignment="1" applyProtection="1">
      <alignment horizontal="left" vertical="center" wrapText="1"/>
      <protection hidden="1"/>
    </xf>
    <xf numFmtId="0" fontId="74" fillId="24" borderId="10" xfId="0" applyNumberFormat="1" applyFont="1" applyFill="1" applyBorder="1" applyAlignment="1" applyProtection="1">
      <alignment horizontal="center" vertical="center" wrapText="1"/>
      <protection hidden="1"/>
    </xf>
    <xf numFmtId="0" fontId="74" fillId="32" borderId="10" xfId="0" applyNumberFormat="1" applyFont="1" applyFill="1" applyBorder="1" applyAlignment="1" applyProtection="1">
      <alignment horizontal="center" vertical="center"/>
      <protection hidden="1"/>
    </xf>
    <xf numFmtId="0" fontId="74" fillId="0" borderId="10" xfId="0" applyNumberFormat="1" applyFont="1" applyBorder="1" applyAlignment="1" applyProtection="1">
      <alignment horizontal="center" vertical="center"/>
      <protection hidden="1"/>
    </xf>
    <xf numFmtId="183" fontId="74" fillId="24" borderId="0" xfId="0" applyNumberFormat="1" applyFont="1" applyFill="1" applyBorder="1" applyAlignment="1" applyProtection="1">
      <alignment horizontal="center"/>
      <protection hidden="1"/>
    </xf>
    <xf numFmtId="183" fontId="25" fillId="25" borderId="108" xfId="0" applyNumberFormat="1" applyFont="1" applyFill="1" applyBorder="1" applyAlignment="1" applyProtection="1">
      <alignment horizontal="center" vertical="center"/>
      <protection hidden="1"/>
    </xf>
    <xf numFmtId="0" fontId="92" fillId="26" borderId="0" xfId="0" applyFont="1" applyFill="1" applyBorder="1" applyAlignment="1" applyProtection="1">
      <protection hidden="1"/>
    </xf>
    <xf numFmtId="0" fontId="100" fillId="26" borderId="0" xfId="0" applyFont="1" applyFill="1" applyBorder="1" applyAlignment="1" applyProtection="1">
      <alignment vertical="center"/>
      <protection hidden="1"/>
    </xf>
    <xf numFmtId="0" fontId="2" fillId="25" borderId="109" xfId="0" applyFont="1" applyFill="1" applyBorder="1" applyProtection="1">
      <alignment vertical="center"/>
      <protection hidden="1"/>
    </xf>
    <xf numFmtId="0" fontId="2" fillId="25" borderId="110" xfId="0" applyFont="1" applyFill="1" applyBorder="1" applyAlignment="1" applyProtection="1">
      <alignment horizontal="left" vertical="center"/>
      <protection hidden="1"/>
    </xf>
    <xf numFmtId="178" fontId="2" fillId="25" borderId="110" xfId="0" applyNumberFormat="1" applyFont="1" applyFill="1" applyBorder="1" applyAlignment="1" applyProtection="1">
      <alignment horizontal="right" vertical="center"/>
    </xf>
    <xf numFmtId="0" fontId="3" fillId="25" borderId="40" xfId="0" applyFont="1" applyFill="1" applyBorder="1" applyAlignment="1" applyProtection="1">
      <alignment horizontal="left" vertical="center"/>
      <protection hidden="1"/>
    </xf>
    <xf numFmtId="179" fontId="10" fillId="25" borderId="111" xfId="0" applyNumberFormat="1" applyFont="1" applyFill="1" applyBorder="1" applyAlignment="1" applyProtection="1">
      <alignment horizontal="center" vertical="center"/>
      <protection hidden="1"/>
    </xf>
    <xf numFmtId="0" fontId="42" fillId="0" borderId="0" xfId="0" applyFont="1" applyBorder="1">
      <alignment vertical="center"/>
    </xf>
    <xf numFmtId="178" fontId="10" fillId="0" borderId="0" xfId="0" applyNumberFormat="1" applyFont="1" applyFill="1" applyBorder="1" applyAlignment="1" applyProtection="1">
      <alignment horizontal="center" vertical="center"/>
      <protection hidden="1"/>
    </xf>
    <xf numFmtId="0" fontId="101" fillId="24" borderId="0" xfId="0" applyFont="1" applyFill="1" applyAlignment="1" applyProtection="1">
      <alignment vertical="center"/>
      <protection hidden="1"/>
    </xf>
    <xf numFmtId="0" fontId="77" fillId="0" borderId="0" xfId="0" applyFont="1" applyFill="1" applyBorder="1" applyAlignment="1" applyProtection="1">
      <alignment vertical="center"/>
      <protection hidden="1"/>
    </xf>
    <xf numFmtId="192" fontId="10" fillId="25" borderId="21" xfId="0" applyNumberFormat="1" applyFont="1" applyFill="1" applyBorder="1" applyAlignment="1" applyProtection="1">
      <alignment horizontal="center" vertical="center" wrapText="1"/>
      <protection hidden="1"/>
    </xf>
    <xf numFmtId="0" fontId="27" fillId="25" borderId="68" xfId="0" applyFont="1" applyFill="1" applyBorder="1" applyAlignment="1" applyProtection="1">
      <alignment horizontal="left" vertical="center"/>
      <protection hidden="1"/>
    </xf>
    <xf numFmtId="194" fontId="85" fillId="25" borderId="83" xfId="0" applyNumberFormat="1" applyFont="1" applyFill="1" applyBorder="1" applyAlignment="1" applyProtection="1">
      <alignment horizontal="center" vertical="center"/>
      <protection hidden="1"/>
    </xf>
    <xf numFmtId="0" fontId="5" fillId="25" borderId="77" xfId="0" applyFont="1" applyFill="1" applyBorder="1" applyProtection="1">
      <alignment vertical="center"/>
      <protection hidden="1"/>
    </xf>
    <xf numFmtId="2" fontId="74" fillId="24" borderId="10" xfId="0" applyNumberFormat="1" applyFont="1" applyFill="1" applyBorder="1" applyAlignment="1" applyProtection="1">
      <alignment horizontal="center" vertical="center" wrapText="1"/>
      <protection hidden="1"/>
    </xf>
    <xf numFmtId="0" fontId="10" fillId="33" borderId="10" xfId="0" applyNumberFormat="1" applyFont="1" applyFill="1" applyBorder="1" applyAlignment="1" applyProtection="1">
      <alignment horizontal="center" vertical="justify"/>
      <protection hidden="1"/>
    </xf>
    <xf numFmtId="0" fontId="3" fillId="25" borderId="99" xfId="0" applyFont="1" applyFill="1" applyBorder="1" applyAlignment="1" applyProtection="1">
      <alignment vertical="center"/>
      <protection hidden="1"/>
    </xf>
    <xf numFmtId="0" fontId="5" fillId="25" borderId="51" xfId="0" quotePrefix="1" applyFont="1" applyFill="1" applyBorder="1" applyAlignment="1" applyProtection="1">
      <alignment vertical="center"/>
      <protection hidden="1"/>
    </xf>
    <xf numFmtId="179" fontId="3" fillId="25" borderId="112" xfId="0" applyNumberFormat="1" applyFont="1" applyFill="1" applyBorder="1" applyAlignment="1" applyProtection="1">
      <alignment horizontal="center" vertical="center"/>
      <protection hidden="1"/>
    </xf>
    <xf numFmtId="179" fontId="3" fillId="25" borderId="70" xfId="0" applyNumberFormat="1" applyFont="1" applyFill="1" applyBorder="1" applyAlignment="1" applyProtection="1">
      <alignment horizontal="center" vertical="center"/>
      <protection hidden="1"/>
    </xf>
    <xf numFmtId="0" fontId="27" fillId="0" borderId="0" xfId="0" applyFont="1" applyFill="1" applyBorder="1" applyAlignment="1">
      <alignment vertical="center"/>
    </xf>
    <xf numFmtId="38" fontId="10" fillId="0" borderId="0" xfId="35" applyFont="1" applyFill="1" applyBorder="1" applyAlignment="1" applyProtection="1">
      <alignment horizontal="center" vertical="center"/>
      <protection hidden="1"/>
    </xf>
    <xf numFmtId="178" fontId="10" fillId="0" borderId="0" xfId="0" quotePrefix="1" applyNumberFormat="1" applyFont="1" applyFill="1" applyBorder="1" applyAlignment="1" applyProtection="1">
      <alignment horizontal="center" vertical="center"/>
      <protection hidden="1"/>
    </xf>
    <xf numFmtId="38" fontId="3" fillId="0" borderId="0" xfId="35" applyFont="1" applyFill="1" applyBorder="1" applyAlignment="1" applyProtection="1">
      <alignment horizontal="center" vertical="center"/>
      <protection hidden="1"/>
    </xf>
    <xf numFmtId="179" fontId="27" fillId="25" borderId="14" xfId="0" applyNumberFormat="1" applyFont="1" applyFill="1" applyBorder="1" applyAlignment="1" applyProtection="1">
      <alignment horizontal="center" vertical="center"/>
      <protection hidden="1"/>
    </xf>
    <xf numFmtId="179" fontId="27" fillId="25" borderId="13" xfId="0" applyNumberFormat="1" applyFont="1" applyFill="1" applyBorder="1" applyAlignment="1" applyProtection="1">
      <alignment horizontal="center" vertical="center"/>
      <protection hidden="1"/>
    </xf>
    <xf numFmtId="0" fontId="3" fillId="24" borderId="0" xfId="0" applyFont="1" applyFill="1">
      <alignment vertical="center"/>
    </xf>
    <xf numFmtId="0" fontId="3" fillId="0" borderId="0" xfId="0" applyFont="1" applyFill="1">
      <alignment vertical="center"/>
    </xf>
    <xf numFmtId="0" fontId="76" fillId="24" borderId="0" xfId="0" applyFont="1" applyFill="1" applyAlignment="1" applyProtection="1">
      <alignment horizontal="left" vertical="center"/>
      <protection hidden="1"/>
    </xf>
    <xf numFmtId="176" fontId="38" fillId="0" borderId="10" xfId="0" applyNumberFormat="1" applyFont="1" applyFill="1" applyBorder="1" applyAlignment="1" applyProtection="1">
      <protection hidden="1"/>
    </xf>
    <xf numFmtId="0" fontId="92" fillId="0" borderId="0" xfId="0" applyFont="1" applyFill="1" applyBorder="1" applyAlignment="1" applyProtection="1">
      <protection hidden="1"/>
    </xf>
    <xf numFmtId="0" fontId="100" fillId="0" borderId="0" xfId="0" applyFont="1" applyFill="1" applyBorder="1" applyAlignment="1" applyProtection="1">
      <alignment vertical="center"/>
      <protection hidden="1"/>
    </xf>
    <xf numFmtId="0" fontId="66" fillId="0" borderId="10" xfId="0" applyFont="1" applyFill="1" applyBorder="1" applyAlignment="1" applyProtection="1">
      <alignment horizontal="center" vertical="center"/>
      <protection hidden="1"/>
    </xf>
    <xf numFmtId="0" fontId="5" fillId="25" borderId="113" xfId="0" quotePrefix="1" applyFont="1" applyFill="1" applyBorder="1" applyAlignment="1" applyProtection="1">
      <alignment vertical="center"/>
      <protection hidden="1"/>
    </xf>
    <xf numFmtId="0" fontId="27" fillId="25" borderId="99" xfId="0" applyNumberFormat="1" applyFont="1" applyFill="1" applyBorder="1" applyAlignment="1" applyProtection="1">
      <alignment horizontal="left" vertical="center"/>
      <protection hidden="1"/>
    </xf>
    <xf numFmtId="0" fontId="11" fillId="25" borderId="82" xfId="0" applyFont="1" applyFill="1" applyBorder="1" applyAlignment="1" applyProtection="1">
      <alignment vertical="center"/>
      <protection hidden="1"/>
    </xf>
    <xf numFmtId="189" fontId="10" fillId="24" borderId="10" xfId="0" applyNumberFormat="1" applyFont="1" applyFill="1" applyBorder="1" applyAlignment="1" applyProtection="1">
      <alignment horizontal="center" vertical="justify"/>
      <protection hidden="1"/>
    </xf>
    <xf numFmtId="0" fontId="5" fillId="0" borderId="0" xfId="0" applyFont="1" applyFill="1" applyProtection="1">
      <alignment vertical="center"/>
      <protection hidden="1"/>
    </xf>
    <xf numFmtId="0" fontId="10" fillId="0" borderId="0" xfId="0" applyFont="1" applyFill="1" applyBorder="1" applyAlignment="1" applyProtection="1">
      <alignment horizontal="center" vertical="justify"/>
      <protection hidden="1"/>
    </xf>
    <xf numFmtId="191" fontId="34" fillId="25" borderId="42" xfId="0" applyNumberFormat="1" applyFont="1" applyFill="1" applyBorder="1" applyAlignment="1" applyProtection="1">
      <alignment horizontal="center" vertical="center" wrapText="1"/>
      <protection hidden="1"/>
    </xf>
    <xf numFmtId="0" fontId="3" fillId="25" borderId="51" xfId="0" applyFont="1" applyFill="1" applyBorder="1" applyAlignment="1" applyProtection="1">
      <alignment horizontal="center" vertical="center"/>
      <protection hidden="1"/>
    </xf>
    <xf numFmtId="0" fontId="3" fillId="25" borderId="17" xfId="0" applyFont="1" applyFill="1" applyBorder="1" applyAlignment="1" applyProtection="1">
      <alignment horizontal="center" vertical="center"/>
      <protection hidden="1"/>
    </xf>
    <xf numFmtId="0" fontId="3" fillId="25" borderId="114" xfId="0" applyFont="1" applyFill="1" applyBorder="1" applyAlignment="1" applyProtection="1">
      <alignment horizontal="left" vertical="center" wrapText="1"/>
      <protection hidden="1"/>
    </xf>
    <xf numFmtId="0" fontId="3" fillId="25" borderId="50" xfId="0" applyFont="1" applyFill="1" applyBorder="1" applyAlignment="1" applyProtection="1">
      <alignment horizontal="left" vertical="center" wrapText="1"/>
      <protection hidden="1"/>
    </xf>
    <xf numFmtId="0" fontId="3" fillId="25" borderId="69" xfId="0" applyFont="1" applyFill="1" applyBorder="1" applyAlignment="1" applyProtection="1">
      <alignment horizontal="center" vertical="center"/>
      <protection hidden="1"/>
    </xf>
    <xf numFmtId="0" fontId="3" fillId="25" borderId="70" xfId="0" applyFont="1" applyFill="1" applyBorder="1" applyAlignment="1" applyProtection="1">
      <alignment horizontal="center" vertical="center"/>
      <protection hidden="1"/>
    </xf>
    <xf numFmtId="0" fontId="3" fillId="25" borderId="112" xfId="0" applyFont="1" applyFill="1" applyBorder="1" applyAlignment="1" applyProtection="1">
      <alignment horizontal="left" vertical="center" wrapText="1"/>
      <protection hidden="1"/>
    </xf>
    <xf numFmtId="0" fontId="3" fillId="25" borderId="48" xfId="0" applyFont="1" applyFill="1" applyBorder="1" applyAlignment="1" applyProtection="1">
      <alignment horizontal="left" vertical="center" wrapText="1"/>
      <protection hidden="1"/>
    </xf>
    <xf numFmtId="191" fontId="34" fillId="25" borderId="21" xfId="0" applyNumberFormat="1" applyFont="1" applyFill="1" applyBorder="1" applyAlignment="1" applyProtection="1">
      <alignment horizontal="center" vertical="center" wrapText="1"/>
      <protection hidden="1"/>
    </xf>
    <xf numFmtId="178" fontId="10" fillId="0" borderId="0" xfId="0" applyNumberFormat="1" applyFont="1" applyFill="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48" fillId="0" borderId="70" xfId="0" applyFont="1" applyBorder="1" applyAlignment="1" applyProtection="1">
      <alignment horizontal="left" vertical="top" wrapText="1"/>
    </xf>
    <xf numFmtId="0" fontId="64" fillId="0" borderId="0" xfId="0" applyFont="1" applyAlignment="1" applyProtection="1">
      <alignment vertical="center"/>
      <protection hidden="1"/>
    </xf>
    <xf numFmtId="0" fontId="3" fillId="25" borderId="115" xfId="0" applyFont="1" applyFill="1" applyBorder="1" applyAlignment="1" applyProtection="1">
      <alignment horizontal="left" vertical="center" wrapText="1"/>
      <protection hidden="1"/>
    </xf>
    <xf numFmtId="0" fontId="3" fillId="25" borderId="116" xfId="0" applyFont="1" applyFill="1" applyBorder="1" applyAlignment="1" applyProtection="1">
      <alignment horizontal="left" vertical="center" wrapText="1"/>
      <protection hidden="1"/>
    </xf>
    <xf numFmtId="0" fontId="3" fillId="25" borderId="15" xfId="0" applyFont="1" applyFill="1" applyBorder="1" applyAlignment="1" applyProtection="1">
      <alignment horizontal="left" vertical="center"/>
      <protection hidden="1"/>
    </xf>
    <xf numFmtId="0" fontId="3" fillId="25" borderId="47" xfId="0" applyFont="1" applyFill="1" applyBorder="1" applyAlignment="1" applyProtection="1">
      <alignment horizontal="left" vertical="center"/>
      <protection hidden="1"/>
    </xf>
    <xf numFmtId="0" fontId="3" fillId="25" borderId="49"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34" fillId="24" borderId="0" xfId="0" applyFont="1" applyFill="1" applyAlignment="1" applyProtection="1">
      <alignment horizontal="center" vertical="center"/>
      <protection hidden="1"/>
    </xf>
    <xf numFmtId="0" fontId="3" fillId="25" borderId="54" xfId="0" applyFont="1" applyFill="1" applyBorder="1" applyAlignment="1" applyProtection="1">
      <alignment vertical="center"/>
      <protection hidden="1"/>
    </xf>
    <xf numFmtId="0" fontId="3" fillId="25" borderId="21" xfId="0" applyFont="1" applyFill="1" applyBorder="1" applyAlignment="1" applyProtection="1">
      <alignment vertical="center"/>
      <protection hidden="1"/>
    </xf>
    <xf numFmtId="0" fontId="3" fillId="25" borderId="46" xfId="0" applyFont="1" applyFill="1" applyBorder="1" applyAlignment="1" applyProtection="1">
      <alignment vertical="center" wrapText="1"/>
      <protection hidden="1"/>
    </xf>
    <xf numFmtId="0" fontId="3" fillId="25" borderId="46" xfId="0" applyFont="1" applyFill="1" applyBorder="1" applyAlignment="1" applyProtection="1">
      <alignment vertical="center"/>
      <protection hidden="1"/>
    </xf>
    <xf numFmtId="0" fontId="3" fillId="25" borderId="42" xfId="0" applyFont="1" applyFill="1" applyBorder="1" applyAlignment="1" applyProtection="1">
      <alignment horizontal="centerContinuous" vertical="center"/>
      <protection hidden="1"/>
    </xf>
    <xf numFmtId="0" fontId="3" fillId="25" borderId="17" xfId="0" applyFont="1" applyFill="1" applyBorder="1" applyAlignment="1" applyProtection="1">
      <alignment horizontal="centerContinuous" vertical="center"/>
      <protection hidden="1"/>
    </xf>
    <xf numFmtId="0" fontId="5" fillId="26" borderId="117" xfId="0" applyFont="1" applyFill="1" applyBorder="1" applyAlignment="1" applyProtection="1">
      <alignment horizontal="center" vertical="center"/>
      <protection locked="0" hidden="1"/>
    </xf>
    <xf numFmtId="0" fontId="3" fillId="25" borderId="112" xfId="0" applyFont="1" applyFill="1" applyBorder="1" applyAlignment="1" applyProtection="1">
      <alignment vertical="center"/>
      <protection hidden="1"/>
    </xf>
    <xf numFmtId="0" fontId="3" fillId="25" borderId="47" xfId="0" applyFont="1" applyFill="1" applyBorder="1" applyAlignment="1" applyProtection="1">
      <alignment vertical="center"/>
      <protection hidden="1"/>
    </xf>
    <xf numFmtId="0" fontId="3" fillId="25" borderId="15" xfId="0" applyFont="1" applyFill="1" applyBorder="1" applyAlignment="1" applyProtection="1">
      <alignment vertical="center"/>
      <protection hidden="1"/>
    </xf>
    <xf numFmtId="0" fontId="3" fillId="25" borderId="115" xfId="0" applyFont="1" applyFill="1" applyBorder="1" applyAlignment="1" applyProtection="1">
      <alignment vertical="center"/>
      <protection hidden="1"/>
    </xf>
    <xf numFmtId="0" fontId="3" fillId="25" borderId="48" xfId="0" applyFont="1" applyFill="1" applyBorder="1" applyAlignment="1" applyProtection="1">
      <alignment vertical="center"/>
      <protection hidden="1"/>
    </xf>
    <xf numFmtId="0" fontId="3" fillId="25" borderId="116" xfId="0" applyFont="1" applyFill="1" applyBorder="1" applyAlignment="1" applyProtection="1">
      <alignment vertical="center"/>
      <protection hidden="1"/>
    </xf>
    <xf numFmtId="192" fontId="10" fillId="25" borderId="54" xfId="0" applyNumberFormat="1" applyFont="1" applyFill="1" applyBorder="1" applyAlignment="1" applyProtection="1">
      <alignment horizontal="center" vertical="center" wrapText="1"/>
      <protection hidden="1"/>
    </xf>
    <xf numFmtId="0" fontId="3" fillId="25" borderId="45" xfId="0" applyFont="1" applyFill="1" applyBorder="1" applyAlignment="1" applyProtection="1">
      <alignment vertical="center"/>
      <protection hidden="1"/>
    </xf>
    <xf numFmtId="0" fontId="3" fillId="25" borderId="18" xfId="0" applyFont="1" applyFill="1" applyBorder="1" applyAlignment="1" applyProtection="1">
      <alignment vertical="center"/>
      <protection hidden="1"/>
    </xf>
    <xf numFmtId="0" fontId="3" fillId="25" borderId="114" xfId="0" applyFont="1" applyFill="1" applyBorder="1" applyAlignment="1" applyProtection="1">
      <alignment vertical="center"/>
      <protection hidden="1"/>
    </xf>
    <xf numFmtId="0" fontId="3" fillId="25" borderId="72" xfId="0" applyFont="1" applyFill="1" applyBorder="1" applyAlignment="1" applyProtection="1">
      <alignment vertical="center"/>
      <protection hidden="1"/>
    </xf>
    <xf numFmtId="0" fontId="3" fillId="25" borderId="69" xfId="0" applyFont="1" applyFill="1" applyBorder="1" applyAlignment="1" applyProtection="1">
      <alignment horizontal="centerContinuous" vertical="center"/>
      <protection hidden="1"/>
    </xf>
    <xf numFmtId="0" fontId="3" fillId="25" borderId="70" xfId="0" applyFont="1" applyFill="1" applyBorder="1" applyAlignment="1" applyProtection="1">
      <alignment horizontal="centerContinuous" vertical="center"/>
      <protection hidden="1"/>
    </xf>
    <xf numFmtId="0" fontId="3" fillId="25" borderId="97" xfId="0" applyFont="1" applyFill="1" applyBorder="1" applyAlignment="1" applyProtection="1">
      <alignment horizontal="centerContinuous" vertical="center"/>
      <protection hidden="1"/>
    </xf>
    <xf numFmtId="0" fontId="3" fillId="25" borderId="112" xfId="0" applyFont="1" applyFill="1" applyBorder="1" applyAlignment="1" applyProtection="1">
      <alignment horizontal="center" vertical="center"/>
      <protection hidden="1"/>
    </xf>
    <xf numFmtId="0" fontId="3" fillId="25" borderId="118" xfId="0" applyFont="1" applyFill="1" applyBorder="1" applyAlignment="1" applyProtection="1">
      <alignment horizontal="center" vertical="center"/>
      <protection hidden="1"/>
    </xf>
    <xf numFmtId="0" fontId="3" fillId="25" borderId="114" xfId="0" applyFont="1" applyFill="1" applyBorder="1" applyAlignment="1" applyProtection="1">
      <alignment horizontal="center" vertical="center"/>
      <protection hidden="1"/>
    </xf>
    <xf numFmtId="0" fontId="69" fillId="0" borderId="0" xfId="0" applyFont="1" applyFill="1" applyProtection="1">
      <alignment vertical="center"/>
      <protection hidden="1"/>
    </xf>
    <xf numFmtId="0" fontId="39" fillId="0" borderId="0" xfId="0" applyFont="1" applyFill="1" applyProtection="1">
      <alignment vertical="center"/>
      <protection hidden="1"/>
    </xf>
    <xf numFmtId="0" fontId="68" fillId="24" borderId="0" xfId="0" applyFont="1" applyFill="1" applyAlignment="1" applyProtection="1">
      <alignment vertical="center"/>
    </xf>
    <xf numFmtId="0" fontId="68" fillId="0" borderId="0" xfId="0" applyFont="1" applyFill="1" applyAlignment="1" applyProtection="1">
      <alignment vertical="center"/>
    </xf>
    <xf numFmtId="191" fontId="34" fillId="25" borderId="42" xfId="0" applyNumberFormat="1" applyFont="1" applyFill="1" applyBorder="1" applyAlignment="1" applyProtection="1">
      <alignment horizontal="center" vertical="center"/>
      <protection hidden="1"/>
    </xf>
    <xf numFmtId="192" fontId="10" fillId="25" borderId="42" xfId="0" applyNumberFormat="1" applyFont="1" applyFill="1" applyBorder="1" applyAlignment="1" applyProtection="1">
      <alignment horizontal="center" vertical="center"/>
      <protection hidden="1"/>
    </xf>
    <xf numFmtId="177" fontId="10" fillId="25" borderId="42" xfId="0" applyNumberFormat="1" applyFont="1" applyFill="1" applyBorder="1" applyAlignment="1" applyProtection="1">
      <alignment horizontal="center" vertical="center"/>
      <protection hidden="1"/>
    </xf>
    <xf numFmtId="177" fontId="10" fillId="25" borderId="17" xfId="0" applyNumberFormat="1" applyFont="1" applyFill="1" applyBorder="1" applyAlignment="1" applyProtection="1">
      <alignment horizontal="center" vertical="center"/>
      <protection hidden="1"/>
    </xf>
    <xf numFmtId="0" fontId="3" fillId="25" borderId="47" xfId="0" applyFont="1" applyFill="1" applyBorder="1" applyAlignment="1" applyProtection="1">
      <alignment horizontal="center" vertical="center"/>
      <protection hidden="1"/>
    </xf>
    <xf numFmtId="0" fontId="3" fillId="25" borderId="49" xfId="0" applyFont="1" applyFill="1" applyBorder="1" applyAlignment="1" applyProtection="1">
      <alignment horizontal="center" vertical="center"/>
      <protection hidden="1"/>
    </xf>
    <xf numFmtId="0" fontId="3" fillId="25" borderId="49" xfId="0" applyFont="1" applyFill="1" applyBorder="1" applyAlignment="1" applyProtection="1">
      <alignment vertical="center"/>
      <protection hidden="1"/>
    </xf>
    <xf numFmtId="0" fontId="75" fillId="24" borderId="0" xfId="0" applyFont="1" applyFill="1" applyAlignment="1" applyProtection="1">
      <alignment horizontal="right" vertical="center"/>
      <protection hidden="1"/>
    </xf>
    <xf numFmtId="0" fontId="34" fillId="0" borderId="0" xfId="0" applyFont="1" applyAlignment="1">
      <alignment horizontal="right" vertical="center"/>
    </xf>
    <xf numFmtId="0" fontId="42" fillId="24" borderId="0" xfId="0" applyFont="1" applyFill="1" applyAlignment="1" applyProtection="1">
      <alignment horizontal="right" vertical="center"/>
      <protection hidden="1"/>
    </xf>
    <xf numFmtId="0" fontId="42" fillId="0" borderId="0" xfId="0" applyFont="1" applyFill="1" applyAlignment="1" applyProtection="1">
      <alignment horizontal="right" vertical="center"/>
    </xf>
    <xf numFmtId="0" fontId="42" fillId="0" borderId="0" xfId="0" applyFont="1" applyAlignment="1">
      <alignment horizontal="right" vertical="center"/>
    </xf>
    <xf numFmtId="0" fontId="75" fillId="0" borderId="0" xfId="0" applyFont="1" applyFill="1" applyAlignment="1" applyProtection="1">
      <alignment horizontal="right" vertical="center"/>
    </xf>
    <xf numFmtId="0" fontId="42" fillId="24" borderId="0" xfId="0" applyFont="1" applyFill="1" applyAlignment="1" applyProtection="1">
      <alignment horizontal="right" vertical="center"/>
    </xf>
    <xf numFmtId="0" fontId="0" fillId="25" borderId="112" xfId="0" applyFill="1" applyBorder="1" applyAlignment="1">
      <alignment vertical="center" wrapText="1"/>
    </xf>
    <xf numFmtId="0" fontId="0" fillId="25" borderId="48" xfId="0" applyFill="1" applyBorder="1" applyAlignment="1">
      <alignment vertical="center" wrapText="1"/>
    </xf>
    <xf numFmtId="0" fontId="5" fillId="26" borderId="88" xfId="0" applyFont="1" applyFill="1" applyBorder="1" applyAlignment="1" applyProtection="1">
      <alignment horizontal="center" vertical="center"/>
      <protection locked="0" hidden="1"/>
    </xf>
    <xf numFmtId="38" fontId="68" fillId="0" borderId="0" xfId="0" applyNumberFormat="1" applyFont="1" applyFill="1" applyBorder="1" applyProtection="1">
      <alignment vertical="center"/>
    </xf>
    <xf numFmtId="0" fontId="3" fillId="25" borderId="18" xfId="0" applyFont="1" applyFill="1" applyBorder="1" applyAlignment="1" applyProtection="1">
      <alignment vertical="center" wrapText="1"/>
      <protection hidden="1"/>
    </xf>
    <xf numFmtId="0" fontId="3" fillId="25" borderId="43" xfId="0" applyFont="1" applyFill="1" applyBorder="1" applyAlignment="1" applyProtection="1">
      <alignment horizontal="center" vertical="center"/>
      <protection hidden="1"/>
    </xf>
    <xf numFmtId="0" fontId="3" fillId="25" borderId="119" xfId="0" applyFont="1" applyFill="1" applyBorder="1" applyAlignment="1" applyProtection="1">
      <alignment horizontal="center" vertical="center"/>
      <protection hidden="1"/>
    </xf>
    <xf numFmtId="0" fontId="3" fillId="25" borderId="13" xfId="0" applyFont="1" applyFill="1" applyBorder="1" applyAlignment="1" applyProtection="1">
      <alignment horizontal="center" vertical="center"/>
      <protection hidden="1"/>
    </xf>
    <xf numFmtId="0" fontId="10" fillId="25" borderId="10" xfId="0" applyFont="1" applyFill="1" applyBorder="1" applyAlignment="1" applyProtection="1">
      <alignment horizontal="center" vertical="center"/>
      <protection hidden="1"/>
    </xf>
    <xf numFmtId="0" fontId="3" fillId="0" borderId="10" xfId="0" applyFont="1" applyFill="1" applyBorder="1" applyProtection="1">
      <alignment vertical="center"/>
    </xf>
    <xf numFmtId="0" fontId="68" fillId="25" borderId="116" xfId="0" quotePrefix="1" applyFont="1" applyFill="1" applyBorder="1" applyAlignment="1" applyProtection="1">
      <alignment horizontal="center" vertical="center"/>
      <protection hidden="1"/>
    </xf>
    <xf numFmtId="0" fontId="3" fillId="25" borderId="115" xfId="0" applyFont="1" applyFill="1" applyBorder="1" applyAlignment="1" applyProtection="1">
      <alignment horizontal="left" vertical="center"/>
      <protection hidden="1"/>
    </xf>
    <xf numFmtId="0" fontId="3" fillId="25" borderId="116" xfId="0" applyFont="1" applyFill="1" applyBorder="1" applyAlignment="1" applyProtection="1">
      <alignment horizontal="left" vertical="center"/>
      <protection hidden="1"/>
    </xf>
    <xf numFmtId="0" fontId="3" fillId="25" borderId="112" xfId="0" applyFont="1" applyFill="1" applyBorder="1" applyAlignment="1" applyProtection="1">
      <alignment horizontal="left" vertical="center"/>
      <protection hidden="1"/>
    </xf>
    <xf numFmtId="0" fontId="3" fillId="25" borderId="48" xfId="0" applyFont="1" applyFill="1" applyBorder="1" applyAlignment="1" applyProtection="1">
      <alignment horizontal="left" vertical="center"/>
      <protection hidden="1"/>
    </xf>
    <xf numFmtId="38" fontId="68" fillId="0" borderId="10" xfId="0" applyNumberFormat="1" applyFont="1" applyFill="1" applyBorder="1" applyAlignment="1" applyProtection="1">
      <alignment horizontal="center" vertical="center"/>
    </xf>
    <xf numFmtId="0" fontId="68" fillId="25" borderId="112" xfId="0" applyFont="1" applyFill="1" applyBorder="1" applyAlignment="1">
      <alignment vertical="center"/>
    </xf>
    <xf numFmtId="0" fontId="68" fillId="25" borderId="48" xfId="0" applyFont="1" applyFill="1" applyBorder="1" applyAlignment="1">
      <alignment vertical="center"/>
    </xf>
    <xf numFmtId="0" fontId="68" fillId="25" borderId="114" xfId="0" applyFont="1" applyFill="1" applyBorder="1" applyAlignment="1">
      <alignment vertical="center"/>
    </xf>
    <xf numFmtId="0" fontId="68" fillId="25" borderId="50" xfId="0" applyFont="1" applyFill="1" applyBorder="1" applyAlignment="1">
      <alignment vertical="center"/>
    </xf>
    <xf numFmtId="0" fontId="3" fillId="25" borderId="48" xfId="0" quotePrefix="1" applyFont="1" applyFill="1" applyBorder="1" applyAlignment="1" applyProtection="1">
      <alignment horizontal="center" vertical="center"/>
      <protection hidden="1"/>
    </xf>
    <xf numFmtId="0" fontId="3" fillId="25" borderId="48" xfId="0" applyFont="1" applyFill="1" applyBorder="1" applyAlignment="1" applyProtection="1">
      <alignment horizontal="center" vertical="center"/>
      <protection hidden="1"/>
    </xf>
    <xf numFmtId="0" fontId="3" fillId="25" borderId="16" xfId="0" applyFont="1" applyFill="1" applyBorder="1" applyAlignment="1" applyProtection="1">
      <alignment horizontal="center" vertical="center"/>
      <protection hidden="1"/>
    </xf>
    <xf numFmtId="0" fontId="3" fillId="25" borderId="48" xfId="0" quotePrefix="1" applyFont="1" applyFill="1" applyBorder="1" applyAlignment="1" applyProtection="1">
      <alignment horizontal="left" vertical="center"/>
      <protection hidden="1"/>
    </xf>
    <xf numFmtId="0" fontId="3" fillId="25" borderId="16" xfId="0" applyFont="1" applyFill="1" applyBorder="1" applyAlignment="1" applyProtection="1">
      <alignment horizontal="left" vertical="center"/>
      <protection hidden="1"/>
    </xf>
    <xf numFmtId="0" fontId="3" fillId="25" borderId="112" xfId="0" quotePrefix="1" applyFont="1" applyFill="1" applyBorder="1" applyAlignment="1" applyProtection="1">
      <alignment horizontal="center" vertical="center"/>
      <protection hidden="1"/>
    </xf>
    <xf numFmtId="0" fontId="3" fillId="25" borderId="45" xfId="0" applyFont="1" applyFill="1" applyBorder="1" applyAlignment="1" applyProtection="1">
      <alignment horizontal="left" vertical="center"/>
      <protection hidden="1"/>
    </xf>
    <xf numFmtId="0" fontId="3" fillId="25" borderId="72" xfId="0" applyFont="1" applyFill="1" applyBorder="1" applyAlignment="1" applyProtection="1">
      <alignment horizontal="center" vertical="center"/>
      <protection hidden="1"/>
    </xf>
    <xf numFmtId="0" fontId="42" fillId="0" borderId="0" xfId="0" applyFont="1" applyFill="1" applyAlignment="1" applyProtection="1">
      <alignment horizontal="left" vertical="center"/>
      <protection hidden="1"/>
    </xf>
    <xf numFmtId="0" fontId="34" fillId="0" borderId="0" xfId="0" applyFont="1" applyFill="1" applyAlignment="1" applyProtection="1">
      <alignment horizontal="left" vertical="center"/>
      <protection hidden="1"/>
    </xf>
    <xf numFmtId="0" fontId="34" fillId="0" borderId="0" xfId="0" applyFont="1" applyFill="1" applyAlignment="1" applyProtection="1">
      <alignment horizontal="left" vertical="center"/>
    </xf>
    <xf numFmtId="0" fontId="39" fillId="24" borderId="0" xfId="0" applyFont="1" applyFill="1" applyAlignment="1" applyProtection="1">
      <alignment vertical="center" wrapText="1"/>
      <protection hidden="1"/>
    </xf>
    <xf numFmtId="0" fontId="27" fillId="0" borderId="0" xfId="0" applyFont="1" applyFill="1" applyBorder="1" applyAlignment="1">
      <alignment horizontal="left" vertical="center"/>
    </xf>
    <xf numFmtId="0" fontId="34" fillId="24" borderId="0" xfId="0" applyFont="1" applyFill="1" applyBorder="1" applyAlignment="1" applyProtection="1">
      <alignment vertical="center"/>
      <protection hidden="1"/>
    </xf>
    <xf numFmtId="0" fontId="68" fillId="25" borderId="112" xfId="0" applyFont="1" applyFill="1" applyBorder="1" applyAlignment="1">
      <alignment horizontal="left" vertical="center"/>
    </xf>
    <xf numFmtId="0" fontId="68" fillId="25" borderId="48" xfId="0" applyFont="1" applyFill="1" applyBorder="1" applyAlignment="1">
      <alignment horizontal="left" vertical="center"/>
    </xf>
    <xf numFmtId="0" fontId="68" fillId="25" borderId="114" xfId="0" applyFont="1" applyFill="1" applyBorder="1" applyAlignment="1">
      <alignment horizontal="left" vertical="center"/>
    </xf>
    <xf numFmtId="0" fontId="3" fillId="0" borderId="0" xfId="0" applyFont="1" applyAlignment="1">
      <alignment vertical="top"/>
    </xf>
    <xf numFmtId="0" fontId="39" fillId="24" borderId="0" xfId="0" applyFont="1" applyFill="1" applyAlignment="1" applyProtection="1">
      <alignment horizontal="left" vertical="center"/>
      <protection hidden="1"/>
    </xf>
    <xf numFmtId="0" fontId="10" fillId="24" borderId="0" xfId="0" applyFont="1" applyFill="1" applyAlignment="1" applyProtection="1">
      <alignment horizontal="left" vertical="center"/>
      <protection hidden="1"/>
    </xf>
    <xf numFmtId="179" fontId="10" fillId="24" borderId="0" xfId="0" applyNumberFormat="1" applyFont="1" applyFill="1" applyBorder="1" applyAlignment="1" applyProtection="1">
      <alignment vertical="center" wrapText="1"/>
      <protection hidden="1"/>
    </xf>
    <xf numFmtId="0" fontId="10" fillId="0" borderId="0" xfId="0" applyFont="1" applyAlignment="1" applyProtection="1">
      <alignment vertical="center"/>
    </xf>
    <xf numFmtId="0" fontId="3" fillId="25" borderId="46" xfId="0" applyFont="1" applyFill="1" applyBorder="1" applyAlignment="1" applyProtection="1">
      <alignment horizontal="left" vertical="center"/>
      <protection hidden="1"/>
    </xf>
    <xf numFmtId="179" fontId="34" fillId="24" borderId="0" xfId="0" applyNumberFormat="1" applyFont="1" applyFill="1" applyBorder="1" applyAlignment="1" applyProtection="1">
      <alignment vertical="center"/>
      <protection hidden="1"/>
    </xf>
    <xf numFmtId="179" fontId="39" fillId="24" borderId="0" xfId="0" applyNumberFormat="1" applyFont="1" applyFill="1" applyBorder="1" applyAlignment="1" applyProtection="1">
      <alignment horizontal="center" vertical="center"/>
      <protection hidden="1"/>
    </xf>
    <xf numFmtId="0" fontId="34" fillId="0" borderId="0" xfId="0" applyFont="1">
      <alignment vertical="center"/>
    </xf>
    <xf numFmtId="38" fontId="68" fillId="0" borderId="0" xfId="0" applyNumberFormat="1" applyFont="1" applyFill="1" applyBorder="1" applyAlignment="1" applyProtection="1">
      <alignment horizontal="center" vertical="center"/>
    </xf>
    <xf numFmtId="0" fontId="40" fillId="24" borderId="0" xfId="0" applyFont="1" applyFill="1" applyAlignment="1" applyProtection="1">
      <alignment horizontal="left" vertical="center"/>
      <protection hidden="1"/>
    </xf>
    <xf numFmtId="0" fontId="40" fillId="0" borderId="0" xfId="0" applyFont="1" applyAlignment="1" applyProtection="1">
      <alignment vertical="center"/>
    </xf>
    <xf numFmtId="0" fontId="42" fillId="0" borderId="0" xfId="0" applyFont="1" applyFill="1" applyAlignment="1" applyProtection="1">
      <alignment horizontal="left" vertical="center"/>
    </xf>
    <xf numFmtId="0" fontId="10" fillId="0" borderId="0" xfId="0" applyFont="1" applyFill="1" applyAlignment="1" applyProtection="1">
      <alignment vertical="center"/>
    </xf>
    <xf numFmtId="0" fontId="39" fillId="0" borderId="0" xfId="0" applyFont="1" applyFill="1" applyAlignment="1" applyProtection="1">
      <alignment vertical="center" wrapText="1"/>
      <protection hidden="1"/>
    </xf>
    <xf numFmtId="0" fontId="3" fillId="0" borderId="0" xfId="0" applyFont="1" applyFill="1" applyAlignment="1" applyProtection="1">
      <alignment vertical="center" wrapText="1"/>
    </xf>
    <xf numFmtId="179" fontId="3" fillId="26" borderId="70" xfId="0" applyNumberFormat="1" applyFont="1" applyFill="1" applyBorder="1" applyAlignment="1" applyProtection="1">
      <alignment horizontal="centerContinuous" vertical="center"/>
      <protection hidden="1"/>
    </xf>
    <xf numFmtId="179" fontId="3" fillId="26" borderId="97" xfId="0" applyNumberFormat="1" applyFont="1" applyFill="1" applyBorder="1" applyAlignment="1" applyProtection="1">
      <alignment horizontal="centerContinuous" vertical="center"/>
      <protection hidden="1"/>
    </xf>
    <xf numFmtId="0" fontId="10" fillId="26" borderId="0" xfId="0" applyFont="1" applyFill="1" applyAlignment="1">
      <alignment vertical="center"/>
    </xf>
    <xf numFmtId="0" fontId="5" fillId="0" borderId="0" xfId="0" applyFont="1" applyFill="1" applyProtection="1">
      <alignment vertical="center"/>
    </xf>
    <xf numFmtId="0" fontId="10" fillId="26" borderId="51" xfId="0" applyFont="1" applyFill="1" applyBorder="1" applyAlignment="1">
      <alignment vertical="center"/>
    </xf>
    <xf numFmtId="0" fontId="34" fillId="24" borderId="0" xfId="0" applyFont="1" applyFill="1" applyAlignment="1" applyProtection="1">
      <alignment horizontal="right" vertical="center"/>
      <protection hidden="1"/>
    </xf>
    <xf numFmtId="179" fontId="3" fillId="25" borderId="45" xfId="0" applyNumberFormat="1" applyFont="1" applyFill="1" applyBorder="1" applyAlignment="1" applyProtection="1">
      <alignment vertical="center"/>
      <protection hidden="1"/>
    </xf>
    <xf numFmtId="0" fontId="3" fillId="25" borderId="107" xfId="0" applyFont="1" applyFill="1" applyBorder="1" applyAlignment="1" applyProtection="1">
      <alignment horizontal="center" vertical="center"/>
      <protection hidden="1"/>
    </xf>
    <xf numFmtId="0" fontId="3" fillId="25" borderId="72" xfId="0" applyFont="1" applyFill="1" applyBorder="1" applyAlignment="1" applyProtection="1">
      <alignment horizontal="centerContinuous" vertical="center"/>
      <protection hidden="1"/>
    </xf>
    <xf numFmtId="0" fontId="3" fillId="25" borderId="21" xfId="0" applyFont="1" applyFill="1" applyBorder="1" applyAlignment="1" applyProtection="1">
      <alignment horizontal="centerContinuous" vertical="center"/>
      <protection hidden="1"/>
    </xf>
    <xf numFmtId="0" fontId="3" fillId="25" borderId="54" xfId="0" applyFont="1" applyFill="1" applyBorder="1" applyAlignment="1" applyProtection="1">
      <alignment horizontal="centerContinuous" vertical="center"/>
      <protection hidden="1"/>
    </xf>
    <xf numFmtId="0" fontId="3" fillId="25" borderId="14" xfId="0" quotePrefix="1" applyFont="1" applyFill="1" applyBorder="1" applyAlignment="1" applyProtection="1">
      <alignment horizontal="center" vertical="center"/>
      <protection hidden="1"/>
    </xf>
    <xf numFmtId="38" fontId="68" fillId="0" borderId="10" xfId="35" applyFont="1" applyFill="1" applyBorder="1" applyAlignment="1" applyProtection="1">
      <alignment horizontal="center" vertical="center"/>
    </xf>
    <xf numFmtId="38" fontId="3" fillId="0" borderId="10" xfId="35" applyFont="1" applyFill="1" applyBorder="1" applyAlignment="1" applyProtection="1">
      <alignment horizontal="center" vertical="center"/>
    </xf>
    <xf numFmtId="0" fontId="3" fillId="25" borderId="120" xfId="0" applyFont="1" applyFill="1" applyBorder="1" applyAlignment="1" applyProtection="1">
      <alignment horizontal="center" vertical="center" wrapText="1"/>
      <protection hidden="1"/>
    </xf>
    <xf numFmtId="0" fontId="0" fillId="25" borderId="18" xfId="0" applyFill="1" applyBorder="1" applyAlignment="1">
      <alignment horizontal="left" vertical="center" wrapText="1"/>
    </xf>
    <xf numFmtId="188" fontId="10" fillId="0" borderId="10" xfId="0" applyNumberFormat="1" applyFont="1" applyFill="1" applyBorder="1" applyAlignment="1" applyProtection="1">
      <alignment horizontal="center" vertical="justify"/>
      <protection hidden="1"/>
    </xf>
    <xf numFmtId="188" fontId="85" fillId="0" borderId="10" xfId="0" applyNumberFormat="1" applyFont="1" applyFill="1" applyBorder="1" applyAlignment="1" applyProtection="1">
      <alignment horizontal="center" vertical="center"/>
      <protection hidden="1"/>
    </xf>
    <xf numFmtId="188" fontId="73" fillId="0" borderId="10" xfId="0" applyNumberFormat="1" applyFont="1" applyFill="1" applyBorder="1" applyAlignment="1" applyProtection="1">
      <alignment horizontal="center" vertical="center"/>
      <protection hidden="1"/>
    </xf>
    <xf numFmtId="188" fontId="73" fillId="0" borderId="17" xfId="0" applyNumberFormat="1" applyFont="1" applyFill="1" applyBorder="1" applyAlignment="1" applyProtection="1">
      <alignment horizontal="center" vertical="center"/>
      <protection hidden="1"/>
    </xf>
    <xf numFmtId="0" fontId="5" fillId="25" borderId="121" xfId="0" applyFont="1" applyFill="1" applyBorder="1" applyAlignment="1" applyProtection="1">
      <alignment vertical="center"/>
      <protection hidden="1"/>
    </xf>
    <xf numFmtId="0" fontId="13" fillId="25" borderId="73" xfId="0" applyNumberFormat="1" applyFont="1" applyFill="1" applyBorder="1" applyAlignment="1" applyProtection="1">
      <alignment horizontal="left" vertical="center"/>
      <protection hidden="1"/>
    </xf>
    <xf numFmtId="0" fontId="27" fillId="25" borderId="101" xfId="0" applyFont="1" applyFill="1" applyBorder="1" applyAlignment="1" applyProtection="1">
      <alignment horizontal="center"/>
      <protection hidden="1"/>
    </xf>
    <xf numFmtId="0" fontId="5" fillId="25" borderId="107" xfId="0" applyFont="1" applyFill="1" applyBorder="1" applyAlignment="1" applyProtection="1">
      <alignment vertical="center"/>
      <protection hidden="1"/>
    </xf>
    <xf numFmtId="0" fontId="5" fillId="25" borderId="11" xfId="0" applyFont="1" applyFill="1" applyBorder="1" applyProtection="1">
      <alignment vertical="center"/>
      <protection hidden="1"/>
    </xf>
    <xf numFmtId="0" fontId="13" fillId="25" borderId="21" xfId="0" applyFont="1" applyFill="1" applyBorder="1" applyProtection="1">
      <alignment vertical="center"/>
      <protection hidden="1"/>
    </xf>
    <xf numFmtId="0" fontId="13" fillId="25" borderId="42" xfId="0" applyFont="1" applyFill="1" applyBorder="1" applyProtection="1">
      <alignment vertical="center"/>
      <protection hidden="1"/>
    </xf>
    <xf numFmtId="0" fontId="5" fillId="25" borderId="51" xfId="29" quotePrefix="1" applyNumberFormat="1" applyFont="1" applyFill="1" applyBorder="1" applyAlignment="1" applyProtection="1">
      <alignment vertical="center"/>
      <protection hidden="1"/>
    </xf>
    <xf numFmtId="0" fontId="27" fillId="25" borderId="101" xfId="0" quotePrefix="1" applyNumberFormat="1" applyFont="1" applyFill="1" applyBorder="1" applyAlignment="1" applyProtection="1">
      <alignment horizontal="center" vertical="center"/>
      <protection hidden="1"/>
    </xf>
    <xf numFmtId="0" fontId="27" fillId="25" borderId="121" xfId="0" applyFont="1" applyFill="1" applyBorder="1" applyAlignment="1" applyProtection="1">
      <alignment horizontal="center"/>
      <protection hidden="1"/>
    </xf>
    <xf numFmtId="0" fontId="5" fillId="25" borderId="120" xfId="0" applyFont="1" applyFill="1" applyBorder="1" applyAlignment="1" applyProtection="1">
      <alignment vertical="center"/>
      <protection hidden="1"/>
    </xf>
    <xf numFmtId="0" fontId="27" fillId="25" borderId="122" xfId="0" quotePrefix="1" applyNumberFormat="1" applyFont="1" applyFill="1" applyBorder="1" applyAlignment="1" applyProtection="1">
      <alignment horizontal="center" vertical="center"/>
      <protection hidden="1"/>
    </xf>
    <xf numFmtId="183" fontId="66" fillId="0" borderId="87" xfId="0" applyNumberFormat="1" applyFont="1" applyFill="1" applyBorder="1" applyAlignment="1" applyProtection="1">
      <alignment horizontal="center" vertical="center"/>
      <protection hidden="1"/>
    </xf>
    <xf numFmtId="0" fontId="35" fillId="25" borderId="21" xfId="0" applyFont="1" applyFill="1" applyBorder="1" applyAlignment="1" applyProtection="1">
      <alignment horizontal="center" vertical="top" wrapText="1"/>
      <protection hidden="1"/>
    </xf>
    <xf numFmtId="0" fontId="102" fillId="25" borderId="21" xfId="0" applyFont="1" applyFill="1" applyBorder="1" applyAlignment="1" applyProtection="1">
      <alignment vertical="top"/>
      <protection hidden="1"/>
    </xf>
    <xf numFmtId="182" fontId="16" fillId="27" borderId="0" xfId="0" applyNumberFormat="1" applyFont="1" applyFill="1" applyBorder="1" applyAlignment="1" applyProtection="1">
      <alignment horizontal="center" vertical="center"/>
      <protection hidden="1"/>
    </xf>
    <xf numFmtId="182" fontId="103" fillId="27" borderId="0" xfId="0" applyNumberFormat="1" applyFont="1" applyFill="1" applyBorder="1" applyAlignment="1" applyProtection="1">
      <alignment horizontal="center" vertical="center"/>
      <protection hidden="1"/>
    </xf>
    <xf numFmtId="0" fontId="104" fillId="26" borderId="61" xfId="0" applyNumberFormat="1" applyFont="1" applyFill="1" applyBorder="1" applyAlignment="1" applyProtection="1">
      <alignment horizontal="left" vertical="center"/>
      <protection hidden="1"/>
    </xf>
    <xf numFmtId="0" fontId="13" fillId="25" borderId="0" xfId="0" applyNumberFormat="1" applyFont="1" applyFill="1" applyBorder="1" applyAlignment="1" applyProtection="1">
      <alignment horizontal="left" vertical="center"/>
      <protection hidden="1"/>
    </xf>
    <xf numFmtId="0" fontId="13" fillId="25" borderId="0" xfId="0" applyNumberFormat="1" applyFont="1" applyFill="1" applyBorder="1" applyAlignment="1" applyProtection="1">
      <alignment vertical="center"/>
      <protection hidden="1"/>
    </xf>
    <xf numFmtId="0" fontId="13" fillId="25" borderId="10" xfId="0" applyFont="1" applyFill="1" applyBorder="1" applyAlignment="1" applyProtection="1">
      <alignment horizontal="center" vertical="center"/>
      <protection hidden="1"/>
    </xf>
    <xf numFmtId="0" fontId="105" fillId="25" borderId="0" xfId="0" applyFont="1" applyFill="1" applyBorder="1" applyAlignment="1" applyProtection="1">
      <alignment vertical="center"/>
      <protection hidden="1"/>
    </xf>
    <xf numFmtId="0" fontId="105" fillId="25" borderId="70" xfId="0" applyFont="1" applyFill="1" applyBorder="1" applyAlignment="1" applyProtection="1">
      <alignment vertical="center"/>
      <protection hidden="1"/>
    </xf>
    <xf numFmtId="0" fontId="105" fillId="25" borderId="42" xfId="0" applyFont="1" applyFill="1" applyBorder="1" applyAlignment="1" applyProtection="1">
      <alignment vertical="center"/>
      <protection hidden="1"/>
    </xf>
    <xf numFmtId="0" fontId="106" fillId="26" borderId="75" xfId="0" applyFont="1" applyFill="1" applyBorder="1" applyAlignment="1" applyProtection="1">
      <alignment horizontal="left"/>
      <protection hidden="1"/>
    </xf>
    <xf numFmtId="0" fontId="13" fillId="25" borderId="0" xfId="0" applyFont="1" applyFill="1" applyBorder="1" applyAlignment="1" applyProtection="1">
      <alignment horizontal="left" vertical="center"/>
      <protection hidden="1"/>
    </xf>
    <xf numFmtId="0" fontId="13" fillId="25" borderId="42" xfId="0" applyNumberFormat="1" applyFont="1" applyFill="1" applyBorder="1" applyAlignment="1" applyProtection="1">
      <alignment horizontal="left" vertical="center"/>
      <protection hidden="1"/>
    </xf>
    <xf numFmtId="0" fontId="68" fillId="26" borderId="75" xfId="0" applyNumberFormat="1" applyFont="1" applyFill="1" applyBorder="1" applyAlignment="1" applyProtection="1">
      <alignment horizontal="left" vertical="center"/>
      <protection hidden="1"/>
    </xf>
    <xf numFmtId="0" fontId="13" fillId="25" borderId="21" xfId="0" applyNumberFormat="1" applyFont="1" applyFill="1" applyBorder="1" applyAlignment="1" applyProtection="1">
      <alignment horizontal="left" vertical="center"/>
      <protection hidden="1"/>
    </xf>
    <xf numFmtId="0" fontId="68" fillId="25" borderId="99" xfId="0" applyFont="1" applyFill="1" applyBorder="1" applyAlignment="1" applyProtection="1">
      <alignment vertical="center"/>
      <protection hidden="1"/>
    </xf>
    <xf numFmtId="0" fontId="103" fillId="27" borderId="79" xfId="0" applyNumberFormat="1" applyFont="1" applyFill="1" applyBorder="1" applyAlignment="1" applyProtection="1">
      <alignment horizontal="left" vertical="center"/>
      <protection hidden="1"/>
    </xf>
    <xf numFmtId="0" fontId="13" fillId="25" borderId="43" xfId="0" applyFont="1" applyFill="1" applyBorder="1" applyAlignment="1" applyProtection="1">
      <alignment horizontal="center" vertical="center"/>
      <protection hidden="1"/>
    </xf>
    <xf numFmtId="0" fontId="13" fillId="25" borderId="99" xfId="0" applyNumberFormat="1" applyFont="1" applyFill="1" applyBorder="1" applyAlignment="1" applyProtection="1">
      <alignment horizontal="left" vertical="center"/>
      <protection hidden="1"/>
    </xf>
    <xf numFmtId="0" fontId="13" fillId="25" borderId="42" xfId="0" applyNumberFormat="1" applyFont="1" applyFill="1" applyBorder="1" applyAlignment="1" applyProtection="1">
      <alignment vertical="center"/>
      <protection hidden="1"/>
    </xf>
    <xf numFmtId="0" fontId="13" fillId="25" borderId="42" xfId="0" applyFont="1" applyFill="1" applyBorder="1" applyAlignment="1" applyProtection="1">
      <alignment horizontal="left" vertical="center"/>
      <protection hidden="1"/>
    </xf>
    <xf numFmtId="0" fontId="13" fillId="25" borderId="42" xfId="0" applyFont="1" applyFill="1" applyBorder="1" applyAlignment="1" applyProtection="1">
      <alignment horizontal="center" vertical="center"/>
      <protection hidden="1"/>
    </xf>
    <xf numFmtId="182" fontId="30" fillId="27" borderId="73" xfId="0" applyNumberFormat="1" applyFont="1" applyFill="1" applyBorder="1" applyAlignment="1" applyProtection="1">
      <alignment horizontal="center" vertical="center"/>
      <protection hidden="1"/>
    </xf>
    <xf numFmtId="0" fontId="0" fillId="25" borderId="123" xfId="0" applyFill="1" applyBorder="1" applyAlignment="1" applyProtection="1">
      <alignment horizontal="left" vertical="center" wrapText="1"/>
    </xf>
    <xf numFmtId="0" fontId="0" fillId="25" borderId="124" xfId="0" applyFill="1" applyBorder="1" applyAlignment="1" applyProtection="1">
      <alignment horizontal="left" vertical="center" wrapText="1"/>
    </xf>
    <xf numFmtId="189" fontId="74" fillId="32" borderId="10" xfId="0" applyNumberFormat="1" applyFont="1" applyFill="1" applyBorder="1" applyAlignment="1" applyProtection="1">
      <alignment horizontal="center" vertical="center"/>
      <protection hidden="1"/>
    </xf>
    <xf numFmtId="183" fontId="66" fillId="27" borderId="105" xfId="0" applyNumberFormat="1" applyFont="1" applyFill="1" applyBorder="1" applyAlignment="1" applyProtection="1">
      <alignment horizontal="center" vertical="center"/>
      <protection hidden="1"/>
    </xf>
    <xf numFmtId="183" fontId="72" fillId="26" borderId="62" xfId="0" applyNumberFormat="1" applyFont="1" applyFill="1" applyBorder="1" applyAlignment="1" applyProtection="1">
      <alignment horizontal="center" vertical="center"/>
      <protection hidden="1"/>
    </xf>
    <xf numFmtId="194" fontId="73" fillId="25" borderId="125" xfId="0" applyNumberFormat="1" applyFont="1" applyFill="1" applyBorder="1" applyAlignment="1" applyProtection="1">
      <alignment horizontal="center" vertical="center"/>
      <protection hidden="1"/>
    </xf>
    <xf numFmtId="183" fontId="85" fillId="25" borderId="126" xfId="0" applyNumberFormat="1" applyFont="1" applyFill="1" applyBorder="1" applyAlignment="1" applyProtection="1">
      <alignment horizontal="center" vertical="center"/>
      <protection hidden="1"/>
    </xf>
    <xf numFmtId="194" fontId="53" fillId="27" borderId="91" xfId="0" applyNumberFormat="1" applyFont="1" applyFill="1" applyBorder="1" applyAlignment="1" applyProtection="1">
      <alignment horizontal="center" vertical="center"/>
      <protection hidden="1"/>
    </xf>
    <xf numFmtId="194" fontId="73" fillId="25" borderId="56" xfId="0" applyNumberFormat="1" applyFont="1" applyFill="1" applyBorder="1" applyAlignment="1" applyProtection="1">
      <alignment horizontal="center" vertical="center"/>
      <protection hidden="1"/>
    </xf>
    <xf numFmtId="183" fontId="25" fillId="0" borderId="87" xfId="0" applyNumberFormat="1" applyFont="1" applyFill="1" applyBorder="1" applyAlignment="1" applyProtection="1">
      <alignment horizontal="center" vertical="center"/>
      <protection hidden="1"/>
    </xf>
    <xf numFmtId="183" fontId="25" fillId="24" borderId="94" xfId="0" applyNumberFormat="1" applyFont="1" applyFill="1" applyBorder="1" applyAlignment="1" applyProtection="1">
      <alignment horizontal="center" vertical="center"/>
      <protection hidden="1"/>
    </xf>
    <xf numFmtId="183" fontId="25" fillId="25" borderId="127" xfId="0" applyNumberFormat="1" applyFont="1" applyFill="1" applyBorder="1" applyAlignment="1" applyProtection="1">
      <alignment horizontal="center" vertical="center"/>
      <protection hidden="1"/>
    </xf>
    <xf numFmtId="194" fontId="73" fillId="25" borderId="123" xfId="0" applyNumberFormat="1" applyFont="1" applyFill="1" applyBorder="1" applyAlignment="1" applyProtection="1">
      <alignment horizontal="center" vertical="center"/>
      <protection hidden="1"/>
    </xf>
    <xf numFmtId="183" fontId="25" fillId="24" borderId="90" xfId="0" applyNumberFormat="1" applyFont="1" applyFill="1" applyBorder="1" applyAlignment="1" applyProtection="1">
      <alignment horizontal="center" vertical="center"/>
      <protection hidden="1"/>
    </xf>
    <xf numFmtId="194" fontId="73" fillId="25" borderId="128" xfId="0" applyNumberFormat="1" applyFont="1" applyFill="1" applyBorder="1" applyAlignment="1" applyProtection="1">
      <alignment horizontal="center" vertical="center"/>
      <protection hidden="1"/>
    </xf>
    <xf numFmtId="180" fontId="7" fillId="0" borderId="0" xfId="0" applyNumberFormat="1" applyFont="1" applyFill="1" applyAlignment="1" applyProtection="1">
      <alignment horizontal="left"/>
      <protection hidden="1"/>
    </xf>
    <xf numFmtId="183" fontId="13" fillId="0" borderId="0" xfId="0" applyNumberFormat="1" applyFont="1" applyFill="1" applyProtection="1">
      <alignment vertical="center"/>
      <protection hidden="1"/>
    </xf>
    <xf numFmtId="184" fontId="13" fillId="0" borderId="0" xfId="0" applyNumberFormat="1" applyFont="1" applyFill="1" applyProtection="1">
      <alignment vertical="center"/>
      <protection hidden="1"/>
    </xf>
    <xf numFmtId="185" fontId="74" fillId="0" borderId="0" xfId="0" applyNumberFormat="1" applyFont="1" applyFill="1" applyAlignment="1" applyProtection="1">
      <alignment horizontal="center"/>
      <protection hidden="1"/>
    </xf>
    <xf numFmtId="0" fontId="8" fillId="0" borderId="0" xfId="0" applyFont="1" applyFill="1" applyAlignment="1" applyProtection="1">
      <alignment horizontal="left"/>
      <protection hidden="1"/>
    </xf>
    <xf numFmtId="194" fontId="73" fillId="25" borderId="129" xfId="0" applyNumberFormat="1" applyFont="1" applyFill="1" applyBorder="1" applyAlignment="1" applyProtection="1">
      <alignment horizontal="center" vertical="center"/>
      <protection hidden="1"/>
    </xf>
    <xf numFmtId="0" fontId="5" fillId="25" borderId="23" xfId="0" applyNumberFormat="1" applyFont="1" applyFill="1" applyBorder="1" applyAlignment="1" applyProtection="1">
      <alignment vertical="center"/>
      <protection hidden="1"/>
    </xf>
    <xf numFmtId="0" fontId="8" fillId="25" borderId="0" xfId="0" applyFont="1" applyFill="1" applyBorder="1" applyAlignment="1" applyProtection="1">
      <alignment horizontal="left" vertical="center"/>
      <protection hidden="1"/>
    </xf>
    <xf numFmtId="0" fontId="33" fillId="25" borderId="0" xfId="0" applyFont="1" applyFill="1" applyBorder="1" applyAlignment="1" applyProtection="1">
      <alignment vertical="center"/>
      <protection hidden="1"/>
    </xf>
    <xf numFmtId="0" fontId="11" fillId="25" borderId="0" xfId="0" applyFont="1" applyFill="1" applyBorder="1" applyAlignment="1" applyProtection="1">
      <alignment vertical="center"/>
      <protection hidden="1"/>
    </xf>
    <xf numFmtId="0" fontId="11" fillId="25" borderId="20" xfId="0" applyFont="1" applyFill="1" applyBorder="1" applyAlignment="1" applyProtection="1">
      <alignment vertical="center"/>
      <protection hidden="1"/>
    </xf>
    <xf numFmtId="0" fontId="11" fillId="25" borderId="0" xfId="0" applyFont="1" applyFill="1" applyBorder="1" applyAlignment="1" applyProtection="1">
      <alignment horizontal="center" vertical="center"/>
      <protection hidden="1"/>
    </xf>
    <xf numFmtId="180" fontId="5" fillId="25" borderId="23" xfId="0" applyNumberFormat="1" applyFont="1" applyFill="1" applyBorder="1" applyAlignment="1" applyProtection="1">
      <alignment horizontal="centerContinuous" vertical="center"/>
      <protection hidden="1"/>
    </xf>
    <xf numFmtId="180" fontId="5" fillId="25" borderId="0" xfId="0" applyNumberFormat="1" applyFont="1" applyFill="1" applyBorder="1" applyAlignment="1" applyProtection="1">
      <alignment horizontal="centerContinuous" vertical="center"/>
      <protection hidden="1"/>
    </xf>
    <xf numFmtId="0" fontId="2" fillId="25" borderId="54" xfId="0" applyFont="1" applyFill="1" applyBorder="1" applyAlignment="1" applyProtection="1">
      <alignment horizontal="centerContinuous" vertical="center"/>
      <protection hidden="1"/>
    </xf>
    <xf numFmtId="0" fontId="2" fillId="25" borderId="21" xfId="0" applyFont="1" applyFill="1" applyBorder="1" applyAlignment="1" applyProtection="1">
      <alignment horizontal="centerContinuous" vertical="center"/>
      <protection hidden="1"/>
    </xf>
    <xf numFmtId="0" fontId="2" fillId="25" borderId="84" xfId="0" applyFont="1" applyFill="1" applyBorder="1" applyAlignment="1" applyProtection="1">
      <alignment horizontal="center" vertical="distributed"/>
      <protection hidden="1"/>
    </xf>
    <xf numFmtId="0" fontId="56" fillId="0" borderId="0" xfId="0" applyFont="1" applyFill="1" applyBorder="1" applyAlignment="1" applyProtection="1">
      <alignment horizontal="left" vertical="center"/>
      <protection hidden="1"/>
    </xf>
    <xf numFmtId="1" fontId="56" fillId="0" borderId="0" xfId="0" applyNumberFormat="1" applyFont="1" applyFill="1" applyBorder="1" applyAlignment="1" applyProtection="1">
      <alignment horizontal="left" vertical="center"/>
      <protection hidden="1"/>
    </xf>
    <xf numFmtId="0" fontId="65" fillId="0" borderId="0" xfId="0" applyFont="1" applyFill="1" applyBorder="1">
      <alignment vertical="center"/>
    </xf>
    <xf numFmtId="0" fontId="52" fillId="31" borderId="79" xfId="0" applyFont="1" applyFill="1" applyBorder="1" applyAlignment="1" applyProtection="1">
      <alignment vertical="center"/>
      <protection hidden="1"/>
    </xf>
    <xf numFmtId="0" fontId="52" fillId="31" borderId="79" xfId="0" applyFont="1" applyFill="1" applyBorder="1" applyAlignment="1" applyProtection="1">
      <alignment horizontal="right" vertical="center"/>
      <protection hidden="1"/>
    </xf>
    <xf numFmtId="0" fontId="47" fillId="31" borderId="79" xfId="0" applyFont="1" applyFill="1" applyBorder="1" applyAlignment="1" applyProtection="1">
      <alignment horizontal="right" vertical="top"/>
      <protection hidden="1"/>
    </xf>
    <xf numFmtId="0" fontId="45" fillId="31" borderId="79" xfId="0" applyFont="1" applyFill="1" applyBorder="1" applyAlignment="1" applyProtection="1">
      <alignment horizontal="center" vertical="center"/>
      <protection hidden="1"/>
    </xf>
    <xf numFmtId="0" fontId="48" fillId="31" borderId="79" xfId="0" applyFont="1" applyFill="1" applyBorder="1" applyAlignment="1" applyProtection="1">
      <alignment vertical="center"/>
      <protection hidden="1"/>
    </xf>
    <xf numFmtId="0" fontId="47" fillId="31" borderId="80" xfId="0" applyFont="1" applyFill="1" applyBorder="1" applyAlignment="1" applyProtection="1">
      <alignment horizontal="right" vertical="center"/>
      <protection hidden="1"/>
    </xf>
    <xf numFmtId="0" fontId="52" fillId="27" borderId="79" xfId="0" applyFont="1" applyFill="1" applyBorder="1" applyAlignment="1" applyProtection="1">
      <alignment vertical="center"/>
      <protection hidden="1"/>
    </xf>
    <xf numFmtId="0" fontId="45" fillId="27" borderId="79" xfId="0" applyFont="1" applyFill="1" applyBorder="1" applyAlignment="1" applyProtection="1">
      <alignment horizontal="center" vertical="center"/>
      <protection hidden="1"/>
    </xf>
    <xf numFmtId="0" fontId="107" fillId="27" borderId="0" xfId="0" applyFont="1" applyFill="1" applyBorder="1" applyAlignment="1" applyProtection="1">
      <alignment horizontal="right" vertical="center"/>
      <protection hidden="1"/>
    </xf>
    <xf numFmtId="0" fontId="108" fillId="27" borderId="78" xfId="0" applyFont="1" applyFill="1" applyBorder="1" applyAlignment="1" applyProtection="1">
      <alignment vertical="center"/>
      <protection hidden="1"/>
    </xf>
    <xf numFmtId="0" fontId="13" fillId="0" borderId="10" xfId="0" applyFont="1" applyFill="1" applyBorder="1" applyAlignment="1" applyProtection="1">
      <alignment horizontal="right" vertical="center"/>
      <protection locked="0"/>
    </xf>
    <xf numFmtId="2" fontId="13" fillId="0" borderId="0" xfId="0" applyNumberFormat="1" applyFont="1" applyFill="1" applyBorder="1" applyAlignment="1" applyProtection="1"/>
    <xf numFmtId="0" fontId="105" fillId="25" borderId="99" xfId="0" applyFont="1" applyFill="1" applyBorder="1" applyAlignment="1" applyProtection="1">
      <alignment vertical="center"/>
      <protection hidden="1"/>
    </xf>
    <xf numFmtId="183" fontId="25" fillId="24" borderId="130" xfId="0" applyNumberFormat="1" applyFont="1" applyFill="1" applyBorder="1" applyAlignment="1" applyProtection="1">
      <alignment horizontal="center" vertical="center"/>
      <protection hidden="1"/>
    </xf>
    <xf numFmtId="194" fontId="73" fillId="25" borderId="131" xfId="0" applyNumberFormat="1" applyFont="1" applyFill="1" applyBorder="1" applyAlignment="1" applyProtection="1">
      <alignment horizontal="center" vertical="center"/>
      <protection hidden="1"/>
    </xf>
    <xf numFmtId="183" fontId="85" fillId="25" borderId="130" xfId="0" applyNumberFormat="1" applyFont="1" applyFill="1" applyBorder="1" applyAlignment="1" applyProtection="1">
      <alignment horizontal="center" vertical="center"/>
      <protection hidden="1"/>
    </xf>
    <xf numFmtId="2" fontId="34" fillId="0" borderId="0" xfId="0" applyNumberFormat="1" applyFont="1" applyFill="1" applyProtection="1">
      <alignment vertical="center"/>
    </xf>
    <xf numFmtId="0" fontId="10" fillId="0" borderId="0" xfId="0" applyFont="1" applyFill="1" applyProtection="1">
      <alignment vertical="center"/>
      <protection hidden="1"/>
    </xf>
    <xf numFmtId="0" fontId="2" fillId="0" borderId="10" xfId="0" applyNumberFormat="1" applyFont="1" applyFill="1" applyBorder="1" applyAlignment="1" applyProtection="1">
      <alignment horizontal="left" vertical="center" wrapText="1"/>
      <protection hidden="1"/>
    </xf>
    <xf numFmtId="0" fontId="97" fillId="27" borderId="77" xfId="0" applyFont="1" applyFill="1" applyBorder="1" applyAlignment="1" applyProtection="1">
      <alignment vertical="center"/>
      <protection hidden="1"/>
    </xf>
    <xf numFmtId="0" fontId="110" fillId="27" borderId="70" xfId="0" applyFont="1" applyFill="1" applyBorder="1" applyAlignment="1" applyProtection="1">
      <alignment vertical="center"/>
      <protection hidden="1"/>
    </xf>
    <xf numFmtId="0" fontId="52" fillId="27" borderId="70" xfId="0" applyFont="1" applyFill="1" applyBorder="1" applyAlignment="1" applyProtection="1">
      <alignment horizontal="right" vertical="center"/>
      <protection hidden="1"/>
    </xf>
    <xf numFmtId="0" fontId="52" fillId="27" borderId="70" xfId="0" applyFont="1" applyFill="1" applyBorder="1" applyAlignment="1" applyProtection="1">
      <alignment vertical="center"/>
      <protection hidden="1"/>
    </xf>
    <xf numFmtId="0" fontId="5" fillId="26" borderId="132" xfId="0" applyFont="1" applyFill="1" applyBorder="1" applyAlignment="1" applyProtection="1">
      <alignment horizontal="center" vertical="center"/>
      <protection locked="0" hidden="1"/>
    </xf>
    <xf numFmtId="179" fontId="3" fillId="25" borderId="15" xfId="0" applyNumberFormat="1" applyFont="1" applyFill="1" applyBorder="1" applyAlignment="1" applyProtection="1">
      <alignment vertical="center"/>
      <protection hidden="1"/>
    </xf>
    <xf numFmtId="0" fontId="0" fillId="25" borderId="115" xfId="0" applyFill="1" applyBorder="1" applyAlignment="1">
      <alignment horizontal="left" vertical="center" wrapText="1"/>
    </xf>
    <xf numFmtId="0" fontId="3" fillId="25" borderId="133" xfId="0" applyFont="1" applyFill="1" applyBorder="1" applyAlignment="1" applyProtection="1">
      <alignment horizontal="center" vertical="center" wrapText="1"/>
      <protection hidden="1"/>
    </xf>
    <xf numFmtId="0" fontId="3" fillId="25" borderId="119" xfId="0" applyFont="1" applyFill="1" applyBorder="1" applyAlignment="1" applyProtection="1">
      <alignment horizontal="center" vertical="center" wrapText="1"/>
      <protection hidden="1"/>
    </xf>
    <xf numFmtId="0" fontId="13" fillId="25" borderId="43" xfId="0" applyFont="1" applyFill="1" applyBorder="1" applyAlignment="1" applyProtection="1">
      <alignment horizontal="center" vertical="center" wrapText="1"/>
      <protection hidden="1"/>
    </xf>
    <xf numFmtId="0" fontId="5" fillId="26" borderId="87" xfId="0" applyFont="1" applyFill="1" applyBorder="1" applyAlignment="1" applyProtection="1">
      <alignment horizontal="center" vertical="center"/>
      <protection locked="0" hidden="1"/>
    </xf>
    <xf numFmtId="0" fontId="7" fillId="25" borderId="72" xfId="0" applyFont="1" applyFill="1" applyBorder="1" applyAlignment="1" applyProtection="1">
      <alignment horizontal="center" vertical="center"/>
      <protection hidden="1"/>
    </xf>
    <xf numFmtId="0" fontId="2" fillId="24" borderId="10" xfId="0" applyFont="1" applyFill="1" applyBorder="1" applyAlignment="1" applyProtection="1">
      <alignment horizontal="left" vertical="center"/>
    </xf>
    <xf numFmtId="0" fontId="111" fillId="24" borderId="0" xfId="0" applyFont="1" applyFill="1" applyBorder="1" applyAlignment="1" applyProtection="1">
      <alignment horizontal="left" vertical="center"/>
      <protection hidden="1"/>
    </xf>
    <xf numFmtId="0" fontId="96" fillId="24" borderId="0" xfId="0" applyFont="1" applyFill="1" applyBorder="1" applyAlignment="1" applyProtection="1">
      <alignment horizontal="center" vertical="center"/>
      <protection hidden="1"/>
    </xf>
    <xf numFmtId="0" fontId="65" fillId="0" borderId="78" xfId="0" applyFont="1" applyFill="1" applyBorder="1" applyProtection="1">
      <alignment vertical="center"/>
      <protection hidden="1"/>
    </xf>
    <xf numFmtId="0" fontId="43" fillId="24" borderId="0" xfId="0" applyFont="1" applyFill="1" applyBorder="1" applyAlignment="1" applyProtection="1">
      <protection hidden="1"/>
    </xf>
    <xf numFmtId="0" fontId="81" fillId="24" borderId="0" xfId="0" applyFont="1" applyFill="1" applyBorder="1" applyAlignment="1" applyProtection="1">
      <alignment horizontal="left" vertical="center"/>
      <protection hidden="1"/>
    </xf>
    <xf numFmtId="0" fontId="65" fillId="0" borderId="0" xfId="0" applyFont="1" applyFill="1" applyBorder="1" applyAlignment="1" applyProtection="1">
      <alignment vertical="center"/>
      <protection hidden="1"/>
    </xf>
    <xf numFmtId="0" fontId="46" fillId="24" borderId="0" xfId="0" applyFont="1" applyFill="1" applyBorder="1" applyAlignment="1" applyProtection="1">
      <alignment horizontal="left" vertical="top"/>
      <protection hidden="1"/>
    </xf>
    <xf numFmtId="186" fontId="38" fillId="0" borderId="10" xfId="0" applyNumberFormat="1" applyFont="1" applyFill="1" applyBorder="1" applyProtection="1">
      <alignment vertical="center"/>
      <protection hidden="1"/>
    </xf>
    <xf numFmtId="0" fontId="2" fillId="0" borderId="10" xfId="0" applyNumberFormat="1" applyFont="1" applyFill="1" applyBorder="1" applyAlignment="1" applyProtection="1">
      <alignment vertical="center" wrapText="1"/>
      <protection hidden="1"/>
    </xf>
    <xf numFmtId="0" fontId="2" fillId="0" borderId="0" xfId="0" applyNumberFormat="1" applyFont="1" applyFill="1" applyBorder="1" applyProtection="1">
      <alignment vertical="center"/>
      <protection hidden="1"/>
    </xf>
    <xf numFmtId="38" fontId="2" fillId="0" borderId="10" xfId="0" applyNumberFormat="1" applyFont="1" applyFill="1" applyBorder="1" applyProtection="1">
      <alignment vertical="center"/>
      <protection hidden="1"/>
    </xf>
    <xf numFmtId="38" fontId="2" fillId="0" borderId="10" xfId="35" applyFont="1" applyFill="1" applyBorder="1" applyProtection="1">
      <alignment vertical="center"/>
      <protection hidden="1"/>
    </xf>
    <xf numFmtId="0" fontId="2" fillId="0" borderId="10" xfId="0" applyNumberFormat="1" applyFont="1" applyFill="1" applyBorder="1" applyAlignment="1" applyProtection="1">
      <alignment horizontal="center"/>
      <protection hidden="1"/>
    </xf>
    <xf numFmtId="0" fontId="2" fillId="0" borderId="10" xfId="35" applyNumberFormat="1" applyFont="1" applyFill="1" applyBorder="1" applyAlignment="1" applyProtection="1">
      <protection hidden="1"/>
    </xf>
    <xf numFmtId="0" fontId="2" fillId="0" borderId="10" xfId="35" quotePrefix="1" applyNumberFormat="1" applyFont="1" applyFill="1" applyBorder="1" applyAlignment="1" applyProtection="1">
      <protection hidden="1"/>
    </xf>
    <xf numFmtId="0" fontId="2" fillId="0" borderId="10" xfId="0" applyNumberFormat="1" applyFont="1" applyFill="1" applyBorder="1" applyAlignment="1" applyProtection="1">
      <alignment horizontal="left" vertical="center"/>
      <protection hidden="1"/>
    </xf>
    <xf numFmtId="0" fontId="86" fillId="0" borderId="0" xfId="0" applyFont="1" applyFill="1" applyBorder="1" applyProtection="1">
      <alignment vertical="center"/>
      <protection hidden="1"/>
    </xf>
    <xf numFmtId="0" fontId="90" fillId="24" borderId="0" xfId="0" applyFont="1" applyFill="1" applyBorder="1" applyAlignment="1" applyProtection="1">
      <alignment vertical="center"/>
      <protection hidden="1"/>
    </xf>
    <xf numFmtId="179" fontId="3" fillId="25" borderId="112" xfId="0" applyNumberFormat="1" applyFont="1" applyFill="1" applyBorder="1" applyAlignment="1" applyProtection="1">
      <alignment vertical="center" wrapText="1"/>
      <protection hidden="1"/>
    </xf>
    <xf numFmtId="179" fontId="3" fillId="25" borderId="48" xfId="0" applyNumberFormat="1" applyFont="1" applyFill="1" applyBorder="1" applyAlignment="1" applyProtection="1">
      <alignment vertical="center" wrapText="1"/>
      <protection hidden="1"/>
    </xf>
    <xf numFmtId="179" fontId="3" fillId="25" borderId="114" xfId="0" applyNumberFormat="1" applyFont="1" applyFill="1" applyBorder="1" applyAlignment="1" applyProtection="1">
      <alignment vertical="center" wrapText="1"/>
      <protection hidden="1"/>
    </xf>
    <xf numFmtId="179" fontId="3" fillId="25" borderId="50" xfId="0" applyNumberFormat="1" applyFont="1" applyFill="1" applyBorder="1" applyAlignment="1" applyProtection="1">
      <alignment vertical="center" wrapText="1"/>
      <protection hidden="1"/>
    </xf>
    <xf numFmtId="179" fontId="3" fillId="25" borderId="18" xfId="0" applyNumberFormat="1" applyFont="1" applyFill="1" applyBorder="1" applyAlignment="1" applyProtection="1">
      <alignment vertical="center" wrapText="1"/>
      <protection hidden="1"/>
    </xf>
    <xf numFmtId="179" fontId="3" fillId="25" borderId="46" xfId="0" applyNumberFormat="1" applyFont="1" applyFill="1" applyBorder="1" applyAlignment="1" applyProtection="1">
      <alignment vertical="center" wrapText="1"/>
      <protection hidden="1"/>
    </xf>
    <xf numFmtId="0" fontId="5" fillId="26" borderId="134" xfId="0" applyFont="1" applyFill="1" applyBorder="1" applyAlignment="1" applyProtection="1">
      <alignment horizontal="center" vertical="center"/>
      <protection locked="0" hidden="1"/>
    </xf>
    <xf numFmtId="0" fontId="3" fillId="25" borderId="112" xfId="0" applyFont="1" applyFill="1" applyBorder="1" applyAlignment="1" applyProtection="1">
      <alignment vertical="center" wrapText="1"/>
      <protection hidden="1"/>
    </xf>
    <xf numFmtId="0" fontId="3" fillId="25" borderId="48" xfId="0" applyFont="1" applyFill="1" applyBorder="1" applyAlignment="1" applyProtection="1">
      <alignment vertical="center" wrapText="1"/>
      <protection hidden="1"/>
    </xf>
    <xf numFmtId="0" fontId="3" fillId="25" borderId="114" xfId="0" applyFont="1" applyFill="1" applyBorder="1" applyAlignment="1" applyProtection="1">
      <alignment vertical="center" wrapText="1"/>
      <protection hidden="1"/>
    </xf>
    <xf numFmtId="0" fontId="3" fillId="25" borderId="50" xfId="0" applyFont="1" applyFill="1" applyBorder="1" applyAlignment="1" applyProtection="1">
      <alignment vertical="center" wrapText="1"/>
      <protection hidden="1"/>
    </xf>
    <xf numFmtId="0" fontId="68" fillId="25" borderId="112" xfId="0" applyFont="1" applyFill="1" applyBorder="1" applyAlignment="1">
      <alignment vertical="center" wrapText="1"/>
    </xf>
    <xf numFmtId="0" fontId="68" fillId="25" borderId="48" xfId="0" applyFont="1" applyFill="1" applyBorder="1" applyAlignment="1">
      <alignment vertical="center" wrapText="1"/>
    </xf>
    <xf numFmtId="0" fontId="68" fillId="25" borderId="114" xfId="0" applyFont="1" applyFill="1" applyBorder="1" applyAlignment="1">
      <alignment vertical="center" wrapText="1"/>
    </xf>
    <xf numFmtId="0" fontId="68" fillId="25" borderId="50" xfId="0" applyFont="1" applyFill="1" applyBorder="1" applyAlignment="1">
      <alignment vertical="center" wrapText="1"/>
    </xf>
    <xf numFmtId="179" fontId="3" fillId="25" borderId="49" xfId="0" applyNumberFormat="1" applyFont="1" applyFill="1" applyBorder="1" applyAlignment="1" applyProtection="1">
      <alignment vertical="center"/>
      <protection hidden="1"/>
    </xf>
    <xf numFmtId="0" fontId="0" fillId="25" borderId="18" xfId="0" applyFill="1" applyBorder="1" applyAlignment="1">
      <alignment vertical="center"/>
    </xf>
    <xf numFmtId="0" fontId="0" fillId="25" borderId="46" xfId="0" applyFill="1" applyBorder="1" applyAlignment="1">
      <alignment vertical="center"/>
    </xf>
    <xf numFmtId="0" fontId="10" fillId="25" borderId="51" xfId="0" applyFont="1" applyFill="1" applyBorder="1" applyProtection="1">
      <alignment vertical="center"/>
    </xf>
    <xf numFmtId="0" fontId="3" fillId="25" borderId="51" xfId="0" applyFont="1" applyFill="1" applyBorder="1" applyAlignment="1" applyProtection="1">
      <alignment vertical="center"/>
    </xf>
    <xf numFmtId="0" fontId="68" fillId="25" borderId="18" xfId="0" applyFont="1" applyFill="1" applyBorder="1" applyAlignment="1">
      <alignment vertical="center" wrapText="1"/>
    </xf>
    <xf numFmtId="0" fontId="68" fillId="25" borderId="46" xfId="0" applyFont="1" applyFill="1" applyBorder="1" applyAlignment="1">
      <alignment vertical="center" wrapText="1"/>
    </xf>
    <xf numFmtId="0" fontId="0" fillId="25" borderId="18" xfId="0" applyFill="1" applyBorder="1" applyAlignment="1">
      <alignment vertical="center" wrapText="1"/>
    </xf>
    <xf numFmtId="0" fontId="0" fillId="25" borderId="46" xfId="0" applyFill="1" applyBorder="1" applyAlignment="1">
      <alignment vertical="center" wrapText="1"/>
    </xf>
    <xf numFmtId="0" fontId="0" fillId="25" borderId="114" xfId="0" applyFill="1" applyBorder="1" applyAlignment="1">
      <alignment vertical="center" wrapText="1"/>
    </xf>
    <xf numFmtId="0" fontId="0" fillId="25" borderId="50" xfId="0" applyFill="1" applyBorder="1" applyAlignment="1">
      <alignment vertical="center" wrapText="1"/>
    </xf>
    <xf numFmtId="0" fontId="3" fillId="25" borderId="50" xfId="0" applyFont="1" applyFill="1" applyBorder="1" applyAlignment="1" applyProtection="1">
      <alignment vertical="center"/>
      <protection hidden="1"/>
    </xf>
    <xf numFmtId="0" fontId="0" fillId="25" borderId="112" xfId="0" applyFill="1" applyBorder="1" applyAlignment="1">
      <alignment vertical="center"/>
    </xf>
    <xf numFmtId="0" fontId="0" fillId="25" borderId="48" xfId="0" applyFill="1" applyBorder="1" applyAlignment="1">
      <alignment vertical="center"/>
    </xf>
    <xf numFmtId="0" fontId="0" fillId="25" borderId="114" xfId="0" applyFill="1" applyBorder="1" applyAlignment="1">
      <alignment vertical="center"/>
    </xf>
    <xf numFmtId="0" fontId="0" fillId="25" borderId="50" xfId="0" applyFill="1" applyBorder="1" applyAlignment="1">
      <alignment vertical="center"/>
    </xf>
    <xf numFmtId="0" fontId="5" fillId="26" borderId="44" xfId="0" applyFont="1" applyFill="1" applyBorder="1" applyAlignment="1" applyProtection="1">
      <alignment horizontal="center" vertical="center"/>
      <protection locked="0" hidden="1"/>
    </xf>
    <xf numFmtId="0" fontId="3" fillId="25" borderId="135" xfId="0" applyFont="1" applyFill="1" applyBorder="1" applyAlignment="1" applyProtection="1">
      <alignment horizontal="center" vertical="center"/>
      <protection hidden="1"/>
    </xf>
    <xf numFmtId="0" fontId="5" fillId="26" borderId="0" xfId="0" applyFont="1" applyFill="1" applyBorder="1" applyAlignment="1" applyProtection="1">
      <alignment horizontal="center" vertical="center"/>
      <protection locked="0" hidden="1"/>
    </xf>
    <xf numFmtId="0" fontId="3" fillId="25" borderId="0" xfId="0" applyFont="1" applyFill="1" applyBorder="1" applyAlignment="1" applyProtection="1">
      <alignment horizontal="center" vertical="center"/>
      <protection hidden="1"/>
    </xf>
    <xf numFmtId="0" fontId="3" fillId="25" borderId="10" xfId="0" applyFont="1" applyFill="1" applyBorder="1" applyAlignment="1" applyProtection="1">
      <alignment vertical="center"/>
      <protection hidden="1"/>
    </xf>
    <xf numFmtId="0" fontId="3" fillId="25" borderId="42" xfId="0" applyFont="1" applyFill="1" applyBorder="1" applyAlignment="1" applyProtection="1">
      <alignment vertical="center"/>
      <protection hidden="1"/>
    </xf>
    <xf numFmtId="0" fontId="3" fillId="25" borderId="51" xfId="0" applyFont="1" applyFill="1" applyBorder="1" applyAlignment="1" applyProtection="1">
      <alignment vertical="center"/>
      <protection hidden="1"/>
    </xf>
    <xf numFmtId="0" fontId="3" fillId="25" borderId="17" xfId="0" applyFont="1" applyFill="1" applyBorder="1" applyAlignment="1" applyProtection="1">
      <alignment vertical="center"/>
      <protection hidden="1"/>
    </xf>
    <xf numFmtId="0" fontId="3" fillId="25" borderId="107" xfId="0" applyFont="1" applyFill="1" applyBorder="1" applyAlignment="1" applyProtection="1">
      <alignment vertical="center"/>
      <protection hidden="1"/>
    </xf>
    <xf numFmtId="0" fontId="3" fillId="25" borderId="43" xfId="0" applyFont="1" applyFill="1" applyBorder="1" applyAlignment="1" applyProtection="1">
      <alignment vertical="center" wrapText="1"/>
      <protection hidden="1"/>
    </xf>
    <xf numFmtId="38" fontId="13" fillId="0" borderId="0" xfId="0" applyNumberFormat="1" applyFont="1" applyFill="1" applyBorder="1" applyAlignment="1" applyProtection="1">
      <alignment horizontal="left" vertical="center"/>
    </xf>
    <xf numFmtId="0" fontId="5" fillId="26" borderId="136" xfId="0" applyFont="1" applyFill="1" applyBorder="1" applyAlignment="1" applyProtection="1">
      <alignment horizontal="center" vertical="center"/>
      <protection locked="0" hidden="1"/>
    </xf>
    <xf numFmtId="0" fontId="3" fillId="25" borderId="72" xfId="0" applyFont="1" applyFill="1" applyBorder="1" applyAlignment="1">
      <alignment vertical="top"/>
    </xf>
    <xf numFmtId="196" fontId="10" fillId="26" borderId="44" xfId="0" applyNumberFormat="1" applyFont="1" applyFill="1" applyBorder="1" applyAlignment="1" applyProtection="1">
      <alignment horizontal="center" vertical="center"/>
      <protection hidden="1"/>
    </xf>
    <xf numFmtId="0" fontId="5" fillId="26" borderId="137" xfId="0" applyFont="1" applyFill="1" applyBorder="1" applyAlignment="1" applyProtection="1">
      <alignment horizontal="center" vertical="center"/>
      <protection locked="0" hidden="1"/>
    </xf>
    <xf numFmtId="179" fontId="3" fillId="25" borderId="97" xfId="0" applyNumberFormat="1" applyFont="1" applyFill="1" applyBorder="1" applyAlignment="1" applyProtection="1">
      <alignment horizontal="center" vertical="center"/>
      <protection hidden="1"/>
    </xf>
    <xf numFmtId="179" fontId="3" fillId="25" borderId="48" xfId="0" applyNumberFormat="1" applyFont="1" applyFill="1" applyBorder="1" applyAlignment="1" applyProtection="1">
      <alignment horizontal="center" vertical="center"/>
      <protection hidden="1"/>
    </xf>
    <xf numFmtId="179" fontId="3" fillId="25" borderId="69" xfId="0" applyNumberFormat="1" applyFont="1" applyFill="1" applyBorder="1" applyAlignment="1" applyProtection="1">
      <alignment vertical="center"/>
      <protection hidden="1"/>
    </xf>
    <xf numFmtId="0" fontId="23" fillId="0" borderId="0" xfId="0" applyFont="1" applyFill="1" applyBorder="1" applyAlignment="1" applyProtection="1">
      <alignment horizontal="center" vertical="center"/>
      <protection hidden="1"/>
    </xf>
    <xf numFmtId="0" fontId="3" fillId="25" borderId="18" xfId="0" applyFont="1" applyFill="1" applyBorder="1" applyAlignment="1" applyProtection="1">
      <alignment horizontal="left" vertical="center" wrapText="1"/>
      <protection hidden="1"/>
    </xf>
    <xf numFmtId="0" fontId="3" fillId="25" borderId="46" xfId="0" applyFont="1" applyFill="1" applyBorder="1" applyAlignment="1" applyProtection="1">
      <alignment horizontal="left" vertical="center" wrapText="1"/>
      <protection hidden="1"/>
    </xf>
    <xf numFmtId="0" fontId="3" fillId="25" borderId="138" xfId="0" applyFont="1" applyFill="1" applyBorder="1" applyAlignment="1" applyProtection="1">
      <alignment vertical="center"/>
      <protection hidden="1"/>
    </xf>
    <xf numFmtId="0" fontId="0" fillId="25" borderId="118" xfId="0" applyFill="1" applyBorder="1" applyAlignment="1">
      <alignment vertical="center" wrapText="1"/>
    </xf>
    <xf numFmtId="0" fontId="0" fillId="25" borderId="139" xfId="0" applyFill="1" applyBorder="1" applyAlignment="1">
      <alignment vertical="center" wrapText="1"/>
    </xf>
    <xf numFmtId="0" fontId="5" fillId="26" borderId="130" xfId="0" applyFont="1" applyFill="1" applyBorder="1" applyAlignment="1" applyProtection="1">
      <alignment horizontal="center" vertical="center"/>
      <protection locked="0" hidden="1"/>
    </xf>
    <xf numFmtId="0" fontId="3" fillId="25" borderId="123" xfId="0" applyFont="1" applyFill="1" applyBorder="1" applyAlignment="1" applyProtection="1">
      <alignment horizontal="center" vertical="center" wrapText="1"/>
      <protection hidden="1"/>
    </xf>
    <xf numFmtId="0" fontId="3" fillId="25" borderId="42" xfId="0" applyFont="1" applyFill="1" applyBorder="1" applyAlignment="1" applyProtection="1">
      <alignment vertical="center" wrapText="1"/>
      <protection hidden="1"/>
    </xf>
    <xf numFmtId="0" fontId="3" fillId="25" borderId="17" xfId="0" applyFont="1" applyFill="1" applyBorder="1" applyAlignment="1" applyProtection="1">
      <alignment vertical="center" wrapText="1"/>
      <protection hidden="1"/>
    </xf>
    <xf numFmtId="0" fontId="3" fillId="25" borderId="133" xfId="0" applyFont="1" applyFill="1" applyBorder="1" applyAlignment="1" applyProtection="1">
      <alignment horizontal="center" vertical="center"/>
      <protection hidden="1"/>
    </xf>
    <xf numFmtId="0" fontId="5" fillId="26" borderId="140" xfId="0" applyFont="1" applyFill="1" applyBorder="1" applyAlignment="1" applyProtection="1">
      <alignment horizontal="center" vertical="center"/>
      <protection locked="0" hidden="1"/>
    </xf>
    <xf numFmtId="0" fontId="5" fillId="0" borderId="0" xfId="0" applyFont="1" applyFill="1" applyBorder="1" applyProtection="1">
      <alignment vertical="center"/>
      <protection hidden="1"/>
    </xf>
    <xf numFmtId="0" fontId="42" fillId="0" borderId="0" xfId="0" applyFont="1" applyFill="1" applyBorder="1" applyProtection="1">
      <alignment vertical="center"/>
      <protection hidden="1"/>
    </xf>
    <xf numFmtId="0" fontId="2" fillId="0" borderId="10" xfId="0" applyNumberFormat="1" applyFont="1" applyFill="1" applyBorder="1" applyAlignment="1" applyProtection="1">
      <alignment vertical="center"/>
      <protection hidden="1"/>
    </xf>
    <xf numFmtId="0" fontId="14" fillId="31" borderId="79" xfId="0" applyFont="1" applyFill="1" applyBorder="1" applyAlignment="1" applyProtection="1">
      <alignment horizontal="left" vertical="center"/>
      <protection hidden="1"/>
    </xf>
    <xf numFmtId="0" fontId="14" fillId="31" borderId="78" xfId="0" applyFont="1" applyFill="1" applyBorder="1" applyAlignment="1" applyProtection="1">
      <alignment horizontal="left" vertical="center"/>
      <protection hidden="1"/>
    </xf>
    <xf numFmtId="0" fontId="50" fillId="31" borderId="79" xfId="0" applyFont="1" applyFill="1" applyBorder="1" applyAlignment="1" applyProtection="1">
      <alignment horizontal="right" vertical="top"/>
      <protection hidden="1"/>
    </xf>
    <xf numFmtId="0" fontId="13" fillId="0" borderId="0" xfId="0" applyFont="1" applyFill="1" applyBorder="1" applyAlignment="1" applyProtection="1">
      <alignment vertical="center"/>
      <protection hidden="1"/>
    </xf>
    <xf numFmtId="3" fontId="19" fillId="0" borderId="0" xfId="0" applyNumberFormat="1" applyFont="1" applyFill="1" applyBorder="1" applyAlignment="1" applyProtection="1">
      <alignment vertical="center"/>
      <protection hidden="1"/>
    </xf>
    <xf numFmtId="3" fontId="18" fillId="0" borderId="0" xfId="0" applyNumberFormat="1"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37" fontId="18" fillId="0" borderId="0" xfId="0" applyNumberFormat="1" applyFont="1" applyFill="1" applyBorder="1" applyAlignment="1" applyProtection="1">
      <alignment vertical="center"/>
      <protection hidden="1"/>
    </xf>
    <xf numFmtId="37" fontId="13" fillId="0" borderId="0" xfId="0" applyNumberFormat="1" applyFont="1" applyFill="1" applyBorder="1" applyAlignment="1" applyProtection="1">
      <alignment vertical="center"/>
      <protection hidden="1"/>
    </xf>
    <xf numFmtId="0" fontId="13" fillId="0" borderId="78" xfId="0" applyFont="1" applyFill="1" applyBorder="1" applyAlignment="1" applyProtection="1">
      <alignment vertical="center"/>
      <protection hidden="1"/>
    </xf>
    <xf numFmtId="0" fontId="18" fillId="0" borderId="23" xfId="0" applyFont="1" applyFill="1" applyBorder="1" applyAlignment="1" applyProtection="1">
      <alignment vertical="center"/>
      <protection hidden="1"/>
    </xf>
    <xf numFmtId="0" fontId="13" fillId="0" borderId="23" xfId="0" applyFont="1" applyFill="1" applyBorder="1" applyAlignment="1" applyProtection="1">
      <alignment vertical="center"/>
      <protection hidden="1"/>
    </xf>
    <xf numFmtId="49" fontId="13" fillId="0" borderId="78" xfId="0" applyNumberFormat="1" applyFont="1" applyFill="1" applyBorder="1" applyAlignment="1" applyProtection="1">
      <alignment horizontal="left" vertical="center"/>
      <protection hidden="1"/>
    </xf>
    <xf numFmtId="3" fontId="19" fillId="0" borderId="79" xfId="0" applyNumberFormat="1" applyFont="1" applyFill="1" applyBorder="1" applyAlignment="1" applyProtection="1">
      <alignment vertical="center"/>
      <protection hidden="1"/>
    </xf>
    <xf numFmtId="0" fontId="13" fillId="0" borderId="23" xfId="0" applyFont="1" applyFill="1" applyBorder="1" applyAlignment="1" applyProtection="1">
      <alignment horizontal="left" vertical="center"/>
      <protection hidden="1"/>
    </xf>
    <xf numFmtId="0" fontId="13" fillId="0" borderId="41" xfId="0" applyFont="1" applyFill="1" applyBorder="1" applyAlignment="1" applyProtection="1">
      <alignment vertical="center"/>
      <protection hidden="1"/>
    </xf>
    <xf numFmtId="2" fontId="18" fillId="0" borderId="42" xfId="0" applyNumberFormat="1" applyFont="1" applyFill="1" applyBorder="1" applyAlignment="1" applyProtection="1">
      <alignment vertical="center"/>
      <protection hidden="1"/>
    </xf>
    <xf numFmtId="3" fontId="13" fillId="0" borderId="77" xfId="0" applyNumberFormat="1" applyFont="1" applyFill="1" applyBorder="1" applyAlignment="1" applyProtection="1">
      <alignment vertical="center"/>
      <protection hidden="1"/>
    </xf>
    <xf numFmtId="31" fontId="13" fillId="0" borderId="70" xfId="0" applyNumberFormat="1" applyFont="1" applyFill="1" applyBorder="1" applyAlignment="1" applyProtection="1">
      <alignment vertical="center"/>
      <protection hidden="1"/>
    </xf>
    <xf numFmtId="0" fontId="13" fillId="0" borderId="122" xfId="0" applyFont="1" applyFill="1" applyBorder="1" applyAlignment="1" applyProtection="1">
      <alignment vertical="center"/>
      <protection hidden="1"/>
    </xf>
    <xf numFmtId="0" fontId="18" fillId="0" borderId="21" xfId="0" applyFont="1" applyFill="1" applyBorder="1" applyAlignment="1" applyProtection="1">
      <alignment vertical="center"/>
      <protection hidden="1"/>
    </xf>
    <xf numFmtId="0" fontId="18" fillId="0" borderId="141" xfId="0" applyFont="1" applyFill="1" applyBorder="1" applyAlignment="1" applyProtection="1">
      <alignment vertical="center"/>
      <protection hidden="1"/>
    </xf>
    <xf numFmtId="3" fontId="13" fillId="0" borderId="142" xfId="0" applyNumberFormat="1" applyFont="1" applyFill="1" applyBorder="1" applyAlignment="1" applyProtection="1">
      <alignment vertical="center"/>
      <protection hidden="1"/>
    </xf>
    <xf numFmtId="0" fontId="18" fillId="0" borderId="115" xfId="0" applyFont="1" applyFill="1" applyBorder="1" applyAlignment="1" applyProtection="1">
      <alignment vertical="center"/>
      <protection hidden="1"/>
    </xf>
    <xf numFmtId="0" fontId="13" fillId="0" borderId="113" xfId="0" applyFont="1" applyFill="1" applyBorder="1" applyAlignment="1" applyProtection="1">
      <alignment horizontal="left" vertical="center"/>
      <protection hidden="1"/>
    </xf>
    <xf numFmtId="0" fontId="18" fillId="0" borderId="99" xfId="0" applyFont="1" applyFill="1" applyBorder="1" applyAlignment="1" applyProtection="1">
      <alignment vertical="center"/>
      <protection hidden="1"/>
    </xf>
    <xf numFmtId="0" fontId="65" fillId="0" borderId="52" xfId="0" applyFont="1" applyFill="1" applyBorder="1" applyProtection="1">
      <alignment vertical="center"/>
      <protection hidden="1"/>
    </xf>
    <xf numFmtId="3" fontId="91" fillId="24" borderId="52" xfId="0" applyNumberFormat="1" applyFont="1" applyFill="1" applyBorder="1" applyAlignment="1" applyProtection="1">
      <alignment horizontal="left" vertical="center"/>
      <protection hidden="1"/>
    </xf>
    <xf numFmtId="0" fontId="67" fillId="24" borderId="52" xfId="0" applyFont="1" applyFill="1" applyBorder="1" applyAlignment="1" applyProtection="1">
      <alignment vertical="center"/>
      <protection hidden="1"/>
    </xf>
    <xf numFmtId="37" fontId="13" fillId="24" borderId="52" xfId="0" applyNumberFormat="1" applyFont="1" applyFill="1" applyBorder="1" applyAlignment="1" applyProtection="1">
      <alignment horizontal="left" vertical="center"/>
      <protection hidden="1"/>
    </xf>
    <xf numFmtId="0" fontId="14" fillId="31" borderId="143" xfId="0" applyFont="1" applyFill="1" applyBorder="1" applyAlignment="1" applyProtection="1">
      <alignment horizontal="left" vertical="center"/>
      <protection hidden="1"/>
    </xf>
    <xf numFmtId="0" fontId="14" fillId="31" borderId="143" xfId="0" applyFont="1" applyFill="1" applyBorder="1" applyProtection="1">
      <alignment vertical="center"/>
      <protection hidden="1"/>
    </xf>
    <xf numFmtId="0" fontId="13" fillId="25" borderId="0" xfId="0" applyFont="1" applyFill="1" applyBorder="1" applyProtection="1">
      <alignment vertical="center"/>
    </xf>
    <xf numFmtId="0" fontId="79" fillId="24" borderId="0" xfId="0" applyFont="1" applyFill="1" applyBorder="1" applyAlignment="1" applyProtection="1">
      <alignment horizontal="left" vertical="center"/>
      <protection hidden="1"/>
    </xf>
    <xf numFmtId="0" fontId="96" fillId="24" borderId="0" xfId="0" applyFont="1" applyFill="1" applyBorder="1" applyAlignment="1" applyProtection="1">
      <alignment vertical="top"/>
      <protection hidden="1"/>
    </xf>
    <xf numFmtId="0" fontId="20" fillId="24" borderId="10" xfId="0" applyFont="1" applyFill="1" applyBorder="1" applyAlignment="1" applyProtection="1">
      <alignment horizontal="center" vertical="center"/>
      <protection locked="0"/>
    </xf>
    <xf numFmtId="55" fontId="13" fillId="24" borderId="43" xfId="0" applyNumberFormat="1" applyFont="1" applyFill="1" applyBorder="1" applyAlignment="1" applyProtection="1">
      <alignment horizontal="right" vertical="center"/>
      <protection locked="0"/>
    </xf>
    <xf numFmtId="0" fontId="13" fillId="0" borderId="107" xfId="0" applyFont="1" applyFill="1" applyBorder="1" applyAlignment="1" applyProtection="1">
      <alignment horizontal="right" vertical="center"/>
      <protection locked="0"/>
    </xf>
    <xf numFmtId="0" fontId="15" fillId="29" borderId="0" xfId="0" applyFont="1" applyFill="1" applyBorder="1" applyAlignment="1" applyProtection="1">
      <alignment vertical="center"/>
      <protection hidden="1"/>
    </xf>
    <xf numFmtId="0" fontId="80" fillId="25" borderId="0" xfId="0" applyFont="1" applyFill="1" applyBorder="1" applyAlignment="1" applyProtection="1">
      <alignment horizontal="left" vertical="center"/>
      <protection hidden="1"/>
    </xf>
    <xf numFmtId="0" fontId="0" fillId="25" borderId="0" xfId="0" applyFill="1" applyBorder="1" applyProtection="1">
      <alignment vertical="center"/>
      <protection hidden="1"/>
    </xf>
    <xf numFmtId="0" fontId="87" fillId="25" borderId="0" xfId="0" applyFont="1" applyFill="1" applyBorder="1" applyAlignment="1" applyProtection="1">
      <alignment vertical="top"/>
      <protection hidden="1"/>
    </xf>
    <xf numFmtId="0" fontId="87" fillId="25" borderId="0" xfId="0" applyFont="1" applyFill="1" applyBorder="1" applyAlignment="1" applyProtection="1">
      <alignment horizontal="left" vertical="top"/>
      <protection hidden="1"/>
    </xf>
    <xf numFmtId="0" fontId="3" fillId="25" borderId="0" xfId="0" applyFont="1" applyFill="1" applyBorder="1" applyAlignment="1">
      <alignment horizontal="left" vertical="center"/>
    </xf>
    <xf numFmtId="0" fontId="19" fillId="25" borderId="0" xfId="0" applyFont="1" applyFill="1" applyBorder="1" applyAlignment="1">
      <alignment horizontal="left" vertical="center"/>
    </xf>
    <xf numFmtId="0" fontId="19" fillId="25" borderId="0" xfId="0" applyFont="1" applyFill="1" applyBorder="1" applyAlignment="1" applyProtection="1">
      <alignment horizontal="left" vertical="center"/>
    </xf>
    <xf numFmtId="0" fontId="3" fillId="25" borderId="0" xfId="0" applyFont="1" applyFill="1" applyBorder="1" applyProtection="1">
      <alignment vertical="center"/>
    </xf>
    <xf numFmtId="186" fontId="64" fillId="0" borderId="0" xfId="35" applyNumberFormat="1" applyFont="1" applyFill="1" applyBorder="1" applyAlignment="1" applyProtection="1">
      <alignment horizontal="center" vertical="center"/>
      <protection hidden="1"/>
    </xf>
    <xf numFmtId="0" fontId="30" fillId="31" borderId="52" xfId="0" applyFont="1" applyFill="1" applyBorder="1" applyAlignment="1" applyProtection="1">
      <alignment horizontal="left" vertical="center"/>
      <protection hidden="1"/>
    </xf>
    <xf numFmtId="0" fontId="54" fillId="31" borderId="52" xfId="0" applyFont="1" applyFill="1" applyBorder="1" applyAlignment="1" applyProtection="1">
      <alignment horizontal="right" vertical="center"/>
      <protection hidden="1"/>
    </xf>
    <xf numFmtId="2" fontId="18" fillId="0" borderId="144" xfId="0" applyNumberFormat="1" applyFont="1" applyFill="1" applyBorder="1" applyAlignment="1" applyProtection="1">
      <alignment horizontal="center" vertical="center"/>
      <protection hidden="1"/>
    </xf>
    <xf numFmtId="3" fontId="18" fillId="0" borderId="145" xfId="0" applyNumberFormat="1" applyFont="1" applyFill="1" applyBorder="1" applyAlignment="1" applyProtection="1">
      <alignment horizontal="center" vertical="center"/>
      <protection hidden="1"/>
    </xf>
    <xf numFmtId="0" fontId="18" fillId="0" borderId="146" xfId="0" applyFont="1" applyFill="1" applyBorder="1" applyAlignment="1" applyProtection="1">
      <alignment horizontal="center" vertical="center"/>
      <protection hidden="1"/>
    </xf>
    <xf numFmtId="0" fontId="13" fillId="0" borderId="147" xfId="0" applyFont="1" applyFill="1" applyBorder="1" applyAlignment="1" applyProtection="1">
      <alignment horizontal="center" vertical="center"/>
      <protection hidden="1"/>
    </xf>
    <xf numFmtId="0" fontId="13" fillId="0" borderId="141" xfId="0" applyFont="1" applyFill="1" applyBorder="1" applyAlignment="1" applyProtection="1">
      <alignment horizontal="center" vertical="center"/>
      <protection hidden="1"/>
    </xf>
    <xf numFmtId="0" fontId="18" fillId="0" borderId="148" xfId="0" applyFont="1" applyFill="1" applyBorder="1" applyAlignment="1" applyProtection="1">
      <alignment horizontal="center" vertical="center"/>
      <protection hidden="1"/>
    </xf>
    <xf numFmtId="0" fontId="18" fillId="0" borderId="145" xfId="0" applyFont="1" applyFill="1" applyBorder="1" applyAlignment="1" applyProtection="1">
      <alignment horizontal="center" vertical="center"/>
      <protection hidden="1"/>
    </xf>
    <xf numFmtId="0" fontId="18" fillId="0" borderId="149" xfId="0" applyFont="1" applyFill="1" applyBorder="1" applyAlignment="1" applyProtection="1">
      <alignment horizontal="center" vertical="center"/>
      <protection hidden="1"/>
    </xf>
    <xf numFmtId="0" fontId="13" fillId="0" borderId="150" xfId="0" applyFont="1" applyFill="1" applyBorder="1" applyAlignment="1" applyProtection="1">
      <alignment horizontal="center" vertical="center"/>
      <protection hidden="1"/>
    </xf>
    <xf numFmtId="0" fontId="115" fillId="24" borderId="0" xfId="0" applyFont="1" applyFill="1" applyAlignment="1" applyProtection="1">
      <alignment vertical="center"/>
      <protection hidden="1"/>
    </xf>
    <xf numFmtId="0" fontId="65" fillId="0" borderId="10" xfId="0" applyNumberFormat="1" applyFont="1" applyFill="1" applyBorder="1" applyProtection="1">
      <alignment vertical="center"/>
      <protection hidden="1"/>
    </xf>
    <xf numFmtId="0" fontId="19" fillId="24" borderId="0" xfId="0" applyFont="1" applyFill="1" applyBorder="1" applyAlignment="1" applyProtection="1">
      <alignment horizontal="right" vertical="top"/>
      <protection hidden="1"/>
    </xf>
    <xf numFmtId="0" fontId="3" fillId="24" borderId="0" xfId="0" applyFont="1" applyFill="1" applyBorder="1" applyAlignment="1" applyProtection="1">
      <alignment horizontal="right" vertical="center"/>
      <protection hidden="1"/>
    </xf>
    <xf numFmtId="0" fontId="13" fillId="0" borderId="0" xfId="0" applyFont="1" applyFill="1" applyAlignment="1" applyProtection="1">
      <alignment horizontal="center" vertical="center"/>
    </xf>
    <xf numFmtId="182" fontId="13" fillId="0" borderId="151" xfId="0" applyNumberFormat="1" applyFont="1" applyFill="1" applyBorder="1" applyAlignment="1" applyProtection="1">
      <alignment horizontal="center" vertical="center"/>
      <protection hidden="1"/>
    </xf>
    <xf numFmtId="31" fontId="13" fillId="0" borderId="152" xfId="0" applyNumberFormat="1" applyFont="1" applyFill="1" applyBorder="1" applyAlignment="1" applyProtection="1">
      <alignment horizontal="centerContinuous" vertical="center"/>
      <protection hidden="1"/>
    </xf>
    <xf numFmtId="0" fontId="18" fillId="0" borderId="73" xfId="0" applyFont="1" applyFill="1" applyBorder="1" applyAlignment="1" applyProtection="1">
      <alignment horizontal="centerContinuous" vertical="center"/>
      <protection hidden="1"/>
    </xf>
    <xf numFmtId="3" fontId="13" fillId="0" borderId="153" xfId="0" applyNumberFormat="1" applyFont="1" applyFill="1" applyBorder="1" applyAlignment="1" applyProtection="1">
      <alignment horizontal="centerContinuous" vertical="center"/>
      <protection hidden="1"/>
    </xf>
    <xf numFmtId="31" fontId="18" fillId="0" borderId="20" xfId="0" applyNumberFormat="1" applyFont="1" applyFill="1" applyBorder="1" applyAlignment="1" applyProtection="1">
      <alignment horizontal="centerContinuous" vertical="center"/>
      <protection hidden="1"/>
    </xf>
    <xf numFmtId="37" fontId="13" fillId="0" borderId="22" xfId="0" applyNumberFormat="1" applyFont="1" applyFill="1" applyBorder="1" applyAlignment="1" applyProtection="1">
      <alignment horizontal="centerContinuous" vertical="center"/>
      <protection hidden="1"/>
    </xf>
    <xf numFmtId="0" fontId="13" fillId="0" borderId="154" xfId="0" applyFont="1" applyFill="1" applyBorder="1" applyAlignment="1" applyProtection="1">
      <alignment horizontal="left" vertical="center"/>
      <protection hidden="1"/>
    </xf>
    <xf numFmtId="37" fontId="18" fillId="0" borderId="18" xfId="0" applyNumberFormat="1" applyFont="1" applyFill="1" applyBorder="1" applyAlignment="1" applyProtection="1">
      <alignment vertical="center"/>
      <protection hidden="1"/>
    </xf>
    <xf numFmtId="0" fontId="18" fillId="0" borderId="155" xfId="0" applyFont="1" applyFill="1" applyBorder="1" applyAlignment="1" applyProtection="1">
      <alignment vertical="center"/>
      <protection hidden="1"/>
    </xf>
    <xf numFmtId="3" fontId="13" fillId="0" borderId="18" xfId="0" applyNumberFormat="1" applyFont="1" applyFill="1" applyBorder="1" applyAlignment="1" applyProtection="1">
      <alignment vertical="center"/>
      <protection hidden="1"/>
    </xf>
    <xf numFmtId="0" fontId="18" fillId="0" borderId="141" xfId="0" applyFont="1" applyFill="1" applyBorder="1" applyAlignment="1" applyProtection="1">
      <alignment horizontal="centerContinuous" vertical="center"/>
      <protection hidden="1"/>
    </xf>
    <xf numFmtId="0" fontId="117" fillId="0" borderId="10" xfId="0" applyFont="1" applyFill="1" applyBorder="1" applyProtection="1">
      <alignment vertical="center"/>
      <protection hidden="1"/>
    </xf>
    <xf numFmtId="0" fontId="38" fillId="0" borderId="0" xfId="35" applyNumberFormat="1" applyFont="1" applyFill="1" applyBorder="1" applyAlignment="1" applyProtection="1">
      <protection hidden="1"/>
    </xf>
    <xf numFmtId="38" fontId="2" fillId="0" borderId="0" xfId="35" applyFont="1" applyFill="1" applyBorder="1" applyProtection="1">
      <alignment vertical="center"/>
      <protection hidden="1"/>
    </xf>
    <xf numFmtId="0" fontId="65" fillId="0" borderId="142" xfId="0" applyFont="1" applyFill="1" applyBorder="1" applyProtection="1">
      <alignment vertical="center"/>
      <protection hidden="1"/>
    </xf>
    <xf numFmtId="0" fontId="65" fillId="0" borderId="115" xfId="0" applyFont="1" applyFill="1" applyBorder="1" applyProtection="1">
      <alignment vertical="center"/>
      <protection hidden="1"/>
    </xf>
    <xf numFmtId="0" fontId="65" fillId="0" borderId="153" xfId="0" applyFont="1" applyFill="1" applyBorder="1" applyProtection="1">
      <alignment vertical="center"/>
      <protection hidden="1"/>
    </xf>
    <xf numFmtId="56" fontId="14" fillId="31" borderId="143" xfId="0" applyNumberFormat="1" applyFont="1" applyFill="1" applyBorder="1" applyProtection="1">
      <alignment vertical="center"/>
      <protection hidden="1"/>
    </xf>
    <xf numFmtId="0" fontId="66" fillId="0" borderId="23" xfId="0" applyFont="1" applyFill="1" applyBorder="1" applyAlignment="1" applyProtection="1">
      <alignment vertical="center"/>
      <protection hidden="1"/>
    </xf>
    <xf numFmtId="0" fontId="66"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0" fontId="25" fillId="0" borderId="20" xfId="0" applyFont="1" applyFill="1" applyBorder="1" applyAlignment="1" applyProtection="1">
      <alignment horizontal="center" vertical="center"/>
      <protection hidden="1"/>
    </xf>
    <xf numFmtId="186" fontId="64" fillId="0" borderId="10" xfId="35" applyNumberFormat="1" applyFont="1" applyFill="1" applyBorder="1" applyAlignment="1" applyProtection="1">
      <alignment horizontal="center" vertical="center"/>
      <protection hidden="1"/>
    </xf>
    <xf numFmtId="0" fontId="116" fillId="0" borderId="10" xfId="0" applyFont="1" applyFill="1" applyBorder="1" applyProtection="1">
      <alignment vertical="center"/>
      <protection hidden="1"/>
    </xf>
    <xf numFmtId="0" fontId="21" fillId="0" borderId="10" xfId="0" applyFont="1" applyFill="1" applyBorder="1" applyProtection="1">
      <alignment vertical="center"/>
      <protection hidden="1"/>
    </xf>
    <xf numFmtId="0" fontId="56" fillId="0" borderId="0" xfId="0" applyFont="1" applyFill="1" applyBorder="1" applyProtection="1">
      <alignment vertical="center"/>
      <protection hidden="1"/>
    </xf>
    <xf numFmtId="0" fontId="38" fillId="0" borderId="10" xfId="0" applyFont="1" applyFill="1" applyBorder="1" applyProtection="1">
      <alignment vertical="center"/>
      <protection hidden="1"/>
    </xf>
    <xf numFmtId="186" fontId="68" fillId="0" borderId="10" xfId="0" applyNumberFormat="1" applyFont="1" applyFill="1" applyBorder="1" applyProtection="1">
      <alignment vertical="center"/>
      <protection hidden="1"/>
    </xf>
    <xf numFmtId="0" fontId="2" fillId="0" borderId="10" xfId="0" applyNumberFormat="1" applyFont="1" applyFill="1" applyBorder="1" applyAlignment="1" applyProtection="1">
      <alignment horizontal="left"/>
      <protection hidden="1"/>
    </xf>
    <xf numFmtId="0" fontId="65" fillId="34" borderId="10" xfId="0" applyFont="1" applyFill="1" applyBorder="1" applyProtection="1">
      <alignment vertical="center"/>
      <protection hidden="1"/>
    </xf>
    <xf numFmtId="0" fontId="5" fillId="25" borderId="23" xfId="0" applyFont="1" applyFill="1" applyBorder="1" applyProtection="1">
      <alignment vertical="center"/>
      <protection hidden="1"/>
    </xf>
    <xf numFmtId="0" fontId="5" fillId="25" borderId="121" xfId="0" quotePrefix="1" applyFont="1" applyFill="1" applyBorder="1" applyProtection="1">
      <alignment vertical="center"/>
      <protection hidden="1"/>
    </xf>
    <xf numFmtId="0" fontId="5" fillId="25" borderId="121" xfId="0" applyFont="1" applyFill="1" applyBorder="1" applyProtection="1">
      <alignment vertical="center"/>
      <protection hidden="1"/>
    </xf>
    <xf numFmtId="0" fontId="5" fillId="25" borderId="24" xfId="0" applyFont="1" applyFill="1" applyBorder="1" applyProtection="1">
      <alignment vertical="center"/>
      <protection hidden="1"/>
    </xf>
    <xf numFmtId="0" fontId="3" fillId="24" borderId="10" xfId="0" applyNumberFormat="1" applyFont="1" applyFill="1" applyBorder="1" applyAlignment="1" applyProtection="1">
      <alignment horizontal="center" vertical="justify"/>
      <protection hidden="1"/>
    </xf>
    <xf numFmtId="183" fontId="25" fillId="24" borderId="87" xfId="0" applyNumberFormat="1" applyFont="1" applyFill="1" applyBorder="1" applyAlignment="1" applyProtection="1">
      <alignment horizontal="center" vertical="center"/>
      <protection hidden="1"/>
    </xf>
    <xf numFmtId="183" fontId="25" fillId="24" borderId="86" xfId="0" applyNumberFormat="1" applyFont="1" applyFill="1" applyBorder="1" applyAlignment="1" applyProtection="1">
      <alignment horizontal="center" vertical="center"/>
      <protection hidden="1"/>
    </xf>
    <xf numFmtId="194" fontId="73" fillId="25" borderId="54" xfId="0" applyNumberFormat="1" applyFont="1" applyFill="1" applyBorder="1" applyAlignment="1" applyProtection="1">
      <alignment horizontal="center" vertical="center"/>
      <protection hidden="1"/>
    </xf>
    <xf numFmtId="182" fontId="56" fillId="24" borderId="0" xfId="0" applyNumberFormat="1" applyFont="1" applyFill="1" applyBorder="1" applyAlignment="1" applyProtection="1">
      <alignment horizontal="center" vertical="center"/>
      <protection hidden="1"/>
    </xf>
    <xf numFmtId="176" fontId="56" fillId="0" borderId="20" xfId="0" applyNumberFormat="1" applyFont="1" applyFill="1" applyBorder="1" applyAlignment="1" applyProtection="1">
      <alignment horizontal="center" vertical="center"/>
      <protection hidden="1"/>
    </xf>
    <xf numFmtId="182" fontId="56" fillId="24" borderId="20" xfId="0" applyNumberFormat="1" applyFont="1" applyFill="1" applyBorder="1" applyAlignment="1" applyProtection="1">
      <alignment horizontal="center" vertical="center"/>
      <protection hidden="1"/>
    </xf>
    <xf numFmtId="0" fontId="52" fillId="35" borderId="70" xfId="0" applyFont="1" applyFill="1" applyBorder="1" applyAlignment="1" applyProtection="1">
      <alignment vertical="center"/>
      <protection hidden="1"/>
    </xf>
    <xf numFmtId="0" fontId="52" fillId="35" borderId="70" xfId="0" applyFont="1" applyFill="1" applyBorder="1" applyAlignment="1" applyProtection="1">
      <alignment horizontal="right" vertical="center"/>
      <protection hidden="1"/>
    </xf>
    <xf numFmtId="0" fontId="53" fillId="35" borderId="97" xfId="0" applyFont="1" applyFill="1" applyBorder="1" applyAlignment="1" applyProtection="1">
      <alignment vertical="center"/>
      <protection hidden="1"/>
    </xf>
    <xf numFmtId="0" fontId="120" fillId="35" borderId="70" xfId="0" applyFont="1" applyFill="1" applyBorder="1" applyAlignment="1" applyProtection="1">
      <alignment vertical="center"/>
      <protection hidden="1"/>
    </xf>
    <xf numFmtId="0" fontId="53" fillId="35" borderId="70" xfId="0" applyFont="1" applyFill="1" applyBorder="1" applyAlignment="1" applyProtection="1">
      <alignment horizontal="center" vertical="center"/>
      <protection hidden="1"/>
    </xf>
    <xf numFmtId="0" fontId="53" fillId="35" borderId="73" xfId="0" applyFont="1" applyFill="1" applyBorder="1" applyAlignment="1" applyProtection="1">
      <alignment horizontal="center" vertical="center"/>
      <protection hidden="1"/>
    </xf>
    <xf numFmtId="0" fontId="120" fillId="35" borderId="77" xfId="0" applyFont="1" applyFill="1" applyBorder="1" applyAlignment="1" applyProtection="1">
      <alignment vertical="center"/>
      <protection hidden="1"/>
    </xf>
    <xf numFmtId="0" fontId="121" fillId="35" borderId="77" xfId="0" applyFont="1" applyFill="1" applyBorder="1" applyAlignment="1" applyProtection="1">
      <alignment vertical="center"/>
      <protection hidden="1"/>
    </xf>
    <xf numFmtId="0" fontId="53" fillId="35" borderId="97" xfId="0" applyFont="1" applyFill="1" applyBorder="1" applyAlignment="1" applyProtection="1">
      <alignment horizontal="center" vertical="center"/>
      <protection hidden="1"/>
    </xf>
    <xf numFmtId="0" fontId="121" fillId="35" borderId="11" xfId="0" applyFont="1" applyFill="1" applyBorder="1">
      <alignment vertical="center"/>
    </xf>
    <xf numFmtId="0" fontId="53" fillId="35" borderId="0" xfId="0" applyFont="1" applyFill="1" applyBorder="1" applyAlignment="1" applyProtection="1">
      <alignment horizontal="center" vertical="center"/>
      <protection hidden="1"/>
    </xf>
    <xf numFmtId="0" fontId="53" fillId="35" borderId="16" xfId="0" applyFont="1" applyFill="1" applyBorder="1" applyAlignment="1" applyProtection="1">
      <alignment horizontal="center" vertical="center"/>
      <protection hidden="1"/>
    </xf>
    <xf numFmtId="0" fontId="121" fillId="35" borderId="69" xfId="0" applyFont="1" applyFill="1" applyBorder="1">
      <alignment vertical="center"/>
    </xf>
    <xf numFmtId="0" fontId="53" fillId="35" borderId="0" xfId="0" applyFont="1" applyFill="1" applyBorder="1" applyAlignment="1" applyProtection="1">
      <alignment horizontal="left" vertical="center"/>
      <protection hidden="1"/>
    </xf>
    <xf numFmtId="0" fontId="52" fillId="35" borderId="0" xfId="0" applyFont="1" applyFill="1" applyBorder="1" applyAlignment="1" applyProtection="1">
      <alignment horizontal="right" vertical="center"/>
      <protection hidden="1"/>
    </xf>
    <xf numFmtId="0" fontId="52" fillId="35" borderId="20" xfId="0" applyFont="1" applyFill="1" applyBorder="1" applyAlignment="1" applyProtection="1">
      <alignment horizontal="right" vertical="center"/>
      <protection hidden="1"/>
    </xf>
    <xf numFmtId="0" fontId="121" fillId="35" borderId="77" xfId="0" applyFont="1" applyFill="1" applyBorder="1">
      <alignment vertical="center"/>
    </xf>
    <xf numFmtId="0" fontId="53" fillId="35" borderId="70" xfId="0" applyFont="1" applyFill="1" applyBorder="1" applyAlignment="1" applyProtection="1">
      <alignment horizontal="left" vertical="center"/>
      <protection hidden="1"/>
    </xf>
    <xf numFmtId="0" fontId="52" fillId="35" borderId="97" xfId="0" applyFont="1" applyFill="1" applyBorder="1" applyAlignment="1" applyProtection="1">
      <alignment horizontal="right" vertical="center"/>
      <protection hidden="1"/>
    </xf>
    <xf numFmtId="0" fontId="121" fillId="35" borderId="0" xfId="0" applyFont="1" applyFill="1" applyBorder="1">
      <alignment vertical="center"/>
    </xf>
    <xf numFmtId="0" fontId="121" fillId="35" borderId="70" xfId="0" applyFont="1" applyFill="1" applyBorder="1">
      <alignment vertical="center"/>
    </xf>
    <xf numFmtId="0" fontId="52" fillId="35" borderId="73" xfId="0" applyFont="1" applyFill="1" applyBorder="1" applyAlignment="1" applyProtection="1">
      <alignment horizontal="right" vertical="center"/>
      <protection hidden="1"/>
    </xf>
    <xf numFmtId="0" fontId="122" fillId="25" borderId="0" xfId="0" applyFont="1" applyFill="1" applyBorder="1" applyAlignment="1" applyProtection="1">
      <alignment horizontal="right"/>
      <protection hidden="1"/>
    </xf>
    <xf numFmtId="0" fontId="12" fillId="25" borderId="37" xfId="0" applyFont="1" applyFill="1" applyBorder="1" applyAlignment="1" applyProtection="1">
      <alignment vertical="center"/>
      <protection hidden="1"/>
    </xf>
    <xf numFmtId="0" fontId="26" fillId="25" borderId="156" xfId="0" applyFont="1" applyFill="1" applyBorder="1" applyAlignment="1" applyProtection="1">
      <alignment horizontal="left" vertical="center" indent="1"/>
      <protection hidden="1"/>
    </xf>
    <xf numFmtId="0" fontId="26" fillId="25" borderId="157" xfId="0" applyFont="1" applyFill="1" applyBorder="1" applyAlignment="1" applyProtection="1">
      <alignment horizontal="right" vertical="center"/>
      <protection hidden="1"/>
    </xf>
    <xf numFmtId="0" fontId="10" fillId="25" borderId="0" xfId="0" applyFont="1" applyFill="1" applyBorder="1" applyAlignment="1">
      <alignment horizontal="left" vertical="center"/>
    </xf>
    <xf numFmtId="0" fontId="123" fillId="29" borderId="0" xfId="0" applyFont="1" applyFill="1" applyBorder="1" applyAlignment="1" applyProtection="1">
      <alignment horizontal="centerContinuous" vertical="center"/>
      <protection hidden="1"/>
    </xf>
    <xf numFmtId="0" fontId="124" fillId="29" borderId="0" xfId="0" applyFont="1" applyFill="1" applyBorder="1" applyAlignment="1" applyProtection="1">
      <alignment horizontal="centerContinuous" vertical="center"/>
      <protection hidden="1"/>
    </xf>
    <xf numFmtId="0" fontId="123" fillId="29" borderId="0" xfId="0" applyFont="1" applyFill="1" applyBorder="1" applyAlignment="1" applyProtection="1">
      <alignment horizontal="centerContinuous" vertical="top"/>
      <protection hidden="1"/>
    </xf>
    <xf numFmtId="0" fontId="20" fillId="24" borderId="158" xfId="0" applyFont="1" applyFill="1" applyBorder="1" applyAlignment="1" applyProtection="1">
      <alignment horizontal="center" vertical="center"/>
      <protection locked="0"/>
    </xf>
    <xf numFmtId="0" fontId="18" fillId="0" borderId="144" xfId="0" applyFont="1" applyFill="1" applyBorder="1" applyAlignment="1" applyProtection="1">
      <alignment horizontal="center" vertical="center"/>
      <protection hidden="1"/>
    </xf>
    <xf numFmtId="0" fontId="3" fillId="25" borderId="112" xfId="0" applyFont="1" applyFill="1" applyBorder="1" applyAlignment="1" applyProtection="1">
      <alignment horizontal="left" vertical="center" wrapText="1"/>
    </xf>
    <xf numFmtId="0" fontId="3" fillId="25" borderId="48" xfId="0" applyFont="1" applyFill="1" applyBorder="1" applyAlignment="1" applyProtection="1">
      <alignment horizontal="left" vertical="center" wrapText="1"/>
    </xf>
    <xf numFmtId="0" fontId="3" fillId="25" borderId="114" xfId="0" applyFont="1" applyFill="1" applyBorder="1" applyAlignment="1" applyProtection="1">
      <alignment horizontal="left" vertical="center" wrapText="1"/>
    </xf>
    <xf numFmtId="0" fontId="3" fillId="25" borderId="50" xfId="0" applyFont="1" applyFill="1" applyBorder="1" applyAlignment="1" applyProtection="1">
      <alignment horizontal="left" vertical="center" wrapText="1"/>
    </xf>
    <xf numFmtId="0" fontId="3" fillId="25" borderId="18" xfId="0" applyFont="1" applyFill="1" applyBorder="1" applyAlignment="1" applyProtection="1">
      <alignment horizontal="left" vertical="center" wrapText="1"/>
    </xf>
    <xf numFmtId="0" fontId="3" fillId="25" borderId="46" xfId="0" applyFont="1" applyFill="1" applyBorder="1" applyAlignment="1" applyProtection="1">
      <alignment horizontal="left" vertical="center" wrapText="1"/>
    </xf>
    <xf numFmtId="49" fontId="13" fillId="25" borderId="33" xfId="0" applyNumberFormat="1" applyFont="1" applyFill="1" applyBorder="1" applyAlignment="1" applyProtection="1">
      <alignment vertical="center"/>
      <protection hidden="1"/>
    </xf>
    <xf numFmtId="0" fontId="13" fillId="25" borderId="33" xfId="0" applyFont="1" applyFill="1" applyBorder="1" applyAlignment="1" applyProtection="1">
      <alignment vertical="center"/>
      <protection hidden="1"/>
    </xf>
    <xf numFmtId="0" fontId="0" fillId="25" borderId="109" xfId="0" applyFill="1" applyBorder="1" applyAlignment="1" applyProtection="1">
      <alignment vertical="center"/>
      <protection hidden="1"/>
    </xf>
    <xf numFmtId="0" fontId="3" fillId="25" borderId="154" xfId="0" applyFont="1" applyFill="1" applyBorder="1" applyAlignment="1" applyProtection="1">
      <alignment horizontal="left" vertical="center"/>
      <protection hidden="1"/>
    </xf>
    <xf numFmtId="0" fontId="27" fillId="26" borderId="44" xfId="0" applyFont="1" applyFill="1" applyBorder="1" applyAlignment="1" applyProtection="1">
      <alignment horizontal="center" vertical="center"/>
      <protection locked="0" hidden="1"/>
    </xf>
    <xf numFmtId="0" fontId="27" fillId="26" borderId="104" xfId="0" applyFont="1" applyFill="1" applyBorder="1" applyAlignment="1" applyProtection="1">
      <alignment horizontal="center" vertical="center"/>
      <protection locked="0" hidden="1"/>
    </xf>
    <xf numFmtId="180" fontId="5" fillId="25" borderId="122" xfId="0" applyNumberFormat="1" applyFont="1" applyFill="1" applyBorder="1" applyAlignment="1" applyProtection="1">
      <alignment horizontal="centerContinuous" vertical="center"/>
      <protection hidden="1"/>
    </xf>
    <xf numFmtId="0" fontId="5" fillId="25" borderId="122" xfId="0" applyNumberFormat="1" applyFont="1" applyFill="1" applyBorder="1" applyAlignment="1" applyProtection="1">
      <alignment vertical="center"/>
      <protection hidden="1"/>
    </xf>
    <xf numFmtId="183" fontId="66" fillId="24" borderId="44" xfId="0" applyNumberFormat="1" applyFont="1" applyFill="1" applyBorder="1" applyAlignment="1" applyProtection="1">
      <alignment horizontal="center" vertical="center"/>
      <protection hidden="1"/>
    </xf>
    <xf numFmtId="0" fontId="56" fillId="0" borderId="23" xfId="0" applyFont="1" applyFill="1" applyBorder="1" applyAlignment="1" applyProtection="1">
      <alignment horizontal="left" vertical="center"/>
      <protection hidden="1"/>
    </xf>
    <xf numFmtId="194" fontId="73" fillId="25" borderId="159" xfId="0" applyNumberFormat="1" applyFont="1" applyFill="1" applyBorder="1" applyAlignment="1" applyProtection="1">
      <alignment horizontal="center" vertical="center"/>
      <protection hidden="1"/>
    </xf>
    <xf numFmtId="0" fontId="5" fillId="25" borderId="122" xfId="0" applyFont="1" applyFill="1" applyBorder="1" applyProtection="1">
      <alignment vertical="center"/>
      <protection hidden="1"/>
    </xf>
    <xf numFmtId="0" fontId="114" fillId="25" borderId="160" xfId="29" applyFont="1" applyFill="1" applyBorder="1" applyAlignment="1" applyProtection="1">
      <alignment horizontal="left" vertical="center" indent="1"/>
      <protection hidden="1"/>
    </xf>
    <xf numFmtId="0" fontId="13" fillId="0" borderId="0" xfId="44" applyFont="1" applyFill="1" applyBorder="1" applyAlignment="1">
      <alignment vertical="center"/>
    </xf>
    <xf numFmtId="180" fontId="13" fillId="0" borderId="0" xfId="44" applyNumberFormat="1" applyFont="1" applyFill="1" applyBorder="1" applyAlignment="1" applyProtection="1">
      <alignment horizontal="left" vertical="center"/>
      <protection hidden="1"/>
    </xf>
    <xf numFmtId="0" fontId="68" fillId="0" borderId="0" xfId="44" applyFont="1" applyFill="1" applyBorder="1" applyAlignment="1" applyProtection="1">
      <alignment vertical="center"/>
      <protection hidden="1"/>
    </xf>
    <xf numFmtId="199" fontId="13" fillId="0" borderId="0" xfId="44" applyNumberFormat="1" applyFont="1" applyFill="1" applyBorder="1" applyAlignment="1">
      <alignment vertical="center"/>
    </xf>
    <xf numFmtId="0" fontId="2" fillId="25" borderId="0" xfId="44" applyFont="1" applyFill="1" applyBorder="1" applyAlignment="1">
      <alignment horizontal="center"/>
    </xf>
    <xf numFmtId="0" fontId="13" fillId="0" borderId="0" xfId="44" applyFont="1" applyFill="1" applyBorder="1" applyAlignment="1" applyProtection="1">
      <alignment horizontal="left" vertical="center"/>
      <protection hidden="1"/>
    </xf>
    <xf numFmtId="0" fontId="13" fillId="0" borderId="0" xfId="44" applyFont="1" applyFill="1" applyBorder="1" applyAlignment="1" applyProtection="1">
      <alignment vertical="center"/>
      <protection hidden="1"/>
    </xf>
    <xf numFmtId="0" fontId="2" fillId="0" borderId="0" xfId="44" applyBorder="1" applyAlignment="1"/>
    <xf numFmtId="0" fontId="2" fillId="0" borderId="0" xfId="44" applyBorder="1" applyAlignment="1">
      <alignment horizontal="left"/>
    </xf>
    <xf numFmtId="0" fontId="2" fillId="0" borderId="0" xfId="44" applyFont="1" applyBorder="1" applyAlignment="1"/>
    <xf numFmtId="0" fontId="2" fillId="25" borderId="10" xfId="44" applyFont="1" applyFill="1" applyBorder="1" applyAlignment="1">
      <alignment horizontal="left"/>
    </xf>
    <xf numFmtId="0" fontId="2" fillId="25" borderId="10" xfId="44" applyFill="1" applyBorder="1" applyAlignment="1">
      <alignment horizontal="center"/>
    </xf>
    <xf numFmtId="0" fontId="2" fillId="25" borderId="10" xfId="44" applyFont="1" applyFill="1" applyBorder="1" applyAlignment="1">
      <alignment horizontal="center"/>
    </xf>
    <xf numFmtId="0" fontId="2" fillId="36" borderId="43" xfId="44" applyFont="1" applyFill="1" applyBorder="1" applyAlignment="1">
      <alignment horizontal="center"/>
    </xf>
    <xf numFmtId="0" fontId="2" fillId="36" borderId="120" xfId="44" applyFill="1" applyBorder="1" applyAlignment="1">
      <alignment horizontal="center"/>
    </xf>
    <xf numFmtId="0" fontId="2" fillId="36" borderId="107" xfId="44" applyFill="1" applyBorder="1" applyAlignment="1">
      <alignment horizontal="center"/>
    </xf>
    <xf numFmtId="0" fontId="2" fillId="36" borderId="10" xfId="44" applyFont="1" applyFill="1" applyBorder="1" applyAlignment="1">
      <alignment horizontal="left"/>
    </xf>
    <xf numFmtId="0" fontId="5" fillId="0" borderId="0" xfId="44" applyFont="1" applyBorder="1" applyAlignment="1"/>
    <xf numFmtId="0" fontId="5" fillId="0" borderId="0" xfId="44" applyFont="1" applyFill="1" applyBorder="1" applyAlignment="1">
      <alignment vertical="center"/>
    </xf>
    <xf numFmtId="0" fontId="13" fillId="37" borderId="0" xfId="44" applyFont="1" applyFill="1" applyBorder="1" applyAlignment="1">
      <alignment vertical="center"/>
    </xf>
    <xf numFmtId="0" fontId="68" fillId="0" borderId="0" xfId="44" applyFont="1" applyFill="1" applyBorder="1" applyAlignment="1">
      <alignment vertical="center"/>
    </xf>
    <xf numFmtId="0" fontId="114" fillId="25" borderId="161" xfId="29" applyFont="1" applyFill="1" applyBorder="1" applyAlignment="1" applyProtection="1">
      <alignment horizontal="left" vertical="center" indent="1"/>
      <protection hidden="1"/>
    </xf>
    <xf numFmtId="0" fontId="21" fillId="0" borderId="0" xfId="0" applyFont="1" applyFill="1" applyBorder="1" applyProtection="1">
      <alignment vertical="center"/>
      <protection hidden="1"/>
    </xf>
    <xf numFmtId="0" fontId="13" fillId="0" borderId="0" xfId="44" applyFont="1" applyBorder="1" applyAlignment="1">
      <alignment horizontal="left"/>
    </xf>
    <xf numFmtId="38" fontId="2" fillId="0" borderId="10" xfId="35" applyFont="1" applyBorder="1" applyAlignment="1"/>
    <xf numFmtId="0" fontId="13" fillId="0" borderId="0" xfId="44" applyFont="1" applyBorder="1" applyAlignment="1">
      <alignment horizontal="right"/>
    </xf>
    <xf numFmtId="0" fontId="2" fillId="0" borderId="10" xfId="44" applyBorder="1" applyAlignment="1"/>
    <xf numFmtId="38" fontId="2" fillId="0" borderId="0" xfId="35" applyFont="1" applyBorder="1" applyAlignment="1"/>
    <xf numFmtId="0" fontId="13" fillId="0" borderId="0" xfId="44" applyFont="1" applyBorder="1" applyAlignment="1"/>
    <xf numFmtId="38" fontId="2" fillId="25" borderId="42" xfId="35" applyFont="1" applyFill="1" applyBorder="1" applyAlignment="1"/>
    <xf numFmtId="38" fontId="2" fillId="25" borderId="17" xfId="35" applyFont="1" applyFill="1" applyBorder="1" applyAlignment="1"/>
    <xf numFmtId="0" fontId="2" fillId="0" borderId="10" xfId="35" applyNumberFormat="1" applyFont="1" applyBorder="1" applyAlignment="1"/>
    <xf numFmtId="0" fontId="2" fillId="36" borderId="51" xfId="44" applyFont="1" applyFill="1" applyBorder="1" applyAlignment="1">
      <alignment horizontal="left"/>
    </xf>
    <xf numFmtId="0" fontId="2" fillId="36" borderId="11" xfId="44" applyFill="1" applyBorder="1" applyAlignment="1">
      <alignment horizontal="center" vertical="center"/>
    </xf>
    <xf numFmtId="0" fontId="2" fillId="36" borderId="72" xfId="44" applyFill="1" applyBorder="1" applyAlignment="1">
      <alignment horizontal="center" vertical="center"/>
    </xf>
    <xf numFmtId="189" fontId="2" fillId="36" borderId="17" xfId="44" applyNumberFormat="1" applyFont="1" applyFill="1" applyBorder="1" applyAlignment="1">
      <alignment horizontal="left"/>
    </xf>
    <xf numFmtId="189" fontId="2" fillId="36" borderId="97" xfId="44" applyNumberFormat="1" applyFont="1" applyFill="1" applyBorder="1" applyAlignment="1">
      <alignment horizontal="center"/>
    </xf>
    <xf numFmtId="189" fontId="2" fillId="36" borderId="16" xfId="44" applyNumberFormat="1" applyFill="1" applyBorder="1" applyAlignment="1">
      <alignment horizontal="center" vertical="center"/>
    </xf>
    <xf numFmtId="189" fontId="2" fillId="36" borderId="54" xfId="44" applyNumberFormat="1" applyFill="1" applyBorder="1" applyAlignment="1">
      <alignment horizontal="center" vertical="center"/>
    </xf>
    <xf numFmtId="0" fontId="2" fillId="36" borderId="69" xfId="44" applyFont="1" applyFill="1" applyBorder="1" applyAlignment="1">
      <alignment horizontal="left"/>
    </xf>
    <xf numFmtId="0" fontId="10" fillId="0" borderId="0" xfId="0" applyFont="1" applyFill="1" applyProtection="1">
      <alignment vertical="center"/>
    </xf>
    <xf numFmtId="0" fontId="0" fillId="0" borderId="10" xfId="0" applyBorder="1">
      <alignment vertical="center"/>
    </xf>
    <xf numFmtId="0" fontId="5" fillId="0" borderId="10" xfId="0" applyFont="1" applyBorder="1">
      <alignment vertical="center"/>
    </xf>
    <xf numFmtId="0" fontId="3"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12" fillId="25" borderId="35" xfId="0" applyFont="1" applyFill="1" applyBorder="1" applyAlignment="1" applyProtection="1">
      <alignment vertical="center"/>
      <protection hidden="1"/>
    </xf>
    <xf numFmtId="0" fontId="0" fillId="25" borderId="38" xfId="0" applyFill="1" applyBorder="1" applyAlignment="1" applyProtection="1">
      <alignment vertical="center"/>
      <protection hidden="1"/>
    </xf>
    <xf numFmtId="0" fontId="0" fillId="25" borderId="39" xfId="0" applyFill="1" applyBorder="1" applyAlignment="1" applyProtection="1">
      <alignment vertical="center"/>
      <protection hidden="1"/>
    </xf>
    <xf numFmtId="0" fontId="13" fillId="0" borderId="77" xfId="0" applyFont="1" applyFill="1" applyBorder="1" applyAlignment="1" applyProtection="1">
      <alignment horizontal="left" vertical="center"/>
      <protection hidden="1"/>
    </xf>
    <xf numFmtId="0" fontId="18" fillId="0" borderId="70" xfId="0" applyFont="1" applyFill="1" applyBorder="1" applyAlignment="1" applyProtection="1">
      <alignment vertical="center"/>
      <protection hidden="1"/>
    </xf>
    <xf numFmtId="0" fontId="13" fillId="0" borderId="122" xfId="0" applyFont="1" applyFill="1" applyBorder="1" applyAlignment="1" applyProtection="1">
      <alignment horizontal="left" vertical="center"/>
      <protection hidden="1"/>
    </xf>
    <xf numFmtId="37" fontId="18" fillId="0" borderId="21" xfId="0" applyNumberFormat="1" applyFont="1" applyFill="1" applyBorder="1" applyAlignment="1" applyProtection="1">
      <alignment vertical="center"/>
      <protection hidden="1"/>
    </xf>
    <xf numFmtId="182" fontId="13" fillId="0" borderId="18" xfId="0" applyNumberFormat="1" applyFont="1" applyFill="1" applyBorder="1" applyAlignment="1" applyProtection="1">
      <alignment vertical="center"/>
      <protection hidden="1"/>
    </xf>
    <xf numFmtId="31" fontId="13" fillId="0" borderId="162" xfId="0" applyNumberFormat="1" applyFont="1" applyFill="1" applyBorder="1" applyAlignment="1" applyProtection="1">
      <alignment horizontal="centerContinuous" vertical="center"/>
      <protection hidden="1"/>
    </xf>
    <xf numFmtId="31" fontId="13" fillId="0" borderId="163" xfId="0" applyNumberFormat="1" applyFont="1" applyFill="1" applyBorder="1" applyAlignment="1" applyProtection="1">
      <alignment horizontal="centerContinuous" vertical="center"/>
      <protection hidden="1"/>
    </xf>
    <xf numFmtId="31" fontId="13" fillId="0" borderId="164" xfId="0" applyNumberFormat="1" applyFont="1" applyFill="1" applyBorder="1" applyAlignment="1" applyProtection="1">
      <alignment horizontal="centerContinuous" vertical="center"/>
      <protection hidden="1"/>
    </xf>
    <xf numFmtId="0" fontId="42" fillId="0" borderId="0" xfId="0" applyFont="1" applyFill="1" applyBorder="1" applyAlignment="1">
      <alignment horizontal="left" vertical="center"/>
    </xf>
    <xf numFmtId="0" fontId="10" fillId="25" borderId="21" xfId="0" applyNumberFormat="1" applyFont="1" applyFill="1" applyBorder="1" applyAlignment="1" applyProtection="1">
      <alignment horizontal="center" vertical="center" wrapText="1"/>
      <protection hidden="1"/>
    </xf>
    <xf numFmtId="0" fontId="25" fillId="24" borderId="0" xfId="0" applyFont="1" applyFill="1" applyAlignment="1" applyProtection="1">
      <alignment horizontal="left" vertical="center"/>
      <protection hidden="1"/>
    </xf>
    <xf numFmtId="191" fontId="10" fillId="25" borderId="42" xfId="0" applyNumberFormat="1" applyFont="1" applyFill="1" applyBorder="1" applyAlignment="1" applyProtection="1">
      <alignment horizontal="center" vertical="center" wrapText="1"/>
      <protection hidden="1"/>
    </xf>
    <xf numFmtId="38" fontId="3" fillId="0" borderId="0" xfId="0" applyNumberFormat="1" applyFont="1" applyFill="1" applyBorder="1" applyAlignment="1" applyProtection="1">
      <alignment horizontal="center" vertical="center"/>
    </xf>
    <xf numFmtId="0" fontId="3" fillId="25" borderId="10" xfId="0" applyFont="1" applyFill="1" applyBorder="1" applyAlignment="1" applyProtection="1">
      <alignment horizontal="centerContinuous" vertical="center"/>
      <protection hidden="1"/>
    </xf>
    <xf numFmtId="0" fontId="3" fillId="0" borderId="51" xfId="0" applyFont="1" applyFill="1" applyBorder="1" applyAlignment="1" applyProtection="1">
      <alignment horizontal="center" vertical="center"/>
      <protection hidden="1"/>
    </xf>
    <xf numFmtId="0" fontId="3" fillId="0" borderId="51" xfId="0" applyFont="1" applyFill="1" applyBorder="1" applyAlignment="1" applyProtection="1">
      <alignment vertical="center"/>
      <protection hidden="1"/>
    </xf>
    <xf numFmtId="0" fontId="3" fillId="0" borderId="17" xfId="0" applyFont="1" applyFill="1" applyBorder="1" applyAlignment="1" applyProtection="1">
      <alignment vertical="center"/>
      <protection hidden="1"/>
    </xf>
    <xf numFmtId="0" fontId="3" fillId="25" borderId="70" xfId="0" applyFont="1" applyFill="1" applyBorder="1" applyAlignment="1" applyProtection="1">
      <alignment horizontal="center" vertical="center" wrapText="1"/>
      <protection hidden="1"/>
    </xf>
    <xf numFmtId="191" fontId="10" fillId="25" borderId="21" xfId="0" applyNumberFormat="1" applyFont="1" applyFill="1" applyBorder="1" applyAlignment="1" applyProtection="1">
      <alignment horizontal="center" vertical="center" wrapText="1"/>
      <protection hidden="1"/>
    </xf>
    <xf numFmtId="0" fontId="3" fillId="0" borderId="0" xfId="0" applyFont="1">
      <alignment vertical="center"/>
    </xf>
    <xf numFmtId="191" fontId="10" fillId="25" borderId="42" xfId="0" applyNumberFormat="1" applyFont="1" applyFill="1" applyBorder="1" applyAlignment="1" applyProtection="1">
      <alignment horizontal="center" vertical="center"/>
      <protection hidden="1"/>
    </xf>
    <xf numFmtId="0" fontId="10" fillId="24" borderId="0" xfId="0" applyFont="1" applyFill="1" applyAlignment="1" applyProtection="1">
      <alignment horizontal="left" vertical="center"/>
    </xf>
    <xf numFmtId="191" fontId="10" fillId="25" borderId="21" xfId="0" applyNumberFormat="1" applyFont="1" applyFill="1" applyBorder="1" applyAlignment="1" applyProtection="1">
      <alignment horizontal="center" vertical="center"/>
      <protection hidden="1"/>
    </xf>
    <xf numFmtId="200" fontId="3" fillId="25" borderId="72" xfId="0" applyNumberFormat="1" applyFont="1" applyFill="1" applyBorder="1" applyAlignment="1" applyProtection="1">
      <alignment horizontal="right" vertical="center"/>
      <protection hidden="1"/>
    </xf>
    <xf numFmtId="191" fontId="3" fillId="25" borderId="42" xfId="0" applyNumberFormat="1" applyFont="1" applyFill="1" applyBorder="1" applyAlignment="1" applyProtection="1">
      <alignment horizontal="right" vertical="center"/>
      <protection hidden="1"/>
    </xf>
    <xf numFmtId="178" fontId="10" fillId="25"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3" fillId="26" borderId="10" xfId="0" applyFont="1" applyFill="1" applyBorder="1" applyProtection="1">
      <alignment vertical="center"/>
    </xf>
    <xf numFmtId="0" fontId="3" fillId="26" borderId="10" xfId="0" applyFont="1" applyFill="1" applyBorder="1" applyAlignment="1" applyProtection="1">
      <alignment horizontal="center" vertical="center"/>
    </xf>
    <xf numFmtId="0" fontId="13" fillId="26" borderId="51" xfId="44" applyFont="1" applyFill="1" applyBorder="1" applyAlignment="1" applyProtection="1">
      <alignment horizontal="center" vertical="center"/>
      <protection hidden="1"/>
    </xf>
    <xf numFmtId="0" fontId="3" fillId="26" borderId="10" xfId="44" applyFont="1" applyFill="1" applyBorder="1" applyAlignment="1" applyProtection="1">
      <alignment horizontal="center" vertical="center"/>
      <protection hidden="1"/>
    </xf>
    <xf numFmtId="0" fontId="13" fillId="26" borderId="10" xfId="44" applyFont="1" applyFill="1" applyBorder="1" applyAlignment="1" applyProtection="1">
      <alignment horizontal="center" vertical="center"/>
      <protection hidden="1"/>
    </xf>
    <xf numFmtId="0" fontId="126" fillId="24" borderId="0" xfId="0" applyFont="1" applyFill="1" applyAlignment="1" applyProtection="1">
      <alignment horizontal="right" vertical="center"/>
      <protection hidden="1"/>
    </xf>
    <xf numFmtId="0" fontId="126" fillId="24" borderId="0" xfId="0" applyFont="1" applyFill="1" applyAlignment="1" applyProtection="1">
      <alignment horizontal="left" vertical="center"/>
      <protection hidden="1"/>
    </xf>
    <xf numFmtId="196" fontId="10" fillId="24" borderId="0" xfId="0" applyNumberFormat="1" applyFont="1" applyFill="1" applyBorder="1" applyAlignment="1" applyProtection="1">
      <alignment horizontal="center" vertical="center"/>
      <protection hidden="1"/>
    </xf>
    <xf numFmtId="0" fontId="10" fillId="24"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1" xfId="0" applyFont="1" applyFill="1" applyBorder="1" applyAlignment="1" applyProtection="1">
      <alignment vertical="center"/>
    </xf>
    <xf numFmtId="0" fontId="3" fillId="24" borderId="21" xfId="0" applyFont="1" applyFill="1" applyBorder="1" applyAlignment="1" applyProtection="1">
      <alignment vertical="center"/>
      <protection hidden="1"/>
    </xf>
    <xf numFmtId="0" fontId="36" fillId="0" borderId="0" xfId="44" applyFont="1" applyBorder="1" applyAlignment="1"/>
    <xf numFmtId="201" fontId="10" fillId="26" borderId="87" xfId="0" applyNumberFormat="1" applyFont="1" applyFill="1" applyBorder="1" applyAlignment="1" applyProtection="1">
      <alignment horizontal="center" vertical="center"/>
      <protection locked="0" hidden="1"/>
    </xf>
    <xf numFmtId="201" fontId="10" fillId="26" borderId="44" xfId="0" applyNumberFormat="1" applyFont="1" applyFill="1" applyBorder="1" applyAlignment="1" applyProtection="1">
      <alignment horizontal="center" vertical="center"/>
      <protection locked="0" hidden="1"/>
    </xf>
    <xf numFmtId="201" fontId="10" fillId="26" borderId="44" xfId="0" applyNumberFormat="1" applyFont="1" applyFill="1" applyBorder="1" applyAlignment="1" applyProtection="1">
      <alignment horizontal="center" vertical="center"/>
      <protection hidden="1"/>
    </xf>
    <xf numFmtId="201" fontId="10" fillId="26" borderId="44" xfId="0" quotePrefix="1" applyNumberFormat="1" applyFont="1" applyFill="1" applyBorder="1" applyAlignment="1" applyProtection="1">
      <alignment horizontal="center" vertical="center"/>
      <protection locked="0" hidden="1"/>
    </xf>
    <xf numFmtId="0" fontId="66" fillId="24" borderId="0" xfId="0" applyFont="1" applyFill="1" applyAlignment="1" applyProtection="1">
      <alignment vertical="center"/>
      <protection hidden="1"/>
    </xf>
    <xf numFmtId="0" fontId="66" fillId="24" borderId="0" xfId="0" applyFont="1" applyFill="1" applyAlignment="1" applyProtection="1">
      <alignment horizontal="center" vertical="center"/>
      <protection hidden="1"/>
    </xf>
    <xf numFmtId="191" fontId="3" fillId="25" borderId="21" xfId="0" applyNumberFormat="1" applyFont="1" applyFill="1" applyBorder="1" applyAlignment="1" applyProtection="1">
      <alignment horizontal="center" vertical="center" wrapText="1"/>
      <protection hidden="1"/>
    </xf>
    <xf numFmtId="192" fontId="3" fillId="25" borderId="21" xfId="0" applyNumberFormat="1" applyFont="1" applyFill="1" applyBorder="1" applyAlignment="1" applyProtection="1">
      <alignment horizontal="center" vertical="center" wrapText="1"/>
      <protection hidden="1"/>
    </xf>
    <xf numFmtId="192" fontId="3" fillId="25" borderId="54" xfId="0" applyNumberFormat="1" applyFont="1" applyFill="1" applyBorder="1" applyAlignment="1" applyProtection="1">
      <alignment horizontal="center" vertical="center" wrapText="1"/>
      <protection hidden="1"/>
    </xf>
    <xf numFmtId="0" fontId="10" fillId="25" borderId="21" xfId="0" applyFont="1" applyFill="1" applyBorder="1" applyAlignment="1" applyProtection="1">
      <alignment vertical="center"/>
      <protection hidden="1"/>
    </xf>
    <xf numFmtId="179" fontId="27" fillId="24" borderId="0" xfId="0" applyNumberFormat="1" applyFont="1" applyFill="1" applyBorder="1" applyAlignment="1" applyProtection="1">
      <alignment vertical="center" wrapText="1"/>
      <protection hidden="1"/>
    </xf>
    <xf numFmtId="0" fontId="42" fillId="0" borderId="0" xfId="0" applyFont="1" applyFill="1" applyBorder="1" applyAlignment="1">
      <alignment vertical="center"/>
    </xf>
    <xf numFmtId="0" fontId="42" fillId="24" borderId="0" xfId="0" applyFont="1" applyFill="1" applyProtection="1">
      <alignment vertical="center"/>
      <protection hidden="1"/>
    </xf>
    <xf numFmtId="0" fontId="42" fillId="0" borderId="0" xfId="0" applyFont="1" applyAlignment="1">
      <alignment horizontal="left" vertical="center"/>
    </xf>
    <xf numFmtId="0" fontId="42" fillId="0" borderId="0" xfId="0" applyFont="1" applyFill="1" applyBorder="1" applyAlignment="1" applyProtection="1">
      <alignment vertical="center"/>
    </xf>
    <xf numFmtId="0" fontId="42" fillId="0" borderId="0" xfId="0" applyFont="1" applyBorder="1" applyAlignment="1">
      <alignment horizontal="left" vertical="center"/>
    </xf>
    <xf numFmtId="0" fontId="42" fillId="0" borderId="0" xfId="0" quotePrefix="1" applyFont="1" applyAlignment="1" applyProtection="1">
      <alignment horizontal="left" vertical="center"/>
      <protection hidden="1"/>
    </xf>
    <xf numFmtId="0" fontId="42" fillId="0" borderId="0" xfId="0" applyFont="1" applyAlignment="1" applyProtection="1">
      <alignment horizontal="left" vertical="center"/>
      <protection hidden="1"/>
    </xf>
    <xf numFmtId="202" fontId="27" fillId="26" borderId="103" xfId="35" applyNumberFormat="1" applyFont="1" applyFill="1" applyBorder="1" applyAlignment="1" applyProtection="1">
      <alignment horizontal="center" vertical="center"/>
      <protection locked="0" hidden="1"/>
    </xf>
    <xf numFmtId="202" fontId="27" fillId="26" borderId="117" xfId="35" applyNumberFormat="1" applyFont="1" applyFill="1" applyBorder="1" applyAlignment="1" applyProtection="1">
      <alignment horizontal="center" vertical="center"/>
      <protection locked="0" hidden="1"/>
    </xf>
    <xf numFmtId="202" fontId="27" fillId="26" borderId="134" xfId="35" applyNumberFormat="1" applyFont="1" applyFill="1" applyBorder="1" applyAlignment="1" applyProtection="1">
      <alignment horizontal="center" vertical="center"/>
      <protection locked="0" hidden="1"/>
    </xf>
    <xf numFmtId="202" fontId="27" fillId="26" borderId="88" xfId="35" applyNumberFormat="1" applyFont="1" applyFill="1" applyBorder="1" applyAlignment="1" applyProtection="1">
      <alignment horizontal="center" vertical="center"/>
      <protection locked="0" hidden="1"/>
    </xf>
    <xf numFmtId="0" fontId="27" fillId="0" borderId="0" xfId="0" applyFont="1" applyFill="1" applyProtection="1">
      <alignment vertical="center"/>
    </xf>
    <xf numFmtId="38" fontId="3" fillId="0" borderId="0" xfId="0" applyNumberFormat="1" applyFont="1" applyFill="1" applyBorder="1" applyProtection="1">
      <alignment vertical="center"/>
    </xf>
    <xf numFmtId="3" fontId="13" fillId="0" borderId="118" xfId="0" applyNumberFormat="1" applyFont="1" applyFill="1" applyBorder="1" applyAlignment="1" applyProtection="1">
      <alignment horizontal="left" vertical="center"/>
      <protection hidden="1"/>
    </xf>
    <xf numFmtId="3" fontId="13" fillId="0" borderId="165" xfId="0" applyNumberFormat="1"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24" borderId="0" xfId="0" applyFont="1" applyFill="1" applyBorder="1" applyAlignment="1" applyProtection="1">
      <alignment horizontal="left" vertical="center"/>
      <protection hidden="1"/>
    </xf>
    <xf numFmtId="3" fontId="3" fillId="0" borderId="166" xfId="0" applyNumberFormat="1" applyFont="1" applyFill="1" applyBorder="1" applyAlignment="1" applyProtection="1">
      <alignment horizontal="left" vertical="center"/>
      <protection hidden="1"/>
    </xf>
    <xf numFmtId="0" fontId="128" fillId="28" borderId="78" xfId="0" applyNumberFormat="1" applyFont="1" applyFill="1" applyBorder="1" applyAlignment="1" applyProtection="1">
      <alignment vertical="center"/>
      <protection hidden="1"/>
    </xf>
    <xf numFmtId="0" fontId="16" fillId="28" borderId="79" xfId="0" applyFont="1" applyFill="1" applyBorder="1" applyAlignment="1" applyProtection="1">
      <alignment horizontal="left" vertical="center"/>
      <protection hidden="1"/>
    </xf>
    <xf numFmtId="0" fontId="16" fillId="28" borderId="79" xfId="0" applyFont="1" applyFill="1" applyBorder="1" applyAlignment="1" applyProtection="1">
      <alignment vertical="center"/>
      <protection hidden="1"/>
    </xf>
    <xf numFmtId="0" fontId="128" fillId="28" borderId="79" xfId="0" applyNumberFormat="1" applyFont="1" applyFill="1" applyBorder="1" applyAlignment="1" applyProtection="1">
      <alignment vertical="center"/>
      <protection hidden="1"/>
    </xf>
    <xf numFmtId="0" fontId="129" fillId="28" borderId="80" xfId="0" applyFont="1" applyFill="1" applyBorder="1" applyAlignment="1" applyProtection="1">
      <alignment vertical="center"/>
      <protection hidden="1"/>
    </xf>
    <xf numFmtId="0" fontId="59" fillId="24" borderId="24" xfId="0" applyNumberFormat="1" applyFont="1" applyFill="1" applyBorder="1" applyAlignment="1" applyProtection="1">
      <alignment vertical="center"/>
      <protection hidden="1"/>
    </xf>
    <xf numFmtId="0" fontId="8" fillId="24" borderId="19" xfId="0" applyFont="1" applyFill="1" applyBorder="1" applyAlignment="1" applyProtection="1">
      <alignment horizontal="left" vertical="center"/>
      <protection hidden="1"/>
    </xf>
    <xf numFmtId="0" fontId="33" fillId="24" borderId="19" xfId="0" applyFont="1" applyFill="1" applyBorder="1" applyAlignment="1" applyProtection="1">
      <alignment vertical="center"/>
      <protection hidden="1"/>
    </xf>
    <xf numFmtId="0" fontId="11" fillId="24" borderId="19" xfId="0" applyFont="1" applyFill="1" applyBorder="1" applyAlignment="1" applyProtection="1">
      <alignment vertical="center"/>
      <protection hidden="1"/>
    </xf>
    <xf numFmtId="0" fontId="11" fillId="24" borderId="25" xfId="0" applyFont="1" applyFill="1" applyBorder="1" applyAlignment="1" applyProtection="1">
      <alignment vertical="center"/>
      <protection hidden="1"/>
    </xf>
    <xf numFmtId="0" fontId="66" fillId="24" borderId="0" xfId="0" applyFont="1" applyFill="1" applyBorder="1" applyAlignment="1" applyProtection="1">
      <alignment horizontal="left" vertical="center"/>
      <protection hidden="1"/>
    </xf>
    <xf numFmtId="184" fontId="3" fillId="24" borderId="0" xfId="0" applyNumberFormat="1" applyFont="1" applyFill="1" applyBorder="1" applyProtection="1">
      <alignment vertical="center"/>
      <protection hidden="1"/>
    </xf>
    <xf numFmtId="0" fontId="2" fillId="26" borderId="51" xfId="44" applyFont="1" applyFill="1" applyBorder="1" applyAlignment="1">
      <alignment horizontal="left"/>
    </xf>
    <xf numFmtId="0" fontId="2" fillId="26" borderId="42" xfId="44" applyFill="1" applyBorder="1" applyAlignment="1">
      <alignment horizontal="center"/>
    </xf>
    <xf numFmtId="0" fontId="2" fillId="26" borderId="42" xfId="44" applyFill="1" applyBorder="1" applyAlignment="1">
      <alignment horizontal="left"/>
    </xf>
    <xf numFmtId="0" fontId="2" fillId="26" borderId="17" xfId="44" applyFill="1" applyBorder="1" applyAlignment="1"/>
    <xf numFmtId="0" fontId="2" fillId="26" borderId="51" xfId="44" applyFont="1" applyFill="1" applyBorder="1" applyAlignment="1" applyProtection="1">
      <alignment horizontal="left" vertical="center"/>
      <protection hidden="1"/>
    </xf>
    <xf numFmtId="0" fontId="2" fillId="26" borderId="42" xfId="44" applyFont="1" applyFill="1" applyBorder="1" applyAlignment="1">
      <alignment horizontal="left"/>
    </xf>
    <xf numFmtId="0" fontId="2" fillId="26" borderId="17" xfId="44" applyFont="1" applyFill="1" applyBorder="1" applyAlignment="1">
      <alignment horizontal="left"/>
    </xf>
    <xf numFmtId="0" fontId="2" fillId="26" borderId="17" xfId="44" applyFill="1" applyBorder="1" applyAlignment="1">
      <alignment horizontal="left"/>
    </xf>
    <xf numFmtId="0" fontId="2" fillId="26" borderId="10" xfId="44" applyFont="1" applyFill="1" applyBorder="1" applyAlignment="1">
      <alignment horizontal="center"/>
    </xf>
    <xf numFmtId="0" fontId="2" fillId="38" borderId="42" xfId="44" applyFill="1" applyBorder="1" applyAlignment="1">
      <alignment horizontal="center"/>
    </xf>
    <xf numFmtId="0" fontId="2" fillId="38" borderId="42" xfId="44" applyFill="1" applyBorder="1" applyAlignment="1">
      <alignment horizontal="left"/>
    </xf>
    <xf numFmtId="0" fontId="2" fillId="38" borderId="17" xfId="44" applyFill="1" applyBorder="1" applyAlignment="1"/>
    <xf numFmtId="0" fontId="2" fillId="38" borderId="51" xfId="44" applyFont="1" applyFill="1" applyBorder="1" applyAlignment="1" applyProtection="1">
      <alignment horizontal="left" vertical="center"/>
      <protection hidden="1"/>
    </xf>
    <xf numFmtId="0" fontId="2" fillId="38" borderId="42" xfId="44" applyFont="1" applyFill="1" applyBorder="1" applyAlignment="1">
      <alignment horizontal="left"/>
    </xf>
    <xf numFmtId="0" fontId="2" fillId="38" borderId="17" xfId="44" applyFont="1" applyFill="1" applyBorder="1" applyAlignment="1">
      <alignment horizontal="left"/>
    </xf>
    <xf numFmtId="0" fontId="2" fillId="38" borderId="17" xfId="44" applyFill="1" applyBorder="1" applyAlignment="1">
      <alignment horizontal="left"/>
    </xf>
    <xf numFmtId="0" fontId="2" fillId="38" borderId="10" xfId="44" applyFont="1" applyFill="1" applyBorder="1" applyAlignment="1">
      <alignment horizontal="center"/>
    </xf>
    <xf numFmtId="0" fontId="2" fillId="26" borderId="0" xfId="44" applyFont="1" applyFill="1" applyBorder="1" applyAlignment="1">
      <alignment horizontal="center"/>
    </xf>
    <xf numFmtId="0" fontId="2" fillId="36" borderId="10" xfId="44" applyFont="1" applyFill="1" applyBorder="1" applyAlignment="1">
      <alignment horizontal="left" wrapText="1"/>
    </xf>
    <xf numFmtId="0" fontId="13" fillId="0" borderId="0" xfId="44" applyFont="1" applyBorder="1" applyAlignment="1">
      <alignment horizontal="left" vertical="top"/>
    </xf>
    <xf numFmtId="0" fontId="2" fillId="25" borderId="10" xfId="44" applyFont="1" applyFill="1" applyBorder="1" applyAlignment="1">
      <alignment horizontal="center" vertical="center"/>
    </xf>
    <xf numFmtId="190" fontId="2" fillId="36" borderId="10" xfId="44" applyNumberFormat="1" applyFont="1" applyFill="1" applyBorder="1" applyAlignment="1">
      <alignment horizontal="center"/>
    </xf>
    <xf numFmtId="0" fontId="130" fillId="31" borderId="79" xfId="0" applyFont="1" applyFill="1" applyBorder="1" applyAlignment="1" applyProtection="1">
      <alignment horizontal="center" vertical="center"/>
    </xf>
    <xf numFmtId="0" fontId="130" fillId="31" borderId="79" xfId="0" applyFont="1" applyFill="1" applyBorder="1" applyAlignment="1" applyProtection="1">
      <alignment vertical="center"/>
    </xf>
    <xf numFmtId="183" fontId="14" fillId="27" borderId="87" xfId="0" applyNumberFormat="1" applyFont="1" applyFill="1" applyBorder="1" applyAlignment="1" applyProtection="1">
      <alignment horizontal="center" vertical="center"/>
      <protection hidden="1"/>
    </xf>
    <xf numFmtId="183" fontId="14" fillId="27" borderId="84"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xf>
    <xf numFmtId="177" fontId="3" fillId="25" borderId="10" xfId="0" applyNumberFormat="1" applyFont="1" applyFill="1" applyBorder="1" applyProtection="1">
      <alignment vertical="center"/>
    </xf>
    <xf numFmtId="177" fontId="3" fillId="25" borderId="51" xfId="0" applyNumberFormat="1" applyFont="1" applyFill="1" applyBorder="1" applyProtection="1">
      <alignment vertical="center"/>
    </xf>
    <xf numFmtId="9" fontId="3" fillId="25" borderId="10" xfId="0" applyNumberFormat="1" applyFont="1" applyFill="1" applyBorder="1" applyAlignment="1" applyProtection="1">
      <alignment vertical="center"/>
    </xf>
    <xf numFmtId="9" fontId="10" fillId="25" borderId="10" xfId="28" applyFont="1" applyFill="1" applyBorder="1" applyAlignment="1" applyProtection="1">
      <alignment vertical="center"/>
    </xf>
    <xf numFmtId="176" fontId="27" fillId="25" borderId="44" xfId="0" applyNumberFormat="1" applyFont="1" applyFill="1" applyBorder="1" applyAlignment="1" applyProtection="1">
      <alignment vertical="center"/>
    </xf>
    <xf numFmtId="0" fontId="21" fillId="0" borderId="0" xfId="0" applyFont="1" applyFill="1" applyBorder="1" applyAlignment="1" applyProtection="1">
      <alignment horizontal="right" vertical="center"/>
      <protection hidden="1"/>
    </xf>
    <xf numFmtId="0" fontId="2" fillId="0" borderId="0" xfId="0" applyFont="1" applyFill="1" applyProtection="1">
      <alignment vertical="center"/>
    </xf>
    <xf numFmtId="0" fontId="8" fillId="0" borderId="0" xfId="0" applyFont="1" applyFill="1" applyAlignment="1" applyProtection="1">
      <alignment horizontal="left"/>
    </xf>
    <xf numFmtId="180" fontId="7" fillId="0" borderId="0" xfId="0" applyNumberFormat="1" applyFont="1" applyFill="1" applyAlignment="1" applyProtection="1">
      <alignment horizontal="left"/>
    </xf>
    <xf numFmtId="183" fontId="13" fillId="0" borderId="0" xfId="0" applyNumberFormat="1" applyFont="1" applyFill="1" applyProtection="1">
      <alignment vertical="center"/>
    </xf>
    <xf numFmtId="184" fontId="13" fillId="0" borderId="0" xfId="0" applyNumberFormat="1" applyFont="1" applyFill="1" applyProtection="1">
      <alignment vertical="center"/>
    </xf>
    <xf numFmtId="0" fontId="128" fillId="28" borderId="78" xfId="0" applyNumberFormat="1" applyFont="1" applyFill="1" applyBorder="1" applyAlignment="1" applyProtection="1">
      <alignment vertical="center"/>
    </xf>
    <xf numFmtId="0" fontId="16" fillId="28" borderId="79" xfId="0" applyFont="1" applyFill="1" applyBorder="1" applyAlignment="1" applyProtection="1">
      <alignment horizontal="left" vertical="center"/>
    </xf>
    <xf numFmtId="0" fontId="16" fillId="28" borderId="79" xfId="0" applyFont="1" applyFill="1" applyBorder="1" applyAlignment="1" applyProtection="1">
      <alignment vertical="center"/>
    </xf>
    <xf numFmtId="0" fontId="128" fillId="28" borderId="79" xfId="0" applyNumberFormat="1" applyFont="1" applyFill="1" applyBorder="1" applyAlignment="1" applyProtection="1">
      <alignment vertical="center"/>
    </xf>
    <xf numFmtId="0" fontId="129" fillId="28" borderId="80" xfId="0" applyFont="1" applyFill="1" applyBorder="1" applyAlignment="1" applyProtection="1">
      <alignment vertical="center"/>
    </xf>
    <xf numFmtId="0" fontId="3" fillId="0" borderId="0" xfId="0" applyFont="1" applyFill="1" applyBorder="1" applyAlignment="1" applyProtection="1">
      <alignment horizontal="left" vertical="center"/>
    </xf>
    <xf numFmtId="0" fontId="66" fillId="24" borderId="0" xfId="0" applyFont="1" applyFill="1" applyBorder="1" applyAlignment="1" applyProtection="1">
      <alignment horizontal="left" vertical="center"/>
    </xf>
    <xf numFmtId="0" fontId="59" fillId="24" borderId="24" xfId="0" applyNumberFormat="1" applyFont="1" applyFill="1" applyBorder="1" applyAlignment="1" applyProtection="1">
      <alignment vertical="center"/>
    </xf>
    <xf numFmtId="0" fontId="8" fillId="24" borderId="19" xfId="0" applyFont="1" applyFill="1" applyBorder="1" applyAlignment="1" applyProtection="1">
      <alignment horizontal="left" vertical="center"/>
    </xf>
    <xf numFmtId="0" fontId="33" fillId="24" borderId="19" xfId="0" applyFont="1" applyFill="1" applyBorder="1" applyAlignment="1" applyProtection="1">
      <alignment vertical="center"/>
    </xf>
    <xf numFmtId="0" fontId="11" fillId="24" borderId="19" xfId="0" applyFont="1" applyFill="1" applyBorder="1" applyAlignment="1" applyProtection="1">
      <alignment vertical="center"/>
    </xf>
    <xf numFmtId="0" fontId="11" fillId="24" borderId="25" xfId="0" applyFont="1" applyFill="1" applyBorder="1" applyAlignment="1" applyProtection="1">
      <alignment vertical="center"/>
    </xf>
    <xf numFmtId="0" fontId="3" fillId="24" borderId="0" xfId="0" applyFont="1" applyFill="1" applyBorder="1" applyAlignment="1" applyProtection="1">
      <alignment horizontal="left" vertical="center"/>
    </xf>
    <xf numFmtId="184" fontId="3" fillId="24" borderId="0" xfId="0" applyNumberFormat="1" applyFont="1" applyFill="1" applyBorder="1" applyProtection="1">
      <alignment vertical="center"/>
    </xf>
    <xf numFmtId="0" fontId="13" fillId="0" borderId="0" xfId="44" applyFont="1" applyFill="1" applyBorder="1" applyAlignment="1" applyProtection="1">
      <alignment vertical="center"/>
    </xf>
    <xf numFmtId="0" fontId="68" fillId="0" borderId="0" xfId="44" applyFont="1" applyFill="1" applyBorder="1" applyAlignment="1" applyProtection="1">
      <alignment vertical="center"/>
    </xf>
    <xf numFmtId="0" fontId="13" fillId="0" borderId="0" xfId="44" applyFont="1" applyFill="1" applyBorder="1" applyAlignment="1" applyProtection="1">
      <alignment horizontal="left" vertical="center"/>
    </xf>
    <xf numFmtId="180" fontId="13" fillId="0" borderId="0" xfId="44" applyNumberFormat="1" applyFont="1" applyFill="1" applyBorder="1" applyAlignment="1" applyProtection="1">
      <alignment horizontal="left" vertical="center"/>
    </xf>
    <xf numFmtId="0" fontId="15" fillId="31" borderId="79" xfId="44" applyFont="1" applyFill="1" applyBorder="1" applyAlignment="1" applyProtection="1">
      <alignment vertical="center"/>
    </xf>
    <xf numFmtId="0" fontId="15" fillId="31" borderId="79" xfId="44" applyFont="1" applyFill="1" applyBorder="1" applyAlignment="1" applyProtection="1">
      <alignment horizontal="left" vertical="center"/>
    </xf>
    <xf numFmtId="0" fontId="15" fillId="31" borderId="79" xfId="44" applyNumberFormat="1" applyFont="1" applyFill="1" applyBorder="1" applyAlignment="1" applyProtection="1">
      <alignment vertical="center"/>
    </xf>
    <xf numFmtId="0" fontId="130" fillId="31" borderId="79" xfId="44" applyNumberFormat="1" applyFont="1" applyFill="1" applyBorder="1" applyAlignment="1" applyProtection="1">
      <alignment vertical="center"/>
    </xf>
    <xf numFmtId="0" fontId="16" fillId="31" borderId="79" xfId="0" applyFont="1" applyFill="1" applyBorder="1" applyAlignment="1" applyProtection="1">
      <alignment vertical="center"/>
    </xf>
    <xf numFmtId="0" fontId="15" fillId="31" borderId="80" xfId="44" applyFont="1" applyFill="1" applyBorder="1" applyAlignment="1" applyProtection="1">
      <alignment vertical="center"/>
    </xf>
    <xf numFmtId="0" fontId="51" fillId="25" borderId="0" xfId="44" applyNumberFormat="1" applyFont="1" applyFill="1" applyBorder="1" applyAlignment="1" applyProtection="1">
      <alignment vertical="center"/>
    </xf>
    <xf numFmtId="0" fontId="13" fillId="25" borderId="0" xfId="44" applyFont="1" applyFill="1" applyBorder="1" applyAlignment="1" applyProtection="1">
      <alignment horizontal="left" vertical="center"/>
    </xf>
    <xf numFmtId="0" fontId="13" fillId="25" borderId="0" xfId="44" applyFont="1" applyFill="1" applyBorder="1" applyAlignment="1" applyProtection="1">
      <alignment vertical="center"/>
    </xf>
    <xf numFmtId="0" fontId="99" fillId="25" borderId="0" xfId="44" applyFont="1" applyFill="1" applyBorder="1" applyAlignment="1" applyProtection="1">
      <alignment vertical="center"/>
    </xf>
    <xf numFmtId="0" fontId="15" fillId="25" borderId="0" xfId="44" applyFont="1" applyFill="1" applyBorder="1" applyAlignment="1" applyProtection="1">
      <alignment vertical="center"/>
    </xf>
    <xf numFmtId="0" fontId="51" fillId="25" borderId="0" xfId="44" applyFont="1" applyFill="1" applyBorder="1" applyAlignment="1" applyProtection="1">
      <alignment vertical="center"/>
    </xf>
    <xf numFmtId="0" fontId="51" fillId="25" borderId="0" xfId="44" applyFont="1" applyFill="1" applyBorder="1" applyAlignment="1" applyProtection="1">
      <alignment horizontal="left" vertical="center"/>
    </xf>
    <xf numFmtId="180" fontId="13" fillId="25" borderId="0" xfId="44" applyNumberFormat="1" applyFont="1" applyFill="1" applyBorder="1" applyAlignment="1" applyProtection="1">
      <alignment horizontal="center" vertical="center"/>
    </xf>
    <xf numFmtId="0" fontId="34" fillId="25" borderId="0" xfId="44" applyFont="1" applyFill="1" applyBorder="1" applyAlignment="1" applyProtection="1">
      <alignment vertical="center"/>
    </xf>
    <xf numFmtId="0" fontId="13" fillId="25" borderId="0" xfId="44" applyFont="1" applyFill="1" applyBorder="1" applyAlignment="1" applyProtection="1">
      <alignment horizontal="center" vertical="center"/>
    </xf>
    <xf numFmtId="0" fontId="13" fillId="26" borderId="10" xfId="44" applyFont="1" applyFill="1" applyBorder="1" applyAlignment="1" applyProtection="1">
      <alignment horizontal="center" vertical="center"/>
    </xf>
    <xf numFmtId="0" fontId="13" fillId="26" borderId="51" xfId="44" applyFont="1" applyFill="1" applyBorder="1" applyAlignment="1" applyProtection="1">
      <alignment horizontal="center" vertical="center"/>
    </xf>
    <xf numFmtId="0" fontId="13" fillId="26" borderId="167" xfId="44" applyFont="1" applyFill="1" applyBorder="1" applyAlignment="1" applyProtection="1">
      <alignment horizontal="center" vertical="center"/>
    </xf>
    <xf numFmtId="0" fontId="13" fillId="25" borderId="69" xfId="44" applyFont="1" applyFill="1" applyBorder="1" applyAlignment="1" applyProtection="1">
      <alignment vertical="center"/>
    </xf>
    <xf numFmtId="9" fontId="13" fillId="25" borderId="10" xfId="44" applyNumberFormat="1" applyFont="1" applyFill="1" applyBorder="1" applyAlignment="1" applyProtection="1">
      <alignment horizontal="right" vertical="center"/>
    </xf>
    <xf numFmtId="176" fontId="13" fillId="25" borderId="123" xfId="44" applyNumberFormat="1" applyFont="1" applyFill="1" applyBorder="1" applyAlignment="1" applyProtection="1">
      <alignment horizontal="center" vertical="center"/>
    </xf>
    <xf numFmtId="176" fontId="13" fillId="25" borderId="0" xfId="44" applyNumberFormat="1" applyFont="1" applyFill="1" applyBorder="1" applyAlignment="1" applyProtection="1">
      <alignment horizontal="center" vertical="center"/>
    </xf>
    <xf numFmtId="0" fontId="13" fillId="25" borderId="11" xfId="44" applyFont="1" applyFill="1" applyBorder="1" applyAlignment="1" applyProtection="1">
      <alignment vertical="center"/>
    </xf>
    <xf numFmtId="0" fontId="13" fillId="25" borderId="72" xfId="44" applyFont="1" applyFill="1" applyBorder="1" applyAlignment="1" applyProtection="1">
      <alignment vertical="center"/>
    </xf>
    <xf numFmtId="0" fontId="68" fillId="25" borderId="0" xfId="44" applyFont="1" applyFill="1" applyBorder="1" applyAlignment="1" applyProtection="1">
      <alignment vertical="center"/>
    </xf>
    <xf numFmtId="176" fontId="13" fillId="25" borderId="168" xfId="44" applyNumberFormat="1" applyFont="1" applyFill="1" applyBorder="1" applyAlignment="1" applyProtection="1">
      <alignment horizontal="center" vertical="center"/>
    </xf>
    <xf numFmtId="0" fontId="2" fillId="25" borderId="0" xfId="44" applyFont="1" applyFill="1" applyBorder="1" applyAlignment="1" applyProtection="1">
      <alignment vertical="center"/>
    </xf>
    <xf numFmtId="0" fontId="13" fillId="25" borderId="0" xfId="44" applyFont="1" applyFill="1" applyBorder="1" applyAlignment="1" applyProtection="1">
      <alignment horizontal="right" vertical="center"/>
    </xf>
    <xf numFmtId="0" fontId="13" fillId="25" borderId="42" xfId="44" applyFont="1" applyFill="1" applyBorder="1" applyAlignment="1" applyProtection="1">
      <alignment vertical="center"/>
    </xf>
    <xf numFmtId="0" fontId="68" fillId="25" borderId="17" xfId="44" applyFont="1" applyFill="1" applyBorder="1" applyAlignment="1" applyProtection="1">
      <alignment vertical="center"/>
    </xf>
    <xf numFmtId="177" fontId="2" fillId="25" borderId="167" xfId="44" applyNumberFormat="1" applyFont="1" applyFill="1" applyBorder="1" applyAlignment="1" applyProtection="1">
      <alignment vertical="center"/>
    </xf>
    <xf numFmtId="180" fontId="13" fillId="25" borderId="0" xfId="44" applyNumberFormat="1" applyFont="1" applyFill="1" applyBorder="1" applyAlignment="1" applyProtection="1">
      <alignment horizontal="left" vertical="center"/>
    </xf>
    <xf numFmtId="40" fontId="2" fillId="25" borderId="167" xfId="35" applyNumberFormat="1" applyFont="1" applyFill="1" applyBorder="1" applyAlignment="1" applyProtection="1">
      <alignment vertical="center"/>
    </xf>
    <xf numFmtId="199" fontId="13" fillId="0" borderId="0" xfId="44" applyNumberFormat="1" applyFont="1" applyFill="1" applyBorder="1" applyAlignment="1" applyProtection="1">
      <alignment vertical="center"/>
    </xf>
    <xf numFmtId="199" fontId="13" fillId="25" borderId="0" xfId="44" applyNumberFormat="1" applyFont="1" applyFill="1" applyBorder="1" applyAlignment="1" applyProtection="1">
      <alignment vertical="center"/>
    </xf>
    <xf numFmtId="199" fontId="13" fillId="25" borderId="0" xfId="44" applyNumberFormat="1" applyFont="1" applyFill="1" applyBorder="1" applyAlignment="1" applyProtection="1">
      <alignment horizontal="left" vertical="center"/>
    </xf>
    <xf numFmtId="38" fontId="13" fillId="25" borderId="0" xfId="35" applyFont="1" applyFill="1" applyBorder="1" applyAlignment="1" applyProtection="1">
      <alignment horizontal="right" vertical="center"/>
    </xf>
    <xf numFmtId="38" fontId="13" fillId="25" borderId="0" xfId="35" applyFont="1" applyFill="1" applyBorder="1" applyAlignment="1" applyProtection="1">
      <alignment vertical="center"/>
    </xf>
    <xf numFmtId="0" fontId="13" fillId="25" borderId="70" xfId="44" applyFont="1" applyFill="1" applyBorder="1" applyAlignment="1" applyProtection="1">
      <alignment horizontal="left" vertical="center"/>
    </xf>
    <xf numFmtId="0" fontId="13" fillId="25" borderId="70" xfId="44" applyFont="1" applyFill="1" applyBorder="1" applyAlignment="1" applyProtection="1">
      <alignment vertical="center"/>
    </xf>
    <xf numFmtId="0" fontId="13" fillId="25" borderId="69" xfId="44" applyFont="1" applyFill="1" applyBorder="1" applyAlignment="1" applyProtection="1">
      <alignment horizontal="left" vertical="center"/>
    </xf>
    <xf numFmtId="0" fontId="13" fillId="25" borderId="97" xfId="44" applyFont="1" applyFill="1" applyBorder="1" applyAlignment="1" applyProtection="1">
      <alignment horizontal="right" vertical="center"/>
    </xf>
    <xf numFmtId="0" fontId="68" fillId="25" borderId="10" xfId="44" applyFont="1" applyFill="1" applyBorder="1" applyAlignment="1" applyProtection="1">
      <alignment vertical="center"/>
    </xf>
    <xf numFmtId="177" fontId="68" fillId="25" borderId="10" xfId="44" applyNumberFormat="1" applyFont="1" applyFill="1" applyBorder="1" applyAlignment="1" applyProtection="1">
      <alignment vertical="center"/>
    </xf>
    <xf numFmtId="176" fontId="13" fillId="25" borderId="10" xfId="44" applyNumberFormat="1" applyFont="1" applyFill="1" applyBorder="1" applyAlignment="1" applyProtection="1">
      <alignment horizontal="center" vertical="center"/>
    </xf>
    <xf numFmtId="0" fontId="13" fillId="25" borderId="11" xfId="44" applyFont="1" applyFill="1" applyBorder="1" applyAlignment="1" applyProtection="1">
      <alignment horizontal="left" vertical="center"/>
    </xf>
    <xf numFmtId="0" fontId="13" fillId="25" borderId="16" xfId="44" applyFont="1" applyFill="1" applyBorder="1" applyAlignment="1" applyProtection="1">
      <alignment horizontal="right" vertical="center"/>
    </xf>
    <xf numFmtId="0" fontId="13" fillId="25" borderId="72" xfId="44" applyFont="1" applyFill="1" applyBorder="1" applyAlignment="1" applyProtection="1">
      <alignment horizontal="left" vertical="center"/>
    </xf>
    <xf numFmtId="0" fontId="13" fillId="25" borderId="21" xfId="44" applyFont="1" applyFill="1" applyBorder="1" applyAlignment="1" applyProtection="1">
      <alignment vertical="center"/>
    </xf>
    <xf numFmtId="0" fontId="13" fillId="25" borderId="54" xfId="44" applyFont="1" applyFill="1" applyBorder="1" applyAlignment="1" applyProtection="1">
      <alignment horizontal="right" vertical="center"/>
    </xf>
    <xf numFmtId="0" fontId="13" fillId="25" borderId="51" xfId="44" applyFont="1" applyFill="1" applyBorder="1" applyAlignment="1" applyProtection="1">
      <alignment horizontal="left" vertical="center"/>
    </xf>
    <xf numFmtId="0" fontId="68" fillId="25" borderId="97" xfId="44" applyFont="1" applyFill="1" applyBorder="1" applyAlignment="1" applyProtection="1">
      <alignment vertical="center"/>
    </xf>
    <xf numFmtId="176" fontId="68" fillId="25" borderId="0" xfId="44" applyNumberFormat="1" applyFont="1" applyFill="1" applyBorder="1" applyAlignment="1" applyProtection="1">
      <alignment vertical="center"/>
    </xf>
    <xf numFmtId="176" fontId="13" fillId="25" borderId="0" xfId="44" applyNumberFormat="1" applyFont="1" applyFill="1" applyBorder="1" applyAlignment="1" applyProtection="1">
      <alignment vertical="center"/>
    </xf>
    <xf numFmtId="176" fontId="13" fillId="25" borderId="0" xfId="44" applyNumberFormat="1" applyFont="1" applyFill="1" applyBorder="1" applyAlignment="1" applyProtection="1">
      <alignment horizontal="left" vertical="center"/>
    </xf>
    <xf numFmtId="178" fontId="2" fillId="25" borderId="44" xfId="44" applyNumberFormat="1" applyFont="1" applyFill="1" applyBorder="1" applyAlignment="1" applyProtection="1">
      <alignment horizontal="right" vertical="center"/>
    </xf>
    <xf numFmtId="178" fontId="13" fillId="25" borderId="0" xfId="44" applyNumberFormat="1" applyFont="1" applyFill="1" applyBorder="1" applyAlignment="1" applyProtection="1">
      <alignment horizontal="right" vertical="center"/>
    </xf>
    <xf numFmtId="38" fontId="68" fillId="25" borderId="10" xfId="35" applyFont="1" applyFill="1" applyBorder="1" applyAlignment="1" applyProtection="1">
      <alignment vertical="center"/>
    </xf>
    <xf numFmtId="38" fontId="13" fillId="25" borderId="10" xfId="35" applyFont="1" applyFill="1" applyBorder="1" applyAlignment="1" applyProtection="1">
      <alignment horizontal="center" vertical="center"/>
    </xf>
    <xf numFmtId="40" fontId="2" fillId="25" borderId="167" xfId="44" applyNumberFormat="1" applyFont="1" applyFill="1" applyBorder="1" applyAlignment="1" applyProtection="1">
      <alignment vertical="center"/>
    </xf>
    <xf numFmtId="0" fontId="2" fillId="25" borderId="51" xfId="44" applyFont="1" applyFill="1" applyBorder="1" applyAlignment="1" applyProtection="1">
      <alignment horizontal="left" vertical="center"/>
    </xf>
    <xf numFmtId="183" fontId="63" fillId="25" borderId="94" xfId="0" applyNumberFormat="1" applyFont="1" applyFill="1" applyBorder="1" applyAlignment="1" applyProtection="1">
      <alignment horizontal="center" vertical="center" wrapText="1"/>
      <protection hidden="1"/>
    </xf>
    <xf numFmtId="0" fontId="68" fillId="33" borderId="10" xfId="0" applyFont="1" applyFill="1" applyBorder="1" applyProtection="1">
      <alignment vertical="center"/>
    </xf>
    <xf numFmtId="189" fontId="5" fillId="26" borderId="103" xfId="0" applyNumberFormat="1" applyFont="1" applyFill="1" applyBorder="1" applyAlignment="1" applyProtection="1">
      <alignment horizontal="center" vertical="center"/>
      <protection locked="0"/>
    </xf>
    <xf numFmtId="189" fontId="5" fillId="26" borderId="117" xfId="0" applyNumberFormat="1" applyFont="1" applyFill="1" applyBorder="1" applyAlignment="1" applyProtection="1">
      <alignment horizontal="center" vertical="center"/>
      <protection locked="0"/>
    </xf>
    <xf numFmtId="189" fontId="5" fillId="26" borderId="104" xfId="0" applyNumberFormat="1" applyFont="1" applyFill="1" applyBorder="1" applyAlignment="1" applyProtection="1">
      <alignment horizontal="center" vertical="center"/>
      <protection locked="0"/>
    </xf>
    <xf numFmtId="0" fontId="3" fillId="24" borderId="51" xfId="0" applyFont="1" applyFill="1" applyBorder="1" applyAlignment="1" applyProtection="1">
      <alignment horizontal="left" vertical="center"/>
      <protection locked="0"/>
    </xf>
    <xf numFmtId="0" fontId="3" fillId="25" borderId="42" xfId="0" applyFont="1" applyFill="1" applyBorder="1" applyAlignment="1" applyProtection="1">
      <alignment vertical="center"/>
    </xf>
    <xf numFmtId="0" fontId="0" fillId="0" borderId="42" xfId="0" applyBorder="1" applyAlignment="1" applyProtection="1">
      <alignment vertical="center"/>
    </xf>
    <xf numFmtId="0" fontId="0" fillId="0" borderId="17" xfId="0" applyBorder="1" applyAlignment="1" applyProtection="1">
      <alignment vertical="center"/>
    </xf>
    <xf numFmtId="180" fontId="3" fillId="39" borderId="23" xfId="0" applyNumberFormat="1" applyFont="1" applyFill="1" applyBorder="1" applyAlignment="1" applyProtection="1">
      <alignment horizontal="left" vertical="center" shrinkToFit="1"/>
      <protection locked="0"/>
    </xf>
    <xf numFmtId="180" fontId="3" fillId="39" borderId="0" xfId="0" applyNumberFormat="1" applyFont="1" applyFill="1" applyBorder="1" applyAlignment="1" applyProtection="1">
      <alignment horizontal="left" vertical="center" shrinkToFit="1"/>
      <protection locked="0"/>
    </xf>
    <xf numFmtId="180" fontId="7" fillId="39" borderId="0" xfId="0" applyNumberFormat="1" applyFont="1" applyFill="1" applyBorder="1" applyAlignment="1" applyProtection="1">
      <alignment horizontal="left" shrinkToFit="1"/>
      <protection locked="0"/>
    </xf>
    <xf numFmtId="180" fontId="3" fillId="39" borderId="77" xfId="0" applyNumberFormat="1" applyFont="1" applyFill="1" applyBorder="1" applyAlignment="1" applyProtection="1">
      <alignment horizontal="left" vertical="center" shrinkToFit="1"/>
      <protection locked="0"/>
    </xf>
    <xf numFmtId="180" fontId="3" fillId="39" borderId="70" xfId="0" applyNumberFormat="1" applyFont="1" applyFill="1" applyBorder="1" applyAlignment="1" applyProtection="1">
      <alignment horizontal="left" vertical="center" shrinkToFit="1"/>
      <protection locked="0"/>
    </xf>
    <xf numFmtId="180" fontId="7" fillId="39" borderId="70" xfId="0" applyNumberFormat="1" applyFont="1" applyFill="1" applyBorder="1" applyAlignment="1" applyProtection="1">
      <alignment horizontal="left" shrinkToFit="1"/>
      <protection locked="0"/>
    </xf>
    <xf numFmtId="180" fontId="3" fillId="39" borderId="23" xfId="0" applyNumberFormat="1" applyFont="1" applyFill="1" applyBorder="1" applyAlignment="1" applyProtection="1">
      <alignment horizontal="left" vertical="center" shrinkToFit="1"/>
    </xf>
    <xf numFmtId="180" fontId="3" fillId="39" borderId="0" xfId="0" applyNumberFormat="1" applyFont="1" applyFill="1" applyBorder="1" applyAlignment="1" applyProtection="1">
      <alignment horizontal="left" vertical="center" shrinkToFit="1"/>
    </xf>
    <xf numFmtId="180" fontId="7" fillId="39" borderId="0" xfId="0" applyNumberFormat="1" applyFont="1" applyFill="1" applyBorder="1" applyAlignment="1" applyProtection="1">
      <alignment horizontal="left" shrinkToFit="1"/>
    </xf>
    <xf numFmtId="180" fontId="3" fillId="39" borderId="41" xfId="0" applyNumberFormat="1" applyFont="1" applyFill="1" applyBorder="1" applyAlignment="1" applyProtection="1">
      <alignment horizontal="left" vertical="center" shrinkToFit="1"/>
    </xf>
    <xf numFmtId="180" fontId="3" fillId="39" borderId="42" xfId="0" applyNumberFormat="1" applyFont="1" applyFill="1" applyBorder="1" applyAlignment="1" applyProtection="1">
      <alignment horizontal="left" vertical="center" shrinkToFit="1"/>
    </xf>
    <xf numFmtId="180" fontId="7" fillId="39" borderId="42" xfId="0" applyNumberFormat="1" applyFont="1" applyFill="1" applyBorder="1" applyAlignment="1" applyProtection="1">
      <alignment horizontal="left" shrinkToFit="1"/>
    </xf>
    <xf numFmtId="180" fontId="7" fillId="26" borderId="74" xfId="0" applyNumberFormat="1" applyFont="1" applyFill="1" applyBorder="1" applyAlignment="1" applyProtection="1">
      <alignment horizontal="left" vertical="center" shrinkToFit="1"/>
      <protection hidden="1"/>
    </xf>
    <xf numFmtId="180" fontId="7" fillId="26" borderId="75" xfId="0" applyNumberFormat="1" applyFont="1" applyFill="1" applyBorder="1" applyAlignment="1" applyProtection="1">
      <alignment horizontal="left" vertical="center" shrinkToFit="1"/>
      <protection hidden="1"/>
    </xf>
    <xf numFmtId="180" fontId="7" fillId="26" borderId="75" xfId="0" applyNumberFormat="1" applyFont="1" applyFill="1" applyBorder="1" applyAlignment="1" applyProtection="1">
      <alignment horizontal="left" shrinkToFit="1"/>
      <protection hidden="1"/>
    </xf>
    <xf numFmtId="180" fontId="3" fillId="39" borderId="122" xfId="0" applyNumberFormat="1" applyFont="1" applyFill="1" applyBorder="1" applyAlignment="1" applyProtection="1">
      <alignment horizontal="left" vertical="center" shrinkToFit="1"/>
    </xf>
    <xf numFmtId="180" fontId="3" fillId="39" borderId="21" xfId="0" applyNumberFormat="1" applyFont="1" applyFill="1" applyBorder="1" applyAlignment="1" applyProtection="1">
      <alignment horizontal="left" vertical="center" shrinkToFit="1"/>
    </xf>
    <xf numFmtId="180" fontId="3" fillId="39" borderId="68" xfId="0" applyNumberFormat="1" applyFont="1" applyFill="1" applyBorder="1" applyAlignment="1" applyProtection="1">
      <alignment horizontal="left" vertical="center" shrinkToFit="1"/>
    </xf>
    <xf numFmtId="180" fontId="7" fillId="39" borderId="68" xfId="0" applyNumberFormat="1" applyFont="1" applyFill="1" applyBorder="1" applyAlignment="1" applyProtection="1">
      <alignment horizontal="left" shrinkToFit="1"/>
    </xf>
    <xf numFmtId="180" fontId="7" fillId="39" borderId="16" xfId="0" applyNumberFormat="1" applyFont="1" applyFill="1" applyBorder="1" applyAlignment="1" applyProtection="1">
      <alignment horizontal="left" shrinkToFit="1"/>
    </xf>
    <xf numFmtId="180" fontId="7" fillId="27" borderId="78" xfId="0" applyNumberFormat="1" applyFont="1" applyFill="1" applyBorder="1" applyAlignment="1" applyProtection="1">
      <alignment horizontal="left" vertical="center" shrinkToFit="1"/>
      <protection hidden="1"/>
    </xf>
    <xf numFmtId="180" fontId="7" fillId="27" borderId="79" xfId="0" applyNumberFormat="1" applyFont="1" applyFill="1" applyBorder="1" applyAlignment="1" applyProtection="1">
      <alignment horizontal="left" vertical="center" shrinkToFit="1"/>
      <protection hidden="1"/>
    </xf>
    <xf numFmtId="180" fontId="7" fillId="27" borderId="79" xfId="0" applyNumberFormat="1" applyFont="1" applyFill="1" applyBorder="1" applyAlignment="1" applyProtection="1">
      <alignment horizontal="left" shrinkToFit="1"/>
      <protection hidden="1"/>
    </xf>
    <xf numFmtId="180" fontId="7" fillId="26" borderId="60" xfId="0" applyNumberFormat="1" applyFont="1" applyFill="1" applyBorder="1" applyAlignment="1" applyProtection="1">
      <alignment horizontal="left" vertical="center" shrinkToFit="1"/>
      <protection hidden="1"/>
    </xf>
    <xf numFmtId="180" fontId="7" fillId="26" borderId="61" xfId="0" applyNumberFormat="1" applyFont="1" applyFill="1" applyBorder="1" applyAlignment="1" applyProtection="1">
      <alignment horizontal="left" vertical="center" shrinkToFit="1"/>
      <protection hidden="1"/>
    </xf>
    <xf numFmtId="180" fontId="7" fillId="26" borderId="61" xfId="0" applyNumberFormat="1" applyFont="1" applyFill="1" applyBorder="1" applyAlignment="1" applyProtection="1">
      <alignment horizontal="left" shrinkToFit="1"/>
      <protection hidden="1"/>
    </xf>
    <xf numFmtId="180" fontId="3" fillId="39" borderId="77" xfId="0" applyNumberFormat="1" applyFont="1" applyFill="1" applyBorder="1" applyAlignment="1" applyProtection="1">
      <alignment horizontal="left" vertical="center" shrinkToFit="1"/>
    </xf>
    <xf numFmtId="180" fontId="3" fillId="39" borderId="70" xfId="0" applyNumberFormat="1" applyFont="1" applyFill="1" applyBorder="1" applyAlignment="1" applyProtection="1">
      <alignment horizontal="left" vertical="center" shrinkToFit="1"/>
    </xf>
    <xf numFmtId="180" fontId="3" fillId="39" borderId="169" xfId="0" applyNumberFormat="1" applyFont="1" applyFill="1" applyBorder="1" applyAlignment="1" applyProtection="1">
      <alignment horizontal="left" vertical="center" shrinkToFit="1"/>
    </xf>
    <xf numFmtId="180" fontId="7" fillId="39" borderId="128" xfId="0" applyNumberFormat="1" applyFont="1" applyFill="1" applyBorder="1" applyAlignment="1" applyProtection="1">
      <alignment horizontal="left" shrinkToFit="1"/>
    </xf>
    <xf numFmtId="180" fontId="7" fillId="39" borderId="70" xfId="0" applyNumberFormat="1" applyFont="1" applyFill="1" applyBorder="1" applyAlignment="1" applyProtection="1">
      <alignment horizontal="left" shrinkToFit="1"/>
    </xf>
    <xf numFmtId="180" fontId="7" fillId="39" borderId="21" xfId="0" applyNumberFormat="1" applyFont="1" applyFill="1" applyBorder="1" applyAlignment="1" applyProtection="1">
      <alignment horizontal="left" shrinkToFit="1"/>
    </xf>
    <xf numFmtId="0" fontId="0" fillId="24" borderId="10" xfId="0" applyFill="1" applyBorder="1">
      <alignment vertical="center"/>
    </xf>
    <xf numFmtId="177" fontId="68" fillId="25" borderId="51" xfId="44" applyNumberFormat="1" applyFont="1" applyFill="1" applyBorder="1" applyAlignment="1" applyProtection="1">
      <alignment vertical="center"/>
    </xf>
    <xf numFmtId="177" fontId="2" fillId="25" borderId="167" xfId="28" applyNumberFormat="1" applyFont="1" applyFill="1" applyBorder="1" applyAlignment="1" applyProtection="1">
      <alignment horizontal="center" vertical="center"/>
    </xf>
    <xf numFmtId="177" fontId="2" fillId="25" borderId="170" xfId="28" applyNumberFormat="1" applyFont="1" applyFill="1" applyBorder="1" applyAlignment="1" applyProtection="1">
      <alignment horizontal="center" vertical="center"/>
    </xf>
    <xf numFmtId="40" fontId="2" fillId="25" borderId="170" xfId="44" applyNumberFormat="1" applyFont="1" applyFill="1" applyBorder="1" applyAlignment="1" applyProtection="1">
      <alignment vertical="center"/>
    </xf>
    <xf numFmtId="176" fontId="13" fillId="25" borderId="90" xfId="44" applyNumberFormat="1" applyFont="1" applyFill="1" applyBorder="1" applyAlignment="1" applyProtection="1">
      <alignment horizontal="center" vertical="center"/>
    </xf>
    <xf numFmtId="176" fontId="13" fillId="25" borderId="130" xfId="44" applyNumberFormat="1" applyFont="1" applyFill="1" applyBorder="1" applyAlignment="1" applyProtection="1">
      <alignment horizontal="center" vertical="center"/>
    </xf>
    <xf numFmtId="176" fontId="13" fillId="25" borderId="41" xfId="44" applyNumberFormat="1" applyFont="1" applyFill="1" applyBorder="1" applyAlignment="1" applyProtection="1">
      <alignment horizontal="center" vertical="center"/>
    </xf>
    <xf numFmtId="176" fontId="13" fillId="25" borderId="113" xfId="44" applyNumberFormat="1" applyFont="1" applyFill="1" applyBorder="1" applyAlignment="1" applyProtection="1">
      <alignment horizontal="center" vertical="center"/>
    </xf>
    <xf numFmtId="177" fontId="2" fillId="25" borderId="171" xfId="44" applyNumberFormat="1" applyFont="1" applyFill="1" applyBorder="1" applyAlignment="1" applyProtection="1">
      <alignment vertical="center"/>
    </xf>
    <xf numFmtId="176" fontId="13" fillId="25" borderId="44" xfId="44" applyNumberFormat="1" applyFont="1" applyFill="1" applyBorder="1" applyAlignment="1" applyProtection="1">
      <alignment horizontal="center" vertical="center"/>
    </xf>
    <xf numFmtId="180" fontId="13" fillId="26" borderId="101" xfId="44" applyNumberFormat="1" applyFont="1" applyFill="1" applyBorder="1" applyAlignment="1" applyProtection="1">
      <alignment horizontal="center" vertical="center"/>
    </xf>
    <xf numFmtId="0" fontId="13" fillId="26" borderId="172" xfId="44" applyFont="1" applyFill="1" applyBorder="1" applyAlignment="1" applyProtection="1">
      <alignment vertical="center"/>
    </xf>
    <xf numFmtId="0" fontId="13" fillId="26" borderId="140" xfId="44" applyFont="1" applyFill="1" applyBorder="1" applyAlignment="1" applyProtection="1">
      <alignment horizontal="center" vertical="center"/>
    </xf>
    <xf numFmtId="178" fontId="2" fillId="25" borderId="90" xfId="44" applyNumberFormat="1" applyFont="1" applyFill="1" applyBorder="1" applyAlignment="1" applyProtection="1">
      <alignment vertical="center"/>
    </xf>
    <xf numFmtId="178" fontId="2" fillId="25" borderId="86" xfId="44" applyNumberFormat="1" applyFont="1" applyFill="1" applyBorder="1" applyAlignment="1" applyProtection="1">
      <alignment vertical="center"/>
    </xf>
    <xf numFmtId="178" fontId="120" fillId="27" borderId="130" xfId="44" applyNumberFormat="1" applyFont="1" applyFill="1" applyBorder="1" applyAlignment="1" applyProtection="1">
      <alignment horizontal="right" vertical="center"/>
    </xf>
    <xf numFmtId="0" fontId="3" fillId="25" borderId="97" xfId="44" applyFont="1" applyFill="1" applyBorder="1" applyAlignment="1" applyProtection="1">
      <alignment horizontal="right" vertical="center"/>
    </xf>
    <xf numFmtId="0" fontId="68" fillId="25" borderId="23" xfId="44" applyFont="1" applyFill="1" applyBorder="1" applyAlignment="1" applyProtection="1">
      <alignment vertical="center"/>
    </xf>
    <xf numFmtId="0" fontId="13" fillId="25" borderId="20" xfId="44" applyFont="1" applyFill="1" applyBorder="1" applyAlignment="1" applyProtection="1">
      <alignment vertical="center"/>
    </xf>
    <xf numFmtId="0" fontId="34" fillId="25" borderId="23" xfId="44" applyFont="1" applyFill="1" applyBorder="1" applyAlignment="1" applyProtection="1">
      <alignment vertical="center"/>
    </xf>
    <xf numFmtId="0" fontId="13" fillId="25" borderId="20" xfId="44" applyFont="1" applyFill="1" applyBorder="1" applyAlignment="1" applyProtection="1">
      <alignment horizontal="right" vertical="center"/>
    </xf>
    <xf numFmtId="0" fontId="13" fillId="25" borderId="87" xfId="44" applyFont="1" applyFill="1" applyBorder="1" applyAlignment="1" applyProtection="1">
      <alignment vertical="center"/>
    </xf>
    <xf numFmtId="0" fontId="13" fillId="25" borderId="84" xfId="44" applyFont="1" applyFill="1" applyBorder="1" applyAlignment="1" applyProtection="1">
      <alignment vertical="center"/>
    </xf>
    <xf numFmtId="0" fontId="2" fillId="25" borderId="25" xfId="44" applyFont="1" applyFill="1" applyBorder="1" applyAlignment="1" applyProtection="1">
      <alignment vertical="center"/>
    </xf>
    <xf numFmtId="38" fontId="13" fillId="25" borderId="167" xfId="35" applyFont="1" applyFill="1" applyBorder="1" applyAlignment="1" applyProtection="1">
      <alignment vertical="center"/>
    </xf>
    <xf numFmtId="178" fontId="13" fillId="25" borderId="20" xfId="44" applyNumberFormat="1" applyFont="1" applyFill="1" applyBorder="1" applyAlignment="1" applyProtection="1">
      <alignment horizontal="right" vertical="center"/>
    </xf>
    <xf numFmtId="199" fontId="68" fillId="25" borderId="23" xfId="44" applyNumberFormat="1" applyFont="1" applyFill="1" applyBorder="1" applyAlignment="1" applyProtection="1">
      <alignment vertical="center"/>
    </xf>
    <xf numFmtId="0" fontId="68" fillId="25" borderId="102" xfId="44" applyFont="1" applyFill="1" applyBorder="1" applyAlignment="1" applyProtection="1">
      <alignment vertical="center"/>
    </xf>
    <xf numFmtId="0" fontId="120" fillId="27" borderId="173" xfId="44" applyFont="1" applyFill="1" applyBorder="1" applyAlignment="1" applyProtection="1">
      <alignment vertical="center"/>
    </xf>
    <xf numFmtId="0" fontId="15" fillId="27" borderId="99" xfId="44" applyFont="1" applyFill="1" applyBorder="1" applyAlignment="1" applyProtection="1">
      <alignment horizontal="left" vertical="center"/>
    </xf>
    <xf numFmtId="0" fontId="15" fillId="27" borderId="99" xfId="44" applyFont="1" applyFill="1" applyBorder="1" applyAlignment="1" applyProtection="1">
      <alignment vertical="center"/>
    </xf>
    <xf numFmtId="0" fontId="130" fillId="27" borderId="174" xfId="44" applyFont="1" applyFill="1" applyBorder="1" applyAlignment="1" applyProtection="1">
      <alignment vertical="center"/>
    </xf>
    <xf numFmtId="0" fontId="68" fillId="25" borderId="81" xfId="44" applyFont="1" applyFill="1" applyBorder="1" applyAlignment="1" applyProtection="1">
      <alignment vertical="center"/>
    </xf>
    <xf numFmtId="0" fontId="68" fillId="25" borderId="19" xfId="44" applyFont="1" applyFill="1" applyBorder="1" applyAlignment="1" applyProtection="1">
      <alignment vertical="center"/>
    </xf>
    <xf numFmtId="180" fontId="13" fillId="25" borderId="19" xfId="44" applyNumberFormat="1" applyFont="1" applyFill="1" applyBorder="1" applyAlignment="1" applyProtection="1">
      <alignment horizontal="left" vertical="center"/>
    </xf>
    <xf numFmtId="0" fontId="13" fillId="25" borderId="19" xfId="44" applyFont="1" applyFill="1" applyBorder="1" applyAlignment="1" applyProtection="1">
      <alignment vertical="center"/>
    </xf>
    <xf numFmtId="179" fontId="10" fillId="26" borderId="44" xfId="0" applyNumberFormat="1" applyFont="1" applyFill="1" applyBorder="1" applyAlignment="1" applyProtection="1">
      <alignment vertical="center" wrapText="1"/>
      <protection locked="0"/>
    </xf>
    <xf numFmtId="0" fontId="2" fillId="25" borderId="51" xfId="44" applyFont="1" applyFill="1" applyBorder="1" applyAlignment="1">
      <alignment horizontal="left"/>
    </xf>
    <xf numFmtId="0" fontId="66" fillId="0" borderId="78" xfId="0" applyFont="1" applyFill="1" applyBorder="1" applyAlignment="1" applyProtection="1">
      <alignment vertical="center"/>
      <protection hidden="1"/>
    </xf>
    <xf numFmtId="0" fontId="66" fillId="0" borderId="79" xfId="0" applyFont="1" applyFill="1" applyBorder="1" applyAlignment="1" applyProtection="1">
      <alignment vertical="center"/>
      <protection hidden="1"/>
    </xf>
    <xf numFmtId="0" fontId="116" fillId="0" borderId="80" xfId="0" applyFont="1" applyFill="1" applyBorder="1" applyAlignment="1" applyProtection="1">
      <alignment horizontal="right" vertical="center"/>
      <protection hidden="1"/>
    </xf>
    <xf numFmtId="0" fontId="65" fillId="0" borderId="78" xfId="0" applyFont="1" applyFill="1" applyBorder="1" applyAlignment="1" applyProtection="1">
      <alignment vertical="center"/>
      <protection hidden="1"/>
    </xf>
    <xf numFmtId="0" fontId="65" fillId="0" borderId="20" xfId="0" applyFont="1" applyFill="1" applyBorder="1" applyAlignment="1" applyProtection="1">
      <alignment vertical="center"/>
      <protection hidden="1"/>
    </xf>
    <xf numFmtId="0" fontId="42" fillId="0" borderId="23" xfId="0" applyFont="1" applyFill="1" applyBorder="1" applyAlignment="1" applyProtection="1">
      <alignment horizontal="right" vertical="center"/>
      <protection hidden="1"/>
    </xf>
    <xf numFmtId="0" fontId="66" fillId="0" borderId="142" xfId="0" applyFont="1" applyFill="1" applyBorder="1" applyAlignment="1" applyProtection="1">
      <alignment vertical="center"/>
      <protection hidden="1"/>
    </xf>
    <xf numFmtId="0" fontId="66" fillId="0" borderId="115" xfId="0" applyFont="1" applyFill="1" applyBorder="1" applyAlignment="1" applyProtection="1">
      <alignment vertical="center"/>
      <protection hidden="1"/>
    </xf>
    <xf numFmtId="0" fontId="25" fillId="0" borderId="115" xfId="0" applyFont="1" applyFill="1" applyBorder="1" applyAlignment="1" applyProtection="1">
      <alignment horizontal="center" vertical="center"/>
      <protection hidden="1"/>
    </xf>
    <xf numFmtId="0" fontId="25" fillId="0" borderId="153" xfId="0" applyFont="1" applyFill="1" applyBorder="1" applyAlignment="1" applyProtection="1">
      <alignment horizontal="center" vertical="center"/>
      <protection hidden="1"/>
    </xf>
    <xf numFmtId="0" fontId="65" fillId="0" borderId="23" xfId="0" applyFont="1" applyFill="1" applyBorder="1" applyAlignment="1" applyProtection="1">
      <alignment vertical="center"/>
      <protection hidden="1"/>
    </xf>
    <xf numFmtId="0" fontId="42" fillId="0" borderId="23" xfId="0" applyFont="1" applyFill="1" applyBorder="1" applyAlignment="1" applyProtection="1">
      <alignment horizontal="left" vertical="center"/>
      <protection hidden="1"/>
    </xf>
    <xf numFmtId="0" fontId="8" fillId="0" borderId="0" xfId="0" applyFont="1" applyFill="1" applyBorder="1" applyAlignment="1" applyProtection="1">
      <alignment horizontal="center" vertical="center"/>
      <protection hidden="1"/>
    </xf>
    <xf numFmtId="0" fontId="65" fillId="0" borderId="0" xfId="0" applyFont="1" applyFill="1" applyBorder="1" applyAlignment="1">
      <alignment vertical="center"/>
    </xf>
    <xf numFmtId="0" fontId="3" fillId="0" borderId="20" xfId="0" applyFont="1" applyFill="1" applyBorder="1" applyAlignment="1" applyProtection="1">
      <alignment horizontal="right" vertical="center"/>
      <protection hidden="1"/>
    </xf>
    <xf numFmtId="0" fontId="42" fillId="0" borderId="142" xfId="0" applyFont="1" applyFill="1" applyBorder="1" applyAlignment="1" applyProtection="1">
      <alignment horizontal="left" vertical="center"/>
      <protection hidden="1"/>
    </xf>
    <xf numFmtId="0" fontId="8" fillId="0" borderId="115" xfId="0" applyFont="1" applyFill="1" applyBorder="1" applyAlignment="1" applyProtection="1">
      <alignment horizontal="center" vertical="center"/>
      <protection hidden="1"/>
    </xf>
    <xf numFmtId="0" fontId="65" fillId="0" borderId="115" xfId="0" applyFont="1" applyFill="1" applyBorder="1" applyAlignment="1">
      <alignment vertical="center"/>
    </xf>
    <xf numFmtId="0" fontId="3" fillId="0" borderId="153" xfId="0" applyFont="1" applyFill="1" applyBorder="1" applyAlignment="1" applyProtection="1">
      <alignment horizontal="right" vertical="center"/>
      <protection hidden="1"/>
    </xf>
    <xf numFmtId="0" fontId="48" fillId="0" borderId="23" xfId="0" applyFont="1" applyFill="1" applyBorder="1" applyAlignment="1" applyProtection="1">
      <alignment vertical="center" wrapText="1"/>
      <protection hidden="1"/>
    </xf>
    <xf numFmtId="0" fontId="48" fillId="0" borderId="0" xfId="0" applyFont="1" applyFill="1" applyBorder="1" applyAlignment="1" applyProtection="1">
      <alignment vertical="center" wrapText="1"/>
      <protection hidden="1"/>
    </xf>
    <xf numFmtId="0" fontId="48" fillId="0" borderId="20" xfId="0" applyFont="1" applyFill="1" applyBorder="1" applyAlignment="1" applyProtection="1">
      <alignment vertical="center" wrapText="1"/>
      <protection hidden="1"/>
    </xf>
    <xf numFmtId="186" fontId="42" fillId="0" borderId="0" xfId="35" applyNumberFormat="1" applyFont="1" applyFill="1" applyBorder="1" applyAlignment="1" applyProtection="1">
      <alignment horizontal="right" vertical="center"/>
      <protection hidden="1"/>
    </xf>
    <xf numFmtId="186" fontId="42" fillId="0" borderId="0" xfId="35" applyNumberFormat="1" applyFont="1" applyFill="1" applyBorder="1" applyAlignment="1" applyProtection="1">
      <alignment horizontal="right" vertical="top"/>
      <protection hidden="1"/>
    </xf>
    <xf numFmtId="0" fontId="48" fillId="0" borderId="0" xfId="0" applyFont="1" applyFill="1" applyBorder="1" applyAlignment="1" applyProtection="1">
      <alignment horizontal="left"/>
      <protection hidden="1"/>
    </xf>
    <xf numFmtId="0" fontId="65" fillId="0" borderId="24" xfId="0" applyFont="1" applyFill="1" applyBorder="1" applyAlignment="1" applyProtection="1">
      <alignment vertical="center"/>
      <protection hidden="1"/>
    </xf>
    <xf numFmtId="0" fontId="48" fillId="0" borderId="19" xfId="0" applyFont="1" applyFill="1" applyBorder="1" applyAlignment="1" applyProtection="1">
      <alignment horizontal="left" vertical="top"/>
      <protection hidden="1"/>
    </xf>
    <xf numFmtId="0" fontId="65" fillId="0" borderId="19" xfId="0" applyFont="1" applyFill="1" applyBorder="1" applyAlignment="1" applyProtection="1">
      <alignment vertical="center"/>
      <protection hidden="1"/>
    </xf>
    <xf numFmtId="0" fontId="65" fillId="0" borderId="25" xfId="0" applyFont="1" applyFill="1" applyBorder="1" applyAlignment="1" applyProtection="1">
      <alignment vertical="center"/>
      <protection hidden="1"/>
    </xf>
    <xf numFmtId="38" fontId="65" fillId="34" borderId="10" xfId="35" applyFont="1" applyFill="1" applyBorder="1" applyProtection="1">
      <alignment vertical="center"/>
      <protection hidden="1"/>
    </xf>
    <xf numFmtId="38" fontId="21" fillId="34" borderId="10" xfId="0" applyNumberFormat="1" applyFont="1" applyFill="1" applyBorder="1" applyProtection="1">
      <alignment vertical="center"/>
      <protection hidden="1"/>
    </xf>
    <xf numFmtId="186" fontId="0" fillId="0" borderId="10" xfId="0" applyNumberFormat="1" applyFill="1" applyBorder="1" applyProtection="1">
      <alignment vertical="center"/>
      <protection hidden="1"/>
    </xf>
    <xf numFmtId="0" fontId="2" fillId="0" borderId="0" xfId="35" applyNumberFormat="1" applyFont="1" applyFill="1" applyBorder="1" applyAlignment="1" applyProtection="1">
      <protection hidden="1"/>
    </xf>
    <xf numFmtId="0" fontId="95" fillId="31" borderId="80" xfId="0" applyFont="1" applyFill="1" applyBorder="1" applyAlignment="1" applyProtection="1">
      <alignment vertical="center"/>
      <protection hidden="1"/>
    </xf>
    <xf numFmtId="0" fontId="3" fillId="0" borderId="10" xfId="0" applyFont="1" applyFill="1" applyBorder="1" applyAlignment="1" applyProtection="1">
      <alignment vertical="center"/>
    </xf>
    <xf numFmtId="0" fontId="68" fillId="0" borderId="10" xfId="0" applyFont="1" applyFill="1" applyBorder="1" applyProtection="1">
      <alignment vertical="center"/>
    </xf>
    <xf numFmtId="0" fontId="21" fillId="26" borderId="10" xfId="0" applyFont="1" applyFill="1" applyBorder="1" applyProtection="1">
      <alignment vertical="center"/>
      <protection hidden="1"/>
    </xf>
    <xf numFmtId="0" fontId="65" fillId="26" borderId="10" xfId="0" applyFont="1" applyFill="1" applyBorder="1" applyProtection="1">
      <alignment vertical="center"/>
      <protection hidden="1"/>
    </xf>
    <xf numFmtId="0" fontId="148" fillId="25" borderId="161" xfId="0" applyFont="1" applyFill="1" applyBorder="1" applyAlignment="1" applyProtection="1">
      <alignment vertical="center"/>
      <protection hidden="1"/>
    </xf>
    <xf numFmtId="0" fontId="7" fillId="25" borderId="175" xfId="0" applyFont="1" applyFill="1" applyBorder="1" applyAlignment="1" applyProtection="1">
      <alignment vertical="center"/>
      <protection hidden="1"/>
    </xf>
    <xf numFmtId="0" fontId="1" fillId="0" borderId="0" xfId="35" applyNumberFormat="1" applyFont="1" applyFill="1" applyBorder="1" applyAlignment="1" applyProtection="1">
      <alignment wrapText="1"/>
      <protection hidden="1"/>
    </xf>
    <xf numFmtId="0" fontId="1" fillId="0" borderId="0" xfId="35" applyNumberFormat="1" applyFont="1" applyFill="1" applyBorder="1" applyAlignment="1" applyProtection="1">
      <protection hidden="1"/>
    </xf>
    <xf numFmtId="38" fontId="65" fillId="34" borderId="10" xfId="0" applyNumberFormat="1" applyFont="1" applyFill="1" applyBorder="1" applyProtection="1">
      <alignment vertical="center"/>
      <protection hidden="1"/>
    </xf>
    <xf numFmtId="0" fontId="3" fillId="25" borderId="176" xfId="0" applyFont="1" applyFill="1" applyBorder="1" applyAlignment="1" applyProtection="1">
      <alignment horizontal="center" vertical="center"/>
      <protection hidden="1"/>
    </xf>
    <xf numFmtId="0" fontId="3" fillId="25" borderId="14" xfId="0" applyFont="1" applyFill="1" applyBorder="1" applyAlignment="1" applyProtection="1">
      <alignment horizontal="center" vertical="center" wrapText="1"/>
      <protection hidden="1"/>
    </xf>
    <xf numFmtId="203" fontId="2" fillId="25" borderId="86" xfId="44" applyNumberFormat="1" applyFont="1" applyFill="1" applyBorder="1" applyAlignment="1" applyProtection="1">
      <alignment vertical="center"/>
    </xf>
    <xf numFmtId="203" fontId="120" fillId="27" borderId="130" xfId="44" applyNumberFormat="1" applyFont="1" applyFill="1" applyBorder="1" applyAlignment="1" applyProtection="1">
      <alignment horizontal="right" vertical="center"/>
    </xf>
    <xf numFmtId="0" fontId="3" fillId="0" borderId="0" xfId="44" applyFont="1" applyBorder="1" applyAlignment="1"/>
    <xf numFmtId="0" fontId="27" fillId="0" borderId="0" xfId="44" applyFont="1" applyFill="1" applyBorder="1" applyAlignment="1">
      <alignment vertical="center"/>
    </xf>
    <xf numFmtId="0" fontId="27" fillId="25" borderId="0" xfId="44" applyFont="1" applyFill="1" applyBorder="1" applyAlignment="1" applyProtection="1">
      <alignment vertical="center"/>
    </xf>
    <xf numFmtId="0" fontId="27" fillId="25" borderId="0" xfId="44" applyFont="1" applyFill="1" applyBorder="1" applyAlignment="1" applyProtection="1">
      <alignment horizontal="right" vertical="center"/>
    </xf>
    <xf numFmtId="38" fontId="13" fillId="25" borderId="20" xfId="35" applyFont="1" applyFill="1" applyBorder="1" applyAlignment="1" applyProtection="1">
      <alignment horizontal="right" vertical="center"/>
    </xf>
    <xf numFmtId="38" fontId="65" fillId="0" borderId="10" xfId="0" applyNumberFormat="1" applyFont="1" applyFill="1" applyBorder="1" applyProtection="1">
      <alignment vertical="center"/>
      <protection hidden="1"/>
    </xf>
    <xf numFmtId="0" fontId="65" fillId="0" borderId="0" xfId="0" quotePrefix="1" applyFont="1" applyFill="1" applyBorder="1" applyProtection="1">
      <alignment vertical="center"/>
      <protection hidden="1"/>
    </xf>
    <xf numFmtId="0" fontId="17" fillId="29" borderId="177" xfId="0" applyFont="1" applyFill="1" applyBorder="1" applyAlignment="1" applyProtection="1">
      <alignment vertical="center"/>
      <protection hidden="1"/>
    </xf>
    <xf numFmtId="0" fontId="17" fillId="29" borderId="178" xfId="0" applyFont="1" applyFill="1" applyBorder="1" applyAlignment="1" applyProtection="1">
      <alignment vertical="center"/>
      <protection hidden="1"/>
    </xf>
    <xf numFmtId="0" fontId="114" fillId="25" borderId="179" xfId="29" applyFont="1" applyFill="1" applyBorder="1" applyAlignment="1" applyProtection="1">
      <alignment vertical="center"/>
      <protection hidden="1"/>
    </xf>
    <xf numFmtId="0" fontId="114" fillId="25" borderId="112" xfId="29" applyFont="1" applyFill="1" applyBorder="1" applyAlignment="1" applyProtection="1">
      <alignment vertical="center"/>
      <protection hidden="1"/>
    </xf>
    <xf numFmtId="0" fontId="114" fillId="25" borderId="161" xfId="29" applyFont="1" applyFill="1" applyBorder="1" applyAlignment="1" applyProtection="1">
      <alignment vertical="center"/>
      <protection hidden="1"/>
    </xf>
    <xf numFmtId="0" fontId="114" fillId="25" borderId="180" xfId="29" applyFont="1" applyFill="1" applyBorder="1" applyAlignment="1" applyProtection="1">
      <alignment vertical="center"/>
      <protection hidden="1"/>
    </xf>
    <xf numFmtId="0" fontId="2" fillId="25" borderId="0" xfId="0" applyFont="1" applyFill="1" applyProtection="1">
      <alignment vertical="center"/>
    </xf>
    <xf numFmtId="177" fontId="2" fillId="0" borderId="0" xfId="44" applyNumberFormat="1" applyBorder="1" applyAlignment="1"/>
    <xf numFmtId="0" fontId="13" fillId="25" borderId="109" xfId="0" applyFont="1" applyFill="1" applyBorder="1" applyAlignment="1" applyProtection="1">
      <alignment vertical="center"/>
      <protection hidden="1"/>
    </xf>
    <xf numFmtId="0" fontId="0" fillId="0" borderId="87" xfId="0" applyBorder="1" applyProtection="1">
      <alignment vertical="center"/>
    </xf>
    <xf numFmtId="0" fontId="0" fillId="0" borderId="84" xfId="0" applyBorder="1" applyProtection="1">
      <alignment vertical="center"/>
    </xf>
    <xf numFmtId="0" fontId="0" fillId="0" borderId="88" xfId="0" applyBorder="1" applyProtection="1">
      <alignment vertical="center"/>
    </xf>
    <xf numFmtId="0" fontId="151" fillId="29" borderId="181" xfId="0" applyFont="1" applyFill="1" applyBorder="1" applyProtection="1">
      <alignment vertical="center"/>
    </xf>
    <xf numFmtId="0" fontId="49" fillId="0" borderId="166" xfId="0" applyFont="1" applyFill="1" applyBorder="1" applyAlignment="1" applyProtection="1">
      <alignment horizontal="left" vertical="center"/>
      <protection hidden="1"/>
    </xf>
    <xf numFmtId="0" fontId="13" fillId="0" borderId="0" xfId="0" applyFont="1" applyProtection="1">
      <alignment vertical="center"/>
    </xf>
    <xf numFmtId="0" fontId="114" fillId="25" borderId="182" xfId="29" applyFont="1" applyFill="1" applyBorder="1" applyAlignment="1" applyProtection="1">
      <alignment horizontal="left" vertical="center" indent="1"/>
      <protection hidden="1"/>
    </xf>
    <xf numFmtId="0" fontId="114" fillId="25" borderId="183" xfId="29" applyFont="1" applyFill="1" applyBorder="1" applyAlignment="1" applyProtection="1">
      <alignment vertical="center"/>
      <protection hidden="1"/>
    </xf>
    <xf numFmtId="0" fontId="13" fillId="0" borderId="184" xfId="0" applyFont="1" applyFill="1" applyBorder="1" applyAlignment="1" applyProtection="1">
      <alignment horizontal="right" vertical="center"/>
      <protection locked="0"/>
    </xf>
    <xf numFmtId="204" fontId="27" fillId="26" borderId="103" xfId="0" applyNumberFormat="1" applyFont="1" applyFill="1" applyBorder="1" applyAlignment="1" applyProtection="1">
      <alignment horizontal="center" vertical="center"/>
      <protection locked="0" hidden="1"/>
    </xf>
    <xf numFmtId="204" fontId="27" fillId="26" borderId="117" xfId="0" applyNumberFormat="1" applyFont="1" applyFill="1" applyBorder="1" applyAlignment="1" applyProtection="1">
      <alignment horizontal="center" vertical="center"/>
      <protection locked="0" hidden="1"/>
    </xf>
    <xf numFmtId="204" fontId="27" fillId="26" borderId="104" xfId="0" applyNumberFormat="1" applyFont="1" applyFill="1" applyBorder="1" applyAlignment="1" applyProtection="1">
      <alignment horizontal="center" vertical="center"/>
      <protection locked="0" hidden="1"/>
    </xf>
    <xf numFmtId="204" fontId="27" fillId="25" borderId="42" xfId="0" applyNumberFormat="1" applyFont="1" applyFill="1" applyBorder="1" applyAlignment="1" applyProtection="1">
      <alignment horizontal="center" vertical="center"/>
      <protection hidden="1"/>
    </xf>
    <xf numFmtId="0" fontId="3" fillId="0" borderId="10" xfId="0" applyFont="1" applyFill="1" applyBorder="1" applyAlignment="1" applyProtection="1">
      <alignment horizontal="center" vertical="center"/>
    </xf>
    <xf numFmtId="0" fontId="3" fillId="25" borderId="43" xfId="0" applyNumberFormat="1" applyFont="1" applyFill="1" applyBorder="1" applyAlignment="1">
      <alignment horizontal="center" vertical="center" wrapText="1"/>
    </xf>
    <xf numFmtId="0" fontId="3" fillId="25" borderId="119" xfId="0" applyNumberFormat="1" applyFont="1" applyFill="1" applyBorder="1" applyAlignment="1">
      <alignment horizontal="center" vertical="center" wrapText="1"/>
    </xf>
    <xf numFmtId="0" fontId="3" fillId="25" borderId="16" xfId="0" applyNumberFormat="1" applyFont="1" applyFill="1" applyBorder="1" applyAlignment="1">
      <alignment horizontal="center" vertical="center" wrapText="1"/>
    </xf>
    <xf numFmtId="0" fontId="3" fillId="25" borderId="48" xfId="0" applyNumberFormat="1" applyFont="1" applyFill="1" applyBorder="1" applyAlignment="1">
      <alignment horizontal="center" vertical="center" wrapText="1"/>
    </xf>
    <xf numFmtId="0" fontId="3" fillId="25" borderId="120" xfId="0" applyNumberFormat="1" applyFont="1" applyFill="1" applyBorder="1" applyAlignment="1">
      <alignment horizontal="center" vertical="center" wrapText="1"/>
    </xf>
    <xf numFmtId="0" fontId="3" fillId="25" borderId="13" xfId="0" applyNumberFormat="1" applyFont="1" applyFill="1" applyBorder="1" applyAlignment="1">
      <alignment horizontal="center" vertical="center" wrapText="1"/>
    </xf>
    <xf numFmtId="0" fontId="68" fillId="37" borderId="0" xfId="0" applyFont="1" applyFill="1" applyBorder="1" applyAlignment="1" applyProtection="1">
      <alignment vertical="center"/>
      <protection hidden="1"/>
    </xf>
    <xf numFmtId="0" fontId="0" fillId="37" borderId="0" xfId="0" applyFill="1" applyAlignment="1" applyProtection="1">
      <alignment vertical="center"/>
    </xf>
    <xf numFmtId="0" fontId="0" fillId="0" borderId="0" xfId="44" applyFont="1" applyBorder="1" applyAlignment="1"/>
    <xf numFmtId="0" fontId="7" fillId="25" borderId="0" xfId="0" applyFont="1" applyFill="1" applyBorder="1" applyAlignment="1" applyProtection="1">
      <alignment vertical="center" shrinkToFit="1"/>
    </xf>
    <xf numFmtId="3" fontId="92" fillId="0" borderId="0" xfId="0" applyNumberFormat="1" applyFont="1" applyFill="1" applyBorder="1" applyAlignment="1" applyProtection="1">
      <alignment horizontal="left" vertical="center"/>
      <protection locked="0" hidden="1"/>
    </xf>
    <xf numFmtId="0" fontId="65" fillId="0" borderId="0" xfId="0" applyFont="1" applyFill="1" applyBorder="1" applyProtection="1">
      <alignment vertical="center"/>
      <protection locked="0" hidden="1"/>
    </xf>
    <xf numFmtId="0" fontId="65" fillId="0" borderId="20" xfId="0" applyFont="1" applyFill="1" applyBorder="1" applyProtection="1">
      <alignment vertical="center"/>
      <protection locked="0" hidden="1"/>
    </xf>
    <xf numFmtId="0" fontId="93" fillId="0" borderId="0" xfId="0" applyFont="1" applyFill="1" applyBorder="1" applyProtection="1">
      <alignment vertical="center"/>
      <protection locked="0" hidden="1"/>
    </xf>
    <xf numFmtId="0" fontId="38" fillId="0" borderId="0" xfId="0" applyFont="1" applyFill="1" applyBorder="1" applyProtection="1">
      <alignment vertical="center"/>
      <protection locked="0" hidden="1"/>
    </xf>
    <xf numFmtId="0" fontId="38" fillId="0" borderId="20" xfId="0" applyFont="1" applyFill="1" applyBorder="1" applyProtection="1">
      <alignment vertical="center"/>
      <protection locked="0" hidden="1"/>
    </xf>
    <xf numFmtId="0" fontId="93" fillId="0" borderId="19" xfId="0" applyFont="1" applyFill="1" applyBorder="1" applyProtection="1">
      <alignment vertical="center"/>
      <protection locked="0" hidden="1"/>
    </xf>
    <xf numFmtId="3" fontId="92" fillId="0" borderId="19" xfId="0" applyNumberFormat="1" applyFont="1" applyFill="1" applyBorder="1" applyAlignment="1" applyProtection="1">
      <alignment horizontal="left" vertical="center"/>
      <protection locked="0" hidden="1"/>
    </xf>
    <xf numFmtId="0" fontId="38" fillId="0" borderId="19" xfId="0" applyFont="1" applyFill="1" applyBorder="1" applyProtection="1">
      <alignment vertical="center"/>
      <protection locked="0" hidden="1"/>
    </xf>
    <xf numFmtId="0" fontId="38" fillId="0" borderId="25" xfId="0" applyFont="1" applyFill="1" applyBorder="1" applyProtection="1">
      <alignment vertical="center"/>
      <protection locked="0" hidden="1"/>
    </xf>
    <xf numFmtId="3" fontId="51" fillId="24" borderId="0" xfId="0" applyNumberFormat="1" applyFont="1" applyFill="1" applyBorder="1" applyAlignment="1" applyProtection="1">
      <alignment horizontal="left" vertical="center"/>
    </xf>
    <xf numFmtId="0" fontId="3" fillId="0" borderId="23" xfId="0" applyFont="1" applyFill="1" applyBorder="1" applyAlignment="1" applyProtection="1">
      <alignment vertical="center"/>
      <protection hidden="1"/>
    </xf>
    <xf numFmtId="0" fontId="21" fillId="0" borderId="0" xfId="0" applyFont="1" applyFill="1" applyBorder="1" applyProtection="1">
      <alignment vertical="center"/>
      <protection locked="0"/>
    </xf>
    <xf numFmtId="0" fontId="3" fillId="25" borderId="115" xfId="0" applyFont="1" applyFill="1" applyBorder="1" applyAlignment="1" applyProtection="1">
      <alignment vertical="center" wrapText="1"/>
      <protection hidden="1"/>
    </xf>
    <xf numFmtId="0" fontId="3" fillId="25" borderId="185" xfId="0" applyFont="1" applyFill="1" applyBorder="1" applyAlignment="1" applyProtection="1">
      <alignment horizontal="center" vertical="center"/>
      <protection hidden="1"/>
    </xf>
    <xf numFmtId="0" fontId="3" fillId="25" borderId="154" xfId="0" applyFont="1" applyFill="1" applyBorder="1" applyAlignment="1" applyProtection="1">
      <alignment horizontal="center" vertical="center"/>
      <protection hidden="1"/>
    </xf>
    <xf numFmtId="0" fontId="18" fillId="0" borderId="0" xfId="0" applyFont="1" applyFill="1" applyBorder="1" applyAlignment="1" applyProtection="1">
      <alignment horizontal="right" vertical="center"/>
      <protection hidden="1"/>
    </xf>
    <xf numFmtId="0" fontId="2" fillId="0" borderId="0" xfId="44" applyFont="1" applyBorder="1" applyAlignment="1">
      <alignment horizontal="left"/>
    </xf>
    <xf numFmtId="0" fontId="114" fillId="25" borderId="180" xfId="0" applyFont="1" applyFill="1" applyBorder="1" applyAlignment="1" applyProtection="1">
      <alignment vertical="center"/>
      <protection hidden="1"/>
    </xf>
    <xf numFmtId="0" fontId="114" fillId="25" borderId="186" xfId="29" applyFont="1" applyFill="1" applyBorder="1" applyAlignment="1" applyProtection="1">
      <alignment vertical="center"/>
      <protection hidden="1"/>
    </xf>
    <xf numFmtId="0" fontId="114" fillId="25" borderId="187" xfId="29" applyFont="1" applyFill="1" applyBorder="1" applyAlignment="1" applyProtection="1">
      <alignment vertical="center"/>
      <protection hidden="1"/>
    </xf>
    <xf numFmtId="0" fontId="34" fillId="0" borderId="21" xfId="0" applyFont="1" applyBorder="1" applyProtection="1">
      <alignment vertical="center"/>
    </xf>
    <xf numFmtId="0" fontId="0" fillId="0" borderId="21" xfId="0" applyBorder="1" applyProtection="1">
      <alignment vertical="center"/>
    </xf>
    <xf numFmtId="0" fontId="10" fillId="0" borderId="0" xfId="0" applyFont="1" applyAlignment="1" applyProtection="1">
      <alignment horizontal="right" vertical="center"/>
    </xf>
    <xf numFmtId="0" fontId="13" fillId="25" borderId="10" xfId="0" applyFont="1" applyFill="1" applyBorder="1" applyAlignment="1" applyProtection="1">
      <alignment horizontal="center" vertical="center"/>
    </xf>
    <xf numFmtId="0" fontId="13" fillId="25" borderId="43" xfId="0" applyFont="1" applyFill="1" applyBorder="1" applyAlignment="1" applyProtection="1">
      <alignment horizontal="center" vertical="center" wrapText="1"/>
    </xf>
    <xf numFmtId="0" fontId="13" fillId="25" borderId="120" xfId="0" applyFont="1" applyFill="1" applyBorder="1" applyAlignment="1" applyProtection="1">
      <alignment horizontal="center" vertical="center" wrapText="1"/>
    </xf>
    <xf numFmtId="178" fontId="13" fillId="30" borderId="44" xfId="0" applyNumberFormat="1" applyFont="1" applyFill="1" applyBorder="1" applyAlignment="1" applyProtection="1">
      <alignment horizontal="center" vertical="center"/>
      <protection locked="0"/>
    </xf>
    <xf numFmtId="178" fontId="13" fillId="25" borderId="90" xfId="0" applyNumberFormat="1" applyFont="1" applyFill="1" applyBorder="1" applyAlignment="1" applyProtection="1">
      <alignment horizontal="center" vertical="center"/>
    </xf>
    <xf numFmtId="178" fontId="13" fillId="25" borderId="123" xfId="0" applyNumberFormat="1" applyFont="1" applyFill="1" applyBorder="1" applyAlignment="1" applyProtection="1">
      <alignment horizontal="center" vertical="center"/>
    </xf>
    <xf numFmtId="0" fontId="13" fillId="25" borderId="10" xfId="0" applyFont="1" applyFill="1" applyBorder="1" applyAlignment="1" applyProtection="1">
      <alignment vertical="center" wrapText="1"/>
    </xf>
    <xf numFmtId="178" fontId="13" fillId="25" borderId="86" xfId="0" applyNumberFormat="1" applyFont="1" applyFill="1" applyBorder="1" applyAlignment="1" applyProtection="1">
      <alignment horizontal="center" vertical="center"/>
    </xf>
    <xf numFmtId="178" fontId="13" fillId="25" borderId="188" xfId="0" applyNumberFormat="1" applyFont="1" applyFill="1" applyBorder="1" applyAlignment="1" applyProtection="1">
      <alignment horizontal="center" vertical="center"/>
    </xf>
    <xf numFmtId="178" fontId="13" fillId="30" borderId="26" xfId="0" applyNumberFormat="1" applyFont="1" applyFill="1" applyBorder="1" applyAlignment="1" applyProtection="1">
      <alignment horizontal="center" vertical="center"/>
      <protection locked="0"/>
    </xf>
    <xf numFmtId="178" fontId="13" fillId="40" borderId="44" xfId="0" applyNumberFormat="1" applyFont="1" applyFill="1" applyBorder="1" applyAlignment="1" applyProtection="1">
      <alignment horizontal="center" vertical="center"/>
      <protection locked="0"/>
    </xf>
    <xf numFmtId="178" fontId="13" fillId="25" borderId="15" xfId="0" quotePrefix="1" applyNumberFormat="1" applyFont="1" applyFill="1" applyBorder="1" applyAlignment="1" applyProtection="1">
      <alignment horizontal="center" vertical="center"/>
    </xf>
    <xf numFmtId="178" fontId="13" fillId="25" borderId="45" xfId="0" quotePrefix="1" applyNumberFormat="1" applyFont="1" applyFill="1" applyBorder="1" applyAlignment="1" applyProtection="1">
      <alignment horizontal="center" vertical="center"/>
    </xf>
    <xf numFmtId="177" fontId="13" fillId="40" borderId="44" xfId="0" applyNumberFormat="1" applyFont="1" applyFill="1" applyBorder="1" applyAlignment="1" applyProtection="1">
      <alignment horizontal="center" vertical="center"/>
      <protection locked="0"/>
    </xf>
    <xf numFmtId="178" fontId="13" fillId="25" borderId="97" xfId="0" quotePrefix="1" applyNumberFormat="1" applyFont="1" applyFill="1" applyBorder="1" applyAlignment="1" applyProtection="1">
      <alignment horizontal="center" vertical="center"/>
    </xf>
    <xf numFmtId="0" fontId="13" fillId="25" borderId="16" xfId="0" applyFont="1" applyFill="1" applyBorder="1" applyAlignment="1" applyProtection="1">
      <alignment vertical="center" wrapText="1"/>
    </xf>
    <xf numFmtId="0" fontId="13" fillId="25" borderId="11" xfId="0" applyFont="1" applyFill="1" applyBorder="1" applyAlignment="1" applyProtection="1">
      <alignment horizontal="right" vertical="center" wrapText="1"/>
    </xf>
    <xf numFmtId="0" fontId="13" fillId="25" borderId="189" xfId="0" applyFont="1" applyFill="1" applyBorder="1" applyAlignment="1" applyProtection="1">
      <alignment horizontal="right" vertical="center" wrapText="1"/>
    </xf>
    <xf numFmtId="178" fontId="13" fillId="25" borderId="138" xfId="0" applyNumberFormat="1" applyFont="1" applyFill="1" applyBorder="1" applyAlignment="1" applyProtection="1">
      <alignment horizontal="left" vertical="center" wrapText="1"/>
    </xf>
    <xf numFmtId="178" fontId="13" fillId="25" borderId="47" xfId="0" applyNumberFormat="1" applyFont="1" applyFill="1" applyBorder="1" applyAlignment="1" applyProtection="1">
      <alignment horizontal="center" vertical="center" wrapText="1"/>
    </xf>
    <xf numFmtId="177" fontId="13" fillId="40" borderId="14" xfId="0" applyNumberFormat="1" applyFont="1" applyFill="1" applyBorder="1" applyAlignment="1" applyProtection="1">
      <alignment horizontal="center" vertical="center"/>
      <protection locked="0"/>
    </xf>
    <xf numFmtId="178" fontId="13" fillId="25" borderId="48" xfId="0" applyNumberFormat="1" applyFont="1" applyFill="1" applyBorder="1" applyAlignment="1" applyProtection="1">
      <alignment horizontal="center" vertical="center" wrapText="1"/>
    </xf>
    <xf numFmtId="0" fontId="13" fillId="25" borderId="48" xfId="0" applyFont="1" applyFill="1" applyBorder="1" applyAlignment="1" applyProtection="1">
      <alignment vertical="center" wrapText="1"/>
    </xf>
    <xf numFmtId="0" fontId="13" fillId="25" borderId="11" xfId="0" applyFont="1" applyFill="1" applyBorder="1" applyAlignment="1" applyProtection="1">
      <alignment horizontal="center" vertical="center" wrapText="1"/>
    </xf>
    <xf numFmtId="0" fontId="13" fillId="25" borderId="190" xfId="0" applyFont="1" applyFill="1" applyBorder="1" applyAlignment="1" applyProtection="1">
      <alignment horizontal="center" vertical="center" wrapText="1"/>
    </xf>
    <xf numFmtId="178" fontId="13" fillId="40" borderId="119" xfId="0" applyNumberFormat="1" applyFont="1" applyFill="1" applyBorder="1" applyAlignment="1" applyProtection="1">
      <alignment horizontal="left" vertical="center" wrapText="1"/>
      <protection locked="0"/>
    </xf>
    <xf numFmtId="178" fontId="13" fillId="25" borderId="112" xfId="0" applyNumberFormat="1" applyFont="1" applyFill="1" applyBorder="1" applyAlignment="1" applyProtection="1">
      <alignment horizontal="right" vertical="center" wrapText="1"/>
    </xf>
    <xf numFmtId="177" fontId="13" fillId="40" borderId="119" xfId="0" applyNumberFormat="1" applyFont="1" applyFill="1" applyBorder="1" applyAlignment="1" applyProtection="1">
      <alignment horizontal="center" vertical="center"/>
      <protection locked="0"/>
    </xf>
    <xf numFmtId="0" fontId="13" fillId="25" borderId="191" xfId="0" applyFont="1" applyFill="1" applyBorder="1" applyAlignment="1" applyProtection="1">
      <alignment horizontal="center" vertical="center" wrapText="1"/>
    </xf>
    <xf numFmtId="178" fontId="13" fillId="40" borderId="107" xfId="0" applyNumberFormat="1" applyFont="1" applyFill="1" applyBorder="1" applyAlignment="1" applyProtection="1">
      <alignment horizontal="left" vertical="center" wrapText="1"/>
      <protection locked="0"/>
    </xf>
    <xf numFmtId="178" fontId="13" fillId="25" borderId="118" xfId="0" applyNumberFormat="1" applyFont="1" applyFill="1" applyBorder="1" applyAlignment="1" applyProtection="1">
      <alignment horizontal="right" vertical="center" wrapText="1"/>
    </xf>
    <xf numFmtId="177" fontId="13" fillId="40" borderId="192" xfId="0" applyNumberFormat="1" applyFont="1" applyFill="1" applyBorder="1" applyAlignment="1" applyProtection="1">
      <alignment horizontal="center" vertical="center"/>
      <protection locked="0"/>
    </xf>
    <xf numFmtId="178" fontId="13" fillId="25" borderId="139" xfId="0" applyNumberFormat="1" applyFont="1" applyFill="1" applyBorder="1" applyAlignment="1" applyProtection="1">
      <alignment horizontal="center" vertical="center" wrapText="1"/>
    </xf>
    <xf numFmtId="0" fontId="13" fillId="25" borderId="13" xfId="0" applyFont="1" applyFill="1" applyBorder="1" applyAlignment="1" applyProtection="1">
      <alignment vertical="center" wrapText="1"/>
    </xf>
    <xf numFmtId="178" fontId="13" fillId="25" borderId="46" xfId="0" quotePrefix="1" applyNumberFormat="1" applyFont="1" applyFill="1" applyBorder="1" applyAlignment="1" applyProtection="1">
      <alignment horizontal="center" vertical="center"/>
    </xf>
    <xf numFmtId="0" fontId="13" fillId="25" borderId="193" xfId="0" applyFont="1" applyFill="1" applyBorder="1" applyAlignment="1" applyProtection="1">
      <alignment horizontal="right" vertical="center" wrapText="1"/>
    </xf>
    <xf numFmtId="0" fontId="13" fillId="25" borderId="47" xfId="0" applyFont="1" applyFill="1" applyBorder="1" applyAlignment="1" applyProtection="1">
      <alignment horizontal="left" vertical="center" wrapText="1"/>
    </xf>
    <xf numFmtId="0" fontId="13" fillId="25" borderId="14" xfId="0" applyFont="1" applyFill="1" applyBorder="1" applyAlignment="1" applyProtection="1">
      <alignment horizontal="left" vertical="center" wrapText="1"/>
    </xf>
    <xf numFmtId="177" fontId="13" fillId="30" borderId="14" xfId="0" applyNumberFormat="1" applyFont="1" applyFill="1" applyBorder="1" applyAlignment="1" applyProtection="1">
      <alignment horizontal="center" vertical="center"/>
      <protection locked="0"/>
    </xf>
    <xf numFmtId="0" fontId="13" fillId="25" borderId="14" xfId="0" quotePrefix="1" applyFont="1" applyFill="1" applyBorder="1" applyAlignment="1" applyProtection="1">
      <alignment horizontal="center" vertical="center" wrapText="1"/>
    </xf>
    <xf numFmtId="0" fontId="13" fillId="25" borderId="193" xfId="0" applyFont="1" applyFill="1" applyBorder="1" applyAlignment="1" applyProtection="1">
      <alignment horizontal="center" vertical="center" wrapText="1"/>
    </xf>
    <xf numFmtId="0" fontId="13" fillId="25" borderId="16" xfId="0" applyFont="1" applyFill="1" applyBorder="1" applyAlignment="1" applyProtection="1">
      <alignment horizontal="center" vertical="center" wrapText="1"/>
    </xf>
    <xf numFmtId="0" fontId="13" fillId="25" borderId="119" xfId="0" applyFont="1" applyFill="1" applyBorder="1" applyAlignment="1" applyProtection="1">
      <alignment horizontal="left" vertical="center" wrapText="1"/>
    </xf>
    <xf numFmtId="177" fontId="13" fillId="30" borderId="119" xfId="0" applyNumberFormat="1" applyFont="1" applyFill="1" applyBorder="1" applyAlignment="1" applyProtection="1">
      <alignment horizontal="center" vertical="center"/>
      <protection locked="0"/>
    </xf>
    <xf numFmtId="0" fontId="13" fillId="25" borderId="119" xfId="0" applyFont="1" applyFill="1" applyBorder="1" applyAlignment="1" applyProtection="1">
      <alignment vertical="center" wrapText="1"/>
    </xf>
    <xf numFmtId="0" fontId="13" fillId="25" borderId="194" xfId="0" applyFont="1" applyFill="1" applyBorder="1" applyAlignment="1" applyProtection="1">
      <alignment horizontal="center" vertical="center" wrapText="1"/>
    </xf>
    <xf numFmtId="0" fontId="13" fillId="25" borderId="54" xfId="0" applyFont="1" applyFill="1" applyBorder="1" applyAlignment="1" applyProtection="1">
      <alignment horizontal="center" vertical="center" wrapText="1"/>
    </xf>
    <xf numFmtId="0" fontId="13" fillId="25" borderId="192" xfId="0" applyFont="1" applyFill="1" applyBorder="1" applyAlignment="1" applyProtection="1">
      <alignment horizontal="left" vertical="center" wrapText="1"/>
    </xf>
    <xf numFmtId="177" fontId="13" fillId="30" borderId="192" xfId="0" applyNumberFormat="1" applyFont="1" applyFill="1" applyBorder="1" applyAlignment="1" applyProtection="1">
      <alignment horizontal="center" vertical="center"/>
      <protection locked="0"/>
    </xf>
    <xf numFmtId="177" fontId="13" fillId="25" borderId="192" xfId="0" applyNumberFormat="1" applyFont="1" applyFill="1" applyBorder="1" applyAlignment="1" applyProtection="1">
      <alignment horizontal="center" vertical="center" wrapText="1"/>
    </xf>
    <xf numFmtId="0" fontId="13" fillId="25" borderId="192" xfId="0" applyFont="1" applyFill="1" applyBorder="1" applyAlignment="1" applyProtection="1">
      <alignment vertical="center" wrapText="1"/>
    </xf>
    <xf numFmtId="0" fontId="13" fillId="0" borderId="0" xfId="0" applyFont="1" applyAlignment="1" applyProtection="1">
      <alignment vertical="center"/>
    </xf>
    <xf numFmtId="0" fontId="13" fillId="0" borderId="44" xfId="0" applyFont="1" applyBorder="1" applyProtection="1">
      <alignment vertical="center"/>
    </xf>
    <xf numFmtId="0" fontId="13" fillId="0" borderId="0" xfId="0" applyFont="1" applyAlignment="1" applyProtection="1">
      <alignment horizontal="right" vertical="center"/>
    </xf>
    <xf numFmtId="187" fontId="13" fillId="25" borderId="45" xfId="0" applyNumberFormat="1" applyFont="1" applyFill="1" applyBorder="1" applyAlignment="1" applyProtection="1">
      <alignment horizontal="center" vertical="center" wrapText="1" shrinkToFit="1"/>
    </xf>
    <xf numFmtId="0" fontId="13" fillId="25" borderId="43" xfId="0" applyFont="1" applyFill="1" applyBorder="1" applyAlignment="1" applyProtection="1">
      <alignment vertical="center" wrapText="1"/>
    </xf>
    <xf numFmtId="187" fontId="13" fillId="25" borderId="49" xfId="0" applyNumberFormat="1" applyFont="1" applyFill="1" applyBorder="1" applyAlignment="1" applyProtection="1">
      <alignment horizontal="center" vertical="center" wrapText="1" shrinkToFit="1"/>
    </xf>
    <xf numFmtId="178" fontId="13" fillId="25" borderId="10" xfId="0" applyNumberFormat="1" applyFont="1" applyFill="1" applyBorder="1" applyProtection="1">
      <alignment vertical="center"/>
    </xf>
    <xf numFmtId="0" fontId="13" fillId="25" borderId="10" xfId="0" applyFont="1" applyFill="1" applyBorder="1" applyAlignment="1" applyProtection="1">
      <alignment horizontal="right" vertical="center"/>
    </xf>
    <xf numFmtId="0" fontId="5" fillId="25" borderId="0" xfId="44" applyFont="1" applyFill="1" applyBorder="1" applyAlignment="1" applyProtection="1"/>
    <xf numFmtId="0" fontId="13" fillId="25" borderId="0" xfId="44" applyFont="1" applyFill="1" applyBorder="1" applyAlignment="1" applyProtection="1"/>
    <xf numFmtId="0" fontId="13" fillId="25" borderId="0" xfId="44" applyFont="1" applyFill="1" applyBorder="1" applyAlignment="1" applyProtection="1">
      <alignment horizontal="right"/>
    </xf>
    <xf numFmtId="0" fontId="13" fillId="25" borderId="0" xfId="0" applyFont="1" applyFill="1" applyAlignment="1" applyProtection="1">
      <alignment horizontal="right" vertical="center"/>
    </xf>
    <xf numFmtId="0" fontId="2" fillId="25" borderId="0" xfId="44" applyFill="1" applyBorder="1" applyAlignment="1" applyProtection="1"/>
    <xf numFmtId="0" fontId="13" fillId="25" borderId="26" xfId="44" applyFont="1" applyFill="1" applyBorder="1" applyAlignment="1" applyProtection="1"/>
    <xf numFmtId="0" fontId="13" fillId="25" borderId="53" xfId="44" applyFont="1" applyFill="1" applyBorder="1" applyAlignment="1" applyProtection="1"/>
    <xf numFmtId="0" fontId="13" fillId="25" borderId="44" xfId="0" applyFont="1" applyFill="1" applyBorder="1" applyAlignment="1" applyProtection="1">
      <alignment horizontal="right" vertical="center"/>
    </xf>
    <xf numFmtId="0" fontId="13" fillId="25" borderId="123" xfId="44" applyFont="1" applyFill="1" applyBorder="1" applyAlignment="1" applyProtection="1">
      <alignment horizontal="right"/>
    </xf>
    <xf numFmtId="0" fontId="3" fillId="25" borderId="0" xfId="44" applyFont="1" applyFill="1" applyBorder="1" applyAlignment="1" applyProtection="1"/>
    <xf numFmtId="0" fontId="13" fillId="25" borderId="21" xfId="44" applyFont="1" applyFill="1" applyBorder="1" applyAlignment="1" applyProtection="1"/>
    <xf numFmtId="0" fontId="13" fillId="25" borderId="21" xfId="0" applyFont="1" applyFill="1" applyBorder="1" applyProtection="1">
      <alignment vertical="center"/>
    </xf>
    <xf numFmtId="0" fontId="2" fillId="25" borderId="21" xfId="44" applyFill="1" applyBorder="1" applyAlignment="1" applyProtection="1"/>
    <xf numFmtId="0" fontId="0" fillId="25" borderId="21" xfId="0" applyFill="1" applyBorder="1" applyProtection="1">
      <alignment vertical="center"/>
    </xf>
    <xf numFmtId="0" fontId="27" fillId="25" borderId="0" xfId="44" applyFont="1" applyFill="1" applyBorder="1" applyAlignment="1" applyProtection="1"/>
    <xf numFmtId="0" fontId="13" fillId="25" borderId="51" xfId="44" applyFont="1" applyFill="1" applyBorder="1" applyAlignment="1" applyProtection="1"/>
    <xf numFmtId="0" fontId="13" fillId="25" borderId="42" xfId="44" applyFont="1" applyFill="1" applyBorder="1" applyAlignment="1" applyProtection="1"/>
    <xf numFmtId="0" fontId="13" fillId="25" borderId="43" xfId="44" applyFont="1" applyFill="1" applyBorder="1" applyAlignment="1" applyProtection="1">
      <alignment horizontal="center"/>
    </xf>
    <xf numFmtId="0" fontId="13" fillId="25" borderId="10" xfId="44" applyFont="1" applyFill="1" applyBorder="1" applyAlignment="1" applyProtection="1">
      <alignment horizontal="center" vertical="center"/>
    </xf>
    <xf numFmtId="0" fontId="13" fillId="24" borderId="44" xfId="44" applyFont="1" applyFill="1" applyBorder="1" applyAlignment="1" applyProtection="1">
      <alignment horizontal="right"/>
      <protection locked="0"/>
    </xf>
    <xf numFmtId="0" fontId="13" fillId="24" borderId="17" xfId="44" applyFont="1" applyFill="1" applyBorder="1" applyAlignment="1" applyProtection="1">
      <alignment horizontal="right"/>
      <protection locked="0"/>
    </xf>
    <xf numFmtId="0" fontId="13" fillId="25" borderId="69" xfId="44" applyFont="1" applyFill="1" applyBorder="1" applyAlignment="1" applyProtection="1"/>
    <xf numFmtId="0" fontId="13" fillId="25" borderId="70" xfId="44" applyFont="1" applyFill="1" applyBorder="1" applyAlignment="1" applyProtection="1"/>
    <xf numFmtId="0" fontId="13" fillId="25" borderId="10" xfId="44" applyFont="1" applyFill="1" applyBorder="1" applyAlignment="1" applyProtection="1"/>
    <xf numFmtId="0" fontId="13" fillId="25" borderId="72" xfId="44" applyFont="1" applyFill="1" applyBorder="1" applyAlignment="1" applyProtection="1"/>
    <xf numFmtId="0" fontId="13" fillId="25" borderId="22" xfId="44" applyFont="1" applyFill="1" applyBorder="1" applyAlignment="1" applyProtection="1"/>
    <xf numFmtId="0" fontId="13" fillId="24" borderId="88" xfId="44" applyFont="1" applyFill="1" applyBorder="1" applyAlignment="1" applyProtection="1">
      <alignment horizontal="right"/>
      <protection locked="0"/>
    </xf>
    <xf numFmtId="0" fontId="13" fillId="24" borderId="54" xfId="44" applyFont="1" applyFill="1" applyBorder="1" applyAlignment="1" applyProtection="1">
      <alignment horizontal="right"/>
      <protection locked="0"/>
    </xf>
    <xf numFmtId="0" fontId="13" fillId="25" borderId="0" xfId="0" applyFont="1" applyFill="1" applyAlignment="1" applyProtection="1"/>
    <xf numFmtId="0" fontId="13" fillId="25" borderId="17" xfId="44" applyFont="1" applyFill="1" applyBorder="1" applyAlignment="1" applyProtection="1"/>
    <xf numFmtId="0" fontId="0" fillId="25" borderId="0" xfId="0" applyFill="1" applyAlignment="1" applyProtection="1">
      <alignment horizontal="center" vertical="center"/>
    </xf>
    <xf numFmtId="0" fontId="13" fillId="25" borderId="0" xfId="0" applyFont="1" applyFill="1" applyAlignment="1" applyProtection="1">
      <alignment horizontal="center" vertical="center"/>
    </xf>
    <xf numFmtId="0" fontId="13" fillId="25" borderId="44" xfId="0" applyFont="1" applyFill="1" applyBorder="1" applyProtection="1">
      <alignment vertical="center"/>
    </xf>
    <xf numFmtId="177" fontId="36" fillId="24" borderId="0" xfId="35" applyNumberFormat="1" applyFont="1" applyFill="1" applyBorder="1" applyAlignment="1" applyProtection="1">
      <protection hidden="1"/>
    </xf>
    <xf numFmtId="0" fontId="13" fillId="24" borderId="0" xfId="0" applyFont="1" applyFill="1" applyAlignment="1" applyProtection="1">
      <protection hidden="1"/>
    </xf>
    <xf numFmtId="0" fontId="69" fillId="24" borderId="0" xfId="0" applyNumberFormat="1" applyFont="1" applyFill="1" applyBorder="1" applyAlignment="1" applyProtection="1">
      <alignment horizontal="left" vertical="center"/>
      <protection hidden="1"/>
    </xf>
    <xf numFmtId="177" fontId="62" fillId="24" borderId="0" xfId="35" applyNumberFormat="1" applyFont="1" applyFill="1" applyBorder="1" applyAlignment="1" applyProtection="1">
      <protection hidden="1"/>
    </xf>
    <xf numFmtId="0" fontId="2" fillId="35" borderId="51" xfId="0" applyFont="1" applyFill="1" applyBorder="1" applyAlignment="1" applyProtection="1">
      <alignment horizontal="centerContinuous" vertical="center"/>
      <protection hidden="1"/>
    </xf>
    <xf numFmtId="0" fontId="2" fillId="35" borderId="72" xfId="0" applyFont="1" applyFill="1" applyBorder="1" applyAlignment="1" applyProtection="1">
      <alignment horizontal="center" vertical="center"/>
      <protection hidden="1"/>
    </xf>
    <xf numFmtId="177" fontId="13" fillId="35" borderId="10" xfId="35" applyNumberFormat="1" applyFont="1" applyFill="1" applyBorder="1" applyAlignment="1" applyProtection="1">
      <alignment horizontal="center"/>
      <protection hidden="1"/>
    </xf>
    <xf numFmtId="0" fontId="13" fillId="35" borderId="54" xfId="0" applyFont="1" applyFill="1" applyBorder="1" applyAlignment="1" applyProtection="1">
      <alignment horizontal="center" vertical="center"/>
      <protection hidden="1"/>
    </xf>
    <xf numFmtId="187" fontId="13" fillId="35" borderId="17" xfId="35" applyNumberFormat="1" applyFont="1" applyFill="1" applyBorder="1" applyAlignment="1" applyProtection="1">
      <protection hidden="1"/>
    </xf>
    <xf numFmtId="0" fontId="5" fillId="35" borderId="10" xfId="0" applyFont="1" applyFill="1" applyBorder="1" applyAlignment="1" applyProtection="1">
      <alignment horizontal="left" vertical="center"/>
      <protection hidden="1"/>
    </xf>
    <xf numFmtId="0" fontId="5" fillId="35" borderId="10" xfId="0" applyNumberFormat="1" applyFont="1" applyFill="1" applyBorder="1" applyAlignment="1" applyProtection="1">
      <alignment vertical="center"/>
      <protection hidden="1"/>
    </xf>
    <xf numFmtId="187" fontId="5" fillId="35" borderId="17" xfId="35" applyNumberFormat="1" applyFont="1" applyFill="1" applyBorder="1" applyAlignment="1" applyProtection="1">
      <protection hidden="1"/>
    </xf>
    <xf numFmtId="49" fontId="27" fillId="26" borderId="10" xfId="0" applyNumberFormat="1" applyFont="1" applyFill="1" applyBorder="1" applyAlignment="1" applyProtection="1">
      <alignment horizontal="left" vertical="center"/>
      <protection hidden="1"/>
    </xf>
    <xf numFmtId="0" fontId="27" fillId="26" borderId="10" xfId="0" applyNumberFormat="1" applyFont="1" applyFill="1" applyBorder="1" applyAlignment="1" applyProtection="1">
      <alignment vertical="center"/>
      <protection hidden="1"/>
    </xf>
    <xf numFmtId="187" fontId="27" fillId="26" borderId="10" xfId="35" applyNumberFormat="1" applyFont="1" applyFill="1" applyBorder="1" applyAlignment="1" applyProtection="1">
      <alignment horizontal="right"/>
      <protection hidden="1"/>
    </xf>
    <xf numFmtId="0" fontId="27" fillId="25" borderId="10" xfId="0" applyNumberFormat="1" applyFont="1" applyFill="1" applyBorder="1" applyAlignment="1" applyProtection="1">
      <alignment horizontal="left" vertical="center"/>
      <protection hidden="1"/>
    </xf>
    <xf numFmtId="0" fontId="27" fillId="25" borderId="10" xfId="0" applyNumberFormat="1" applyFont="1" applyFill="1" applyBorder="1" applyAlignment="1" applyProtection="1">
      <alignment vertical="center"/>
      <protection hidden="1"/>
    </xf>
    <xf numFmtId="187" fontId="27" fillId="25" borderId="10" xfId="35" applyNumberFormat="1" applyFont="1" applyFill="1" applyBorder="1" applyAlignment="1" applyProtection="1">
      <alignment horizontal="right"/>
      <protection hidden="1"/>
    </xf>
    <xf numFmtId="0" fontId="13" fillId="25" borderId="10" xfId="0" applyFont="1" applyFill="1" applyBorder="1" applyAlignment="1" applyProtection="1">
      <alignment horizontal="left" vertical="center"/>
      <protection hidden="1"/>
    </xf>
    <xf numFmtId="0" fontId="13" fillId="25" borderId="10" xfId="0" applyFont="1" applyFill="1" applyBorder="1" applyAlignment="1" applyProtection="1">
      <alignment vertical="center"/>
      <protection hidden="1"/>
    </xf>
    <xf numFmtId="187" fontId="13" fillId="25" borderId="10" xfId="35" applyNumberFormat="1" applyFont="1" applyFill="1" applyBorder="1" applyAlignment="1" applyProtection="1">
      <alignment horizontal="right"/>
      <protection hidden="1"/>
    </xf>
    <xf numFmtId="0" fontId="13" fillId="25" borderId="10" xfId="0" applyFont="1" applyFill="1" applyBorder="1" applyAlignment="1">
      <alignment horizontal="left" vertical="center"/>
    </xf>
    <xf numFmtId="0" fontId="13" fillId="25" borderId="10" xfId="0" applyFont="1" applyFill="1" applyBorder="1">
      <alignment vertical="center"/>
    </xf>
    <xf numFmtId="0" fontId="13" fillId="25" borderId="10" xfId="0" applyNumberFormat="1" applyFont="1" applyFill="1" applyBorder="1" applyAlignment="1" applyProtection="1">
      <alignment horizontal="left" vertical="center"/>
      <protection hidden="1"/>
    </xf>
    <xf numFmtId="0" fontId="13" fillId="25" borderId="10" xfId="0" applyNumberFormat="1" applyFont="1" applyFill="1" applyBorder="1" applyAlignment="1" applyProtection="1">
      <alignment vertical="center"/>
      <protection hidden="1"/>
    </xf>
    <xf numFmtId="188" fontId="27" fillId="25" borderId="10" xfId="35" applyNumberFormat="1" applyFont="1" applyFill="1" applyBorder="1" applyAlignment="1" applyProtection="1">
      <protection hidden="1"/>
    </xf>
    <xf numFmtId="187" fontId="27" fillId="26" borderId="10" xfId="35" applyNumberFormat="1" applyFont="1" applyFill="1" applyBorder="1" applyAlignment="1" applyProtection="1">
      <alignment horizontal="right" vertical="center"/>
      <protection hidden="1"/>
    </xf>
    <xf numFmtId="187" fontId="13" fillId="25" borderId="10" xfId="0" applyNumberFormat="1" applyFont="1" applyFill="1" applyBorder="1" applyProtection="1">
      <alignment vertical="center"/>
      <protection hidden="1"/>
    </xf>
    <xf numFmtId="177" fontId="69" fillId="24" borderId="0" xfId="35" applyNumberFormat="1" applyFont="1" applyFill="1" applyBorder="1" applyAlignment="1" applyProtection="1">
      <protection hidden="1"/>
    </xf>
    <xf numFmtId="0" fontId="13" fillId="35" borderId="51" xfId="0" applyFont="1" applyFill="1" applyBorder="1" applyAlignment="1" applyProtection="1">
      <alignment horizontal="centerContinuous" vertical="center"/>
      <protection hidden="1"/>
    </xf>
    <xf numFmtId="177" fontId="5" fillId="35" borderId="10" xfId="35" applyNumberFormat="1" applyFont="1" applyFill="1" applyBorder="1" applyAlignment="1" applyProtection="1">
      <alignment horizontal="center"/>
      <protection hidden="1"/>
    </xf>
    <xf numFmtId="188" fontId="27" fillId="26" borderId="10" xfId="35" applyNumberFormat="1" applyFont="1" applyFill="1" applyBorder="1" applyAlignment="1" applyProtection="1">
      <protection hidden="1"/>
    </xf>
    <xf numFmtId="188" fontId="13" fillId="25" borderId="10" xfId="35" applyNumberFormat="1" applyFont="1" applyFill="1" applyBorder="1" applyAlignment="1" applyProtection="1">
      <protection hidden="1"/>
    </xf>
    <xf numFmtId="49" fontId="62" fillId="0" borderId="0" xfId="0" applyNumberFormat="1" applyFont="1" applyFill="1" applyBorder="1" applyAlignment="1" applyProtection="1">
      <alignment horizontal="left" vertical="center"/>
      <protection hidden="1"/>
    </xf>
    <xf numFmtId="0" fontId="69" fillId="0" borderId="0" xfId="0" applyFont="1" applyFill="1">
      <alignment vertical="center"/>
    </xf>
    <xf numFmtId="2" fontId="69" fillId="0" borderId="0" xfId="0" applyNumberFormat="1" applyFont="1" applyFill="1" applyBorder="1" applyAlignment="1" applyProtection="1">
      <protection hidden="1"/>
    </xf>
    <xf numFmtId="2" fontId="69" fillId="24" borderId="0" xfId="0" applyNumberFormat="1" applyFont="1" applyFill="1" applyBorder="1" applyAlignment="1" applyProtection="1">
      <alignment horizontal="center"/>
      <protection hidden="1"/>
    </xf>
    <xf numFmtId="49" fontId="62" fillId="24" borderId="0" xfId="0" applyNumberFormat="1" applyFont="1" applyFill="1" applyBorder="1" applyAlignment="1" applyProtection="1">
      <alignment horizontal="left" vertical="center"/>
      <protection hidden="1"/>
    </xf>
    <xf numFmtId="49" fontId="62" fillId="24" borderId="0" xfId="0" applyNumberFormat="1" applyFont="1" applyFill="1" applyBorder="1" applyProtection="1">
      <alignment vertical="center"/>
      <protection hidden="1"/>
    </xf>
    <xf numFmtId="2" fontId="69" fillId="24" borderId="0" xfId="0" applyNumberFormat="1" applyFont="1" applyFill="1" applyBorder="1" applyAlignment="1" applyProtection="1">
      <protection hidden="1"/>
    </xf>
    <xf numFmtId="0" fontId="2" fillId="35" borderId="10" xfId="0" applyFont="1" applyFill="1" applyBorder="1" applyAlignment="1" applyProtection="1">
      <alignment horizontal="left" vertical="center"/>
      <protection hidden="1"/>
    </xf>
    <xf numFmtId="0" fontId="2" fillId="35" borderId="10" xfId="0" applyFont="1" applyFill="1" applyBorder="1" applyAlignment="1" applyProtection="1">
      <alignment horizontal="center" vertical="center"/>
      <protection hidden="1"/>
    </xf>
    <xf numFmtId="0" fontId="2" fillId="35" borderId="10" xfId="0" applyFont="1" applyFill="1" applyBorder="1" applyAlignment="1" applyProtection="1">
      <alignment vertical="center"/>
      <protection hidden="1"/>
    </xf>
    <xf numFmtId="2" fontId="13" fillId="35" borderId="10" xfId="0" applyNumberFormat="1" applyFont="1" applyFill="1" applyBorder="1" applyAlignment="1" applyProtection="1">
      <alignment horizontal="center"/>
      <protection hidden="1"/>
    </xf>
    <xf numFmtId="2" fontId="13" fillId="35" borderId="10" xfId="0" applyNumberFormat="1" applyFont="1" applyFill="1" applyBorder="1" applyAlignment="1" applyProtection="1">
      <alignment horizontal="center" vertical="top"/>
      <protection hidden="1"/>
    </xf>
    <xf numFmtId="40" fontId="13" fillId="35" borderId="10" xfId="35" applyNumberFormat="1" applyFont="1" applyFill="1" applyBorder="1" applyAlignment="1" applyProtection="1">
      <alignment horizontal="center" vertical="top"/>
      <protection hidden="1"/>
    </xf>
    <xf numFmtId="0" fontId="5" fillId="35" borderId="10" xfId="0" applyFont="1" applyFill="1" applyBorder="1" applyAlignment="1" applyProtection="1">
      <alignment horizontal="center" vertical="center"/>
      <protection hidden="1"/>
    </xf>
    <xf numFmtId="0" fontId="5" fillId="35" borderId="10" xfId="0" applyFont="1" applyFill="1" applyBorder="1" applyAlignment="1" applyProtection="1">
      <alignment vertical="center"/>
      <protection hidden="1"/>
    </xf>
    <xf numFmtId="40" fontId="5" fillId="35" borderId="10" xfId="35" applyNumberFormat="1" applyFont="1" applyFill="1" applyBorder="1" applyAlignment="1" applyProtection="1">
      <alignment horizontal="center" vertical="top"/>
      <protection hidden="1"/>
    </xf>
    <xf numFmtId="2" fontId="27" fillId="26" borderId="10" xfId="35" applyNumberFormat="1" applyFont="1" applyFill="1" applyBorder="1" applyAlignment="1" applyProtection="1">
      <alignment horizontal="center" vertical="center"/>
      <protection hidden="1"/>
    </xf>
    <xf numFmtId="49" fontId="27" fillId="25" borderId="10" xfId="0" applyNumberFormat="1" applyFont="1" applyFill="1" applyBorder="1" applyAlignment="1" applyProtection="1">
      <alignment horizontal="left" vertical="center"/>
      <protection hidden="1"/>
    </xf>
    <xf numFmtId="2" fontId="27" fillId="25" borderId="10" xfId="35" applyNumberFormat="1" applyFont="1" applyFill="1" applyBorder="1" applyAlignment="1" applyProtection="1">
      <alignment horizontal="center"/>
      <protection hidden="1"/>
    </xf>
    <xf numFmtId="49" fontId="13" fillId="25" borderId="10" xfId="0" applyNumberFormat="1" applyFont="1" applyFill="1" applyBorder="1" applyAlignment="1" applyProtection="1">
      <alignment horizontal="left" vertical="center"/>
      <protection hidden="1"/>
    </xf>
    <xf numFmtId="2" fontId="13" fillId="25" borderId="10" xfId="35" applyNumberFormat="1" applyFont="1" applyFill="1" applyBorder="1" applyAlignment="1" applyProtection="1">
      <alignment horizontal="center" vertical="center"/>
      <protection hidden="1"/>
    </xf>
    <xf numFmtId="0" fontId="13" fillId="25" borderId="10" xfId="0" applyFont="1" applyFill="1" applyBorder="1" applyAlignment="1">
      <alignment vertical="center"/>
    </xf>
    <xf numFmtId="0" fontId="27" fillId="25" borderId="10" xfId="0" applyFont="1" applyFill="1" applyBorder="1" applyAlignment="1" applyProtection="1">
      <alignment vertical="center"/>
      <protection hidden="1"/>
    </xf>
    <xf numFmtId="2" fontId="13" fillId="25" borderId="10" xfId="0" applyNumberFormat="1" applyFont="1" applyFill="1" applyBorder="1" applyAlignment="1" applyProtection="1">
      <alignment horizontal="center"/>
      <protection hidden="1"/>
    </xf>
    <xf numFmtId="2" fontId="27" fillId="25" borderId="10" xfId="35" applyNumberFormat="1" applyFont="1" applyFill="1" applyBorder="1" applyAlignment="1" applyProtection="1">
      <alignment horizontal="center" vertical="center"/>
      <protection hidden="1"/>
    </xf>
    <xf numFmtId="0" fontId="5" fillId="35" borderId="54" xfId="0" applyFont="1" applyFill="1" applyBorder="1" applyAlignment="1" applyProtection="1">
      <alignment vertical="center"/>
      <protection hidden="1"/>
    </xf>
    <xf numFmtId="193" fontId="5" fillId="35" borderId="10" xfId="0" applyNumberFormat="1" applyFont="1" applyFill="1" applyBorder="1" applyAlignment="1" applyProtection="1">
      <alignment horizontal="center" vertical="top"/>
      <protection hidden="1"/>
    </xf>
    <xf numFmtId="49" fontId="27" fillId="25" borderId="10" xfId="0" quotePrefix="1" applyNumberFormat="1" applyFont="1" applyFill="1" applyBorder="1" applyAlignment="1" applyProtection="1">
      <alignment horizontal="left" vertical="center"/>
      <protection hidden="1"/>
    </xf>
    <xf numFmtId="49" fontId="13" fillId="25" borderId="10" xfId="0" quotePrefix="1" applyNumberFormat="1" applyFont="1" applyFill="1" applyBorder="1" applyAlignment="1" applyProtection="1">
      <alignment horizontal="left" vertical="center"/>
      <protection hidden="1"/>
    </xf>
    <xf numFmtId="49" fontId="27" fillId="26" borderId="10" xfId="0" applyNumberFormat="1" applyFont="1" applyFill="1" applyBorder="1" applyAlignment="1" applyProtection="1">
      <alignment vertical="center"/>
      <protection hidden="1"/>
    </xf>
    <xf numFmtId="2" fontId="13" fillId="25" borderId="10" xfId="35" applyNumberFormat="1" applyFont="1" applyFill="1" applyBorder="1" applyAlignment="1" applyProtection="1">
      <alignment horizontal="center"/>
      <protection hidden="1"/>
    </xf>
    <xf numFmtId="0" fontId="27" fillId="25" borderId="42" xfId="0" applyNumberFormat="1" applyFont="1" applyFill="1" applyBorder="1" applyAlignment="1" applyProtection="1">
      <alignment vertical="center"/>
      <protection hidden="1"/>
    </xf>
    <xf numFmtId="0" fontId="13" fillId="25" borderId="21" xfId="0" applyNumberFormat="1" applyFont="1" applyFill="1" applyBorder="1" applyAlignment="1" applyProtection="1">
      <alignment vertical="center"/>
      <protection hidden="1"/>
    </xf>
    <xf numFmtId="0" fontId="27" fillId="25" borderId="21" xfId="0" applyNumberFormat="1" applyFont="1" applyFill="1" applyBorder="1" applyAlignment="1" applyProtection="1">
      <alignment vertical="center"/>
      <protection hidden="1"/>
    </xf>
    <xf numFmtId="0" fontId="0" fillId="25" borderId="0" xfId="0" applyFill="1">
      <alignment vertical="center"/>
    </xf>
    <xf numFmtId="0" fontId="69" fillId="0" borderId="0" xfId="0" applyFont="1" applyFill="1" applyBorder="1" applyProtection="1">
      <alignment vertical="center"/>
      <protection hidden="1"/>
    </xf>
    <xf numFmtId="177" fontId="13" fillId="24" borderId="0" xfId="35" applyNumberFormat="1" applyFont="1" applyFill="1" applyBorder="1" applyAlignment="1" applyProtection="1">
      <protection hidden="1"/>
    </xf>
    <xf numFmtId="38" fontId="69" fillId="0" borderId="0" xfId="35" applyFont="1" applyFill="1" applyBorder="1" applyAlignment="1" applyProtection="1">
      <alignment horizontal="center"/>
      <protection hidden="1"/>
    </xf>
    <xf numFmtId="2" fontId="36" fillId="24" borderId="0" xfId="0" applyNumberFormat="1" applyFont="1" applyFill="1" applyBorder="1" applyAlignment="1" applyProtection="1">
      <alignment horizontal="left"/>
      <protection hidden="1"/>
    </xf>
    <xf numFmtId="0" fontId="69" fillId="0" borderId="0" xfId="0" applyFont="1">
      <alignment vertical="center"/>
    </xf>
    <xf numFmtId="0" fontId="69" fillId="0" borderId="0" xfId="0" applyNumberFormat="1" applyFont="1" applyFill="1" applyBorder="1">
      <alignment vertical="center"/>
    </xf>
    <xf numFmtId="177" fontId="69" fillId="0" borderId="0" xfId="0" applyNumberFormat="1" applyFont="1" applyFill="1">
      <alignment vertical="center"/>
    </xf>
    <xf numFmtId="0" fontId="69" fillId="0" borderId="0" xfId="0" applyFont="1" applyAlignment="1">
      <alignment horizontal="left" vertical="center"/>
    </xf>
    <xf numFmtId="0" fontId="69" fillId="0" borderId="0" xfId="0" applyFont="1" applyAlignment="1">
      <alignment vertical="center"/>
    </xf>
    <xf numFmtId="0" fontId="62" fillId="24" borderId="0" xfId="0" applyNumberFormat="1" applyFont="1" applyFill="1" applyBorder="1" applyProtection="1">
      <alignment vertical="center"/>
      <protection hidden="1"/>
    </xf>
    <xf numFmtId="2" fontId="69" fillId="24" borderId="0" xfId="0" applyNumberFormat="1" applyFont="1" applyFill="1" applyBorder="1" applyAlignment="1" applyProtection="1">
      <alignment horizontal="left"/>
      <protection hidden="1"/>
    </xf>
    <xf numFmtId="49" fontId="62" fillId="33" borderId="0" xfId="0" applyNumberFormat="1" applyFont="1" applyFill="1" applyBorder="1" applyProtection="1">
      <alignment vertical="center"/>
      <protection hidden="1"/>
    </xf>
    <xf numFmtId="0" fontId="69" fillId="33" borderId="0" xfId="0" applyFont="1" applyFill="1">
      <alignment vertical="center"/>
    </xf>
    <xf numFmtId="2" fontId="69" fillId="33" borderId="0" xfId="0" applyNumberFormat="1" applyFont="1" applyFill="1" applyBorder="1" applyAlignment="1" applyProtection="1">
      <alignment horizontal="left"/>
      <protection hidden="1"/>
    </xf>
    <xf numFmtId="0" fontId="2" fillId="35" borderId="42" xfId="0" applyFont="1" applyFill="1" applyBorder="1" applyAlignment="1" applyProtection="1">
      <alignment horizontal="centerContinuous" vertical="center"/>
      <protection hidden="1"/>
    </xf>
    <xf numFmtId="0" fontId="13" fillId="0" borderId="0" xfId="0" applyFont="1" applyFill="1" applyBorder="1" applyProtection="1">
      <alignment vertical="center"/>
      <protection hidden="1"/>
    </xf>
    <xf numFmtId="0" fontId="13" fillId="35" borderId="17" xfId="0" applyFont="1" applyFill="1" applyBorder="1" applyAlignment="1" applyProtection="1">
      <alignment horizontal="centerContinuous" vertical="center"/>
      <protection hidden="1"/>
    </xf>
    <xf numFmtId="177" fontId="13" fillId="35" borderId="10" xfId="35" applyNumberFormat="1" applyFont="1" applyFill="1" applyBorder="1" applyAlignment="1" applyProtection="1">
      <alignment horizontal="centerContinuous" vertical="center"/>
      <protection hidden="1"/>
    </xf>
    <xf numFmtId="0" fontId="13" fillId="35" borderId="42" xfId="0" applyFont="1" applyFill="1" applyBorder="1" applyAlignment="1" applyProtection="1">
      <alignment horizontal="centerContinuous" vertical="center"/>
      <protection hidden="1"/>
    </xf>
    <xf numFmtId="38" fontId="13" fillId="0" borderId="0" xfId="35" applyFont="1" applyFill="1" applyBorder="1" applyAlignment="1" applyProtection="1">
      <alignment horizontal="center"/>
      <protection hidden="1"/>
    </xf>
    <xf numFmtId="2" fontId="13" fillId="35" borderId="10" xfId="0" applyNumberFormat="1" applyFont="1" applyFill="1" applyBorder="1" applyAlignment="1" applyProtection="1">
      <protection hidden="1"/>
    </xf>
    <xf numFmtId="0" fontId="27" fillId="0" borderId="0" xfId="0" applyNumberFormat="1" applyFont="1" applyFill="1" applyBorder="1" applyAlignment="1">
      <alignment horizontal="left" vertical="top"/>
    </xf>
    <xf numFmtId="2" fontId="13" fillId="35" borderId="42" xfId="0" applyNumberFormat="1" applyFont="1" applyFill="1" applyBorder="1" applyAlignment="1" applyProtection="1">
      <protection hidden="1"/>
    </xf>
    <xf numFmtId="2" fontId="13" fillId="35" borderId="17" xfId="0" applyNumberFormat="1" applyFont="1" applyFill="1" applyBorder="1" applyAlignment="1" applyProtection="1">
      <protection hidden="1"/>
    </xf>
    <xf numFmtId="177" fontId="2" fillId="0" borderId="0" xfId="0" applyNumberFormat="1" applyFont="1" applyFill="1">
      <alignment vertical="center"/>
    </xf>
    <xf numFmtId="2" fontId="13" fillId="35" borderId="51" xfId="0" applyNumberFormat="1" applyFont="1" applyFill="1" applyBorder="1" applyAlignment="1" applyProtection="1">
      <alignment horizontal="center" vertical="top"/>
      <protection hidden="1"/>
    </xf>
    <xf numFmtId="2" fontId="13" fillId="35" borderId="17" xfId="0" applyNumberFormat="1" applyFont="1" applyFill="1" applyBorder="1" applyAlignment="1" applyProtection="1">
      <alignment horizontal="center" vertical="top"/>
      <protection hidden="1"/>
    </xf>
    <xf numFmtId="0" fontId="13" fillId="0" borderId="0" xfId="0" applyNumberFormat="1" applyFont="1" applyFill="1" applyBorder="1" applyAlignment="1">
      <alignment horizontal="center" vertical="top"/>
    </xf>
    <xf numFmtId="193" fontId="13" fillId="35" borderId="10" xfId="35" applyNumberFormat="1" applyFont="1" applyFill="1" applyBorder="1" applyAlignment="1" applyProtection="1">
      <alignment horizontal="center" vertical="top"/>
      <protection hidden="1"/>
    </xf>
    <xf numFmtId="193" fontId="13" fillId="35" borderId="51" xfId="35" applyNumberFormat="1" applyFont="1" applyFill="1" applyBorder="1" applyAlignment="1" applyProtection="1">
      <alignment horizontal="center" vertical="top"/>
      <protection hidden="1"/>
    </xf>
    <xf numFmtId="40" fontId="13" fillId="35" borderId="51" xfId="35" applyNumberFormat="1" applyFont="1" applyFill="1" applyBorder="1" applyAlignment="1" applyProtection="1">
      <alignment horizontal="center" vertical="top"/>
      <protection hidden="1"/>
    </xf>
    <xf numFmtId="38" fontId="5" fillId="0" borderId="0" xfId="35" applyFont="1" applyFill="1" applyBorder="1" applyAlignment="1" applyProtection="1">
      <alignment horizontal="center"/>
      <protection hidden="1"/>
    </xf>
    <xf numFmtId="0" fontId="5" fillId="35" borderId="10" xfId="0" applyNumberFormat="1" applyFont="1" applyFill="1" applyBorder="1" applyAlignment="1" applyProtection="1">
      <alignment horizontal="left" vertical="center"/>
      <protection hidden="1"/>
    </xf>
    <xf numFmtId="193" fontId="2" fillId="35" borderId="10" xfId="35" applyNumberFormat="1" applyFont="1" applyFill="1" applyBorder="1" applyAlignment="1" applyProtection="1">
      <alignment horizontal="center" vertical="top"/>
      <protection hidden="1"/>
    </xf>
    <xf numFmtId="193" fontId="2" fillId="35" borderId="51" xfId="35" applyNumberFormat="1" applyFont="1" applyFill="1" applyBorder="1" applyAlignment="1" applyProtection="1">
      <alignment horizontal="center" vertical="top"/>
      <protection hidden="1"/>
    </xf>
    <xf numFmtId="193" fontId="2" fillId="35" borderId="17" xfId="0" applyNumberFormat="1" applyFont="1" applyFill="1" applyBorder="1" applyAlignment="1" applyProtection="1">
      <alignment horizontal="center" vertical="top"/>
      <protection hidden="1"/>
    </xf>
    <xf numFmtId="193" fontId="2" fillId="35" borderId="10" xfId="0" applyNumberFormat="1" applyFont="1" applyFill="1" applyBorder="1" applyAlignment="1" applyProtection="1">
      <alignment horizontal="center" vertical="top"/>
      <protection hidden="1"/>
    </xf>
    <xf numFmtId="0" fontId="2" fillId="0" borderId="0" xfId="0" applyNumberFormat="1" applyFont="1" applyFill="1" applyBorder="1" applyAlignment="1">
      <alignment horizontal="center" vertical="top"/>
    </xf>
    <xf numFmtId="40" fontId="2" fillId="35" borderId="10" xfId="35" applyNumberFormat="1" applyFont="1" applyFill="1" applyBorder="1" applyAlignment="1" applyProtection="1">
      <alignment horizontal="center" vertical="top"/>
      <protection hidden="1"/>
    </xf>
    <xf numFmtId="40" fontId="2" fillId="35" borderId="51" xfId="35" applyNumberFormat="1" applyFont="1" applyFill="1" applyBorder="1" applyAlignment="1" applyProtection="1">
      <alignment horizontal="center" vertical="top"/>
      <protection hidden="1"/>
    </xf>
    <xf numFmtId="0" fontId="27" fillId="0" borderId="0" xfId="0" applyFont="1" applyFill="1" applyBorder="1" applyProtection="1">
      <alignment vertical="center"/>
      <protection hidden="1"/>
    </xf>
    <xf numFmtId="38" fontId="27" fillId="0" borderId="0" xfId="35" applyFont="1" applyFill="1" applyBorder="1" applyAlignment="1" applyProtection="1">
      <alignment horizontal="center"/>
      <protection hidden="1"/>
    </xf>
    <xf numFmtId="0" fontId="27" fillId="26" borderId="10" xfId="0" applyNumberFormat="1" applyFont="1" applyFill="1" applyBorder="1" applyAlignment="1" applyProtection="1">
      <alignment horizontal="left" vertical="center"/>
      <protection hidden="1"/>
    </xf>
    <xf numFmtId="193" fontId="27" fillId="26" borderId="10" xfId="35" applyNumberFormat="1" applyFont="1" applyFill="1" applyBorder="1" applyAlignment="1" applyProtection="1">
      <alignment horizontal="center" vertical="center"/>
      <protection hidden="1"/>
    </xf>
    <xf numFmtId="193" fontId="27" fillId="26" borderId="17" xfId="35" applyNumberFormat="1" applyFont="1" applyFill="1" applyBorder="1" applyAlignment="1" applyProtection="1">
      <alignment horizontal="center" vertical="center"/>
      <protection hidden="1"/>
    </xf>
    <xf numFmtId="193" fontId="27" fillId="25" borderId="10" xfId="35" applyNumberFormat="1" applyFont="1" applyFill="1" applyBorder="1" applyAlignment="1" applyProtection="1">
      <alignment horizontal="center"/>
      <protection hidden="1"/>
    </xf>
    <xf numFmtId="193" fontId="27" fillId="25" borderId="51" xfId="35" applyNumberFormat="1" applyFont="1" applyFill="1" applyBorder="1" applyAlignment="1" applyProtection="1">
      <alignment horizontal="center" vertical="center"/>
      <protection hidden="1"/>
    </xf>
    <xf numFmtId="193" fontId="27" fillId="25" borderId="17" xfId="35" applyNumberFormat="1" applyFont="1" applyFill="1" applyBorder="1" applyAlignment="1" applyProtection="1">
      <alignment horizontal="center"/>
      <protection hidden="1"/>
    </xf>
    <xf numFmtId="193" fontId="13" fillId="25" borderId="10" xfId="35" applyNumberFormat="1" applyFont="1" applyFill="1" applyBorder="1" applyAlignment="1" applyProtection="1">
      <alignment horizontal="center" vertical="center"/>
      <protection hidden="1"/>
    </xf>
    <xf numFmtId="193" fontId="13" fillId="25" borderId="17" xfId="35" applyNumberFormat="1" applyFont="1" applyFill="1" applyBorder="1" applyAlignment="1" applyProtection="1">
      <alignment horizontal="center" vertical="center"/>
      <protection hidden="1"/>
    </xf>
    <xf numFmtId="193" fontId="13" fillId="25" borderId="51" xfId="35" applyNumberFormat="1" applyFont="1" applyFill="1" applyBorder="1" applyAlignment="1" applyProtection="1">
      <alignment horizontal="center" vertical="center"/>
      <protection hidden="1"/>
    </xf>
    <xf numFmtId="193" fontId="27" fillId="25" borderId="51" xfId="0" applyNumberFormat="1" applyFont="1" applyFill="1" applyBorder="1" applyAlignment="1" applyProtection="1">
      <alignment horizontal="center" vertical="center"/>
      <protection hidden="1"/>
    </xf>
    <xf numFmtId="193" fontId="13" fillId="25" borderId="51" xfId="0" applyNumberFormat="1" applyFont="1" applyFill="1" applyBorder="1" applyAlignment="1" applyProtection="1">
      <alignment horizontal="center" vertical="center"/>
      <protection hidden="1"/>
    </xf>
    <xf numFmtId="0" fontId="27" fillId="0" borderId="0" xfId="0" applyNumberFormat="1" applyFont="1" applyFill="1" applyBorder="1" applyAlignment="1">
      <alignment horizontal="center" vertical="top"/>
    </xf>
    <xf numFmtId="40" fontId="27" fillId="35" borderId="10" xfId="35" applyNumberFormat="1" applyFont="1" applyFill="1" applyBorder="1" applyAlignment="1" applyProtection="1">
      <alignment horizontal="center" vertical="top"/>
      <protection hidden="1"/>
    </xf>
    <xf numFmtId="40" fontId="27" fillId="35" borderId="51" xfId="35" applyNumberFormat="1" applyFont="1" applyFill="1" applyBorder="1" applyAlignment="1" applyProtection="1">
      <alignment horizontal="center" vertical="top"/>
      <protection hidden="1"/>
    </xf>
    <xf numFmtId="177" fontId="5" fillId="0" borderId="0" xfId="0" applyNumberFormat="1" applyFont="1" applyFill="1">
      <alignment vertical="center"/>
    </xf>
    <xf numFmtId="177" fontId="27" fillId="0" borderId="0" xfId="0" applyNumberFormat="1" applyFont="1" applyFill="1" applyBorder="1" applyProtection="1">
      <alignment vertical="center"/>
      <protection hidden="1"/>
    </xf>
    <xf numFmtId="193" fontId="27" fillId="25" borderId="10" xfId="35" applyNumberFormat="1" applyFont="1" applyFill="1" applyBorder="1" applyAlignment="1" applyProtection="1">
      <alignment horizontal="center" vertical="center"/>
      <protection hidden="1"/>
    </xf>
    <xf numFmtId="193" fontId="27" fillId="25" borderId="17" xfId="35" applyNumberFormat="1" applyFont="1" applyFill="1" applyBorder="1" applyAlignment="1" applyProtection="1">
      <alignment horizontal="center" vertical="center"/>
      <protection hidden="1"/>
    </xf>
    <xf numFmtId="177" fontId="13" fillId="0" borderId="0" xfId="0" applyNumberFormat="1" applyFont="1" applyFill="1" applyBorder="1" applyProtection="1">
      <alignment vertical="center"/>
      <protection hidden="1"/>
    </xf>
    <xf numFmtId="193" fontId="27" fillId="25" borderId="51" xfId="35" applyNumberFormat="1" applyFont="1" applyFill="1" applyBorder="1" applyAlignment="1" applyProtection="1">
      <alignment horizontal="center"/>
      <protection hidden="1"/>
    </xf>
    <xf numFmtId="38" fontId="13" fillId="0" borderId="0" xfId="35" applyFont="1" applyFill="1" applyBorder="1" applyAlignment="1" applyProtection="1">
      <alignment horizontal="center" vertical="center"/>
      <protection hidden="1"/>
    </xf>
    <xf numFmtId="40" fontId="27" fillId="0" borderId="0" xfId="35" applyNumberFormat="1" applyFont="1" applyFill="1" applyBorder="1" applyAlignment="1" applyProtection="1">
      <alignment horizontal="right" vertical="center"/>
      <protection hidden="1"/>
    </xf>
    <xf numFmtId="40" fontId="27" fillId="0" borderId="0" xfId="35" applyNumberFormat="1" applyFont="1" applyFill="1" applyBorder="1" applyAlignment="1" applyProtection="1">
      <protection hidden="1"/>
    </xf>
    <xf numFmtId="0" fontId="5" fillId="25" borderId="10" xfId="0" applyNumberFormat="1" applyFont="1" applyFill="1" applyBorder="1" applyAlignment="1" applyProtection="1">
      <alignment horizontal="center" vertical="center"/>
      <protection hidden="1"/>
    </xf>
    <xf numFmtId="188" fontId="27" fillId="25" borderId="10" xfId="0" applyNumberFormat="1" applyFont="1" applyFill="1" applyBorder="1">
      <alignment vertical="center"/>
    </xf>
    <xf numFmtId="40" fontId="13" fillId="0" borderId="0" xfId="35" applyNumberFormat="1" applyFont="1" applyFill="1" applyBorder="1" applyAlignment="1" applyProtection="1">
      <protection hidden="1"/>
    </xf>
    <xf numFmtId="193" fontId="13" fillId="25" borderId="10" xfId="35" applyNumberFormat="1" applyFont="1" applyFill="1" applyBorder="1" applyAlignment="1" applyProtection="1">
      <alignment horizontal="center"/>
      <protection hidden="1"/>
    </xf>
    <xf numFmtId="193" fontId="13" fillId="25" borderId="51" xfId="35" applyNumberFormat="1" applyFont="1" applyFill="1" applyBorder="1" applyAlignment="1" applyProtection="1">
      <alignment horizontal="center"/>
      <protection hidden="1"/>
    </xf>
    <xf numFmtId="193" fontId="13" fillId="25" borderId="17" xfId="35" applyNumberFormat="1" applyFont="1" applyFill="1" applyBorder="1" applyAlignment="1" applyProtection="1">
      <alignment horizontal="center"/>
      <protection hidden="1"/>
    </xf>
    <xf numFmtId="0" fontId="5" fillId="35" borderId="10" xfId="0" applyNumberFormat="1" applyFont="1" applyFill="1" applyBorder="1" applyAlignment="1" applyProtection="1">
      <alignment horizontal="center" vertical="center"/>
      <protection hidden="1"/>
    </xf>
    <xf numFmtId="193" fontId="5" fillId="35" borderId="10" xfId="35" applyNumberFormat="1" applyFont="1" applyFill="1" applyBorder="1" applyAlignment="1" applyProtection="1">
      <alignment horizontal="center" vertical="top"/>
      <protection hidden="1"/>
    </xf>
    <xf numFmtId="193" fontId="5" fillId="35" borderId="51" xfId="35" applyNumberFormat="1" applyFont="1" applyFill="1" applyBorder="1" applyAlignment="1" applyProtection="1">
      <alignment horizontal="center" vertical="top"/>
      <protection hidden="1"/>
    </xf>
    <xf numFmtId="193" fontId="5" fillId="35" borderId="17" xfId="0" applyNumberFormat="1" applyFont="1" applyFill="1" applyBorder="1" applyAlignment="1" applyProtection="1">
      <alignment horizontal="center" vertical="top"/>
      <protection hidden="1"/>
    </xf>
    <xf numFmtId="0" fontId="27" fillId="25" borderId="10" xfId="0" quotePrefix="1" applyNumberFormat="1" applyFont="1" applyFill="1" applyBorder="1" applyAlignment="1" applyProtection="1">
      <alignment horizontal="left" vertical="center"/>
      <protection hidden="1"/>
    </xf>
    <xf numFmtId="0" fontId="13" fillId="25" borderId="10" xfId="0" quotePrefix="1" applyNumberFormat="1" applyFont="1" applyFill="1" applyBorder="1" applyAlignment="1" applyProtection="1">
      <alignment horizontal="left" vertical="center"/>
      <protection hidden="1"/>
    </xf>
    <xf numFmtId="40" fontId="13" fillId="0" borderId="0" xfId="35" applyNumberFormat="1" applyFont="1" applyFill="1" applyBorder="1" applyAlignment="1" applyProtection="1">
      <alignment vertical="center"/>
      <protection hidden="1"/>
    </xf>
    <xf numFmtId="40" fontId="13" fillId="0" borderId="0" xfId="35" applyNumberFormat="1" applyFont="1" applyFill="1" applyBorder="1" applyAlignment="1" applyProtection="1">
      <alignment horizontal="right" vertical="center"/>
      <protection hidden="1"/>
    </xf>
    <xf numFmtId="193" fontId="27" fillId="26" borderId="51" xfId="35" applyNumberFormat="1" applyFont="1" applyFill="1" applyBorder="1" applyAlignment="1" applyProtection="1">
      <alignment horizontal="center" vertical="center"/>
      <protection hidden="1"/>
    </xf>
    <xf numFmtId="193" fontId="27" fillId="26" borderId="17" xfId="0" applyNumberFormat="1" applyFont="1" applyFill="1" applyBorder="1" applyAlignment="1" applyProtection="1">
      <alignment horizontal="center"/>
      <protection hidden="1"/>
    </xf>
    <xf numFmtId="193" fontId="27" fillId="26" borderId="10" xfId="0" applyNumberFormat="1" applyFont="1" applyFill="1" applyBorder="1" applyAlignment="1" applyProtection="1">
      <alignment horizontal="center"/>
      <protection hidden="1"/>
    </xf>
    <xf numFmtId="193" fontId="27" fillId="25" borderId="17" xfId="0" applyNumberFormat="1" applyFont="1" applyFill="1" applyBorder="1" applyAlignment="1" applyProtection="1">
      <alignment horizontal="center"/>
      <protection hidden="1"/>
    </xf>
    <xf numFmtId="193" fontId="27" fillId="25" borderId="10" xfId="0" applyNumberFormat="1" applyFont="1" applyFill="1" applyBorder="1" applyAlignment="1" applyProtection="1">
      <alignment horizontal="center"/>
      <protection hidden="1"/>
    </xf>
    <xf numFmtId="193" fontId="13" fillId="25" borderId="17" xfId="0" applyNumberFormat="1" applyFont="1" applyFill="1" applyBorder="1" applyAlignment="1" applyProtection="1">
      <alignment horizontal="center"/>
      <protection hidden="1"/>
    </xf>
    <xf numFmtId="193" fontId="13" fillId="25" borderId="10" xfId="0" applyNumberFormat="1" applyFont="1" applyFill="1" applyBorder="1" applyAlignment="1" applyProtection="1">
      <alignment horizontal="center"/>
      <protection hidden="1"/>
    </xf>
    <xf numFmtId="193" fontId="152" fillId="25" borderId="10" xfId="35" applyNumberFormat="1" applyFont="1" applyFill="1" applyBorder="1" applyAlignment="1" applyProtection="1">
      <alignment horizontal="center" vertical="center"/>
      <protection hidden="1"/>
    </xf>
    <xf numFmtId="0" fontId="0" fillId="35" borderId="10" xfId="0" applyFont="1" applyFill="1" applyBorder="1" applyAlignment="1" applyProtection="1">
      <alignment horizontal="center" vertical="center"/>
      <protection hidden="1"/>
    </xf>
    <xf numFmtId="177" fontId="0" fillId="0" borderId="0" xfId="0" applyNumberFormat="1" applyFont="1" applyFill="1">
      <alignment vertical="center"/>
    </xf>
    <xf numFmtId="0" fontId="3" fillId="0" borderId="0" xfId="0" applyFont="1" applyFill="1" applyBorder="1" applyAlignment="1" applyProtection="1">
      <alignment horizontal="right" vertical="center"/>
      <protection hidden="1"/>
    </xf>
    <xf numFmtId="0" fontId="3" fillId="25" borderId="188" xfId="0" quotePrefix="1" applyFont="1" applyFill="1" applyBorder="1" applyAlignment="1" applyProtection="1">
      <alignment horizontal="center" vertical="center"/>
      <protection hidden="1"/>
    </xf>
    <xf numFmtId="0" fontId="3" fillId="25" borderId="0" xfId="0" applyFont="1" applyFill="1" applyBorder="1" applyAlignment="1" applyProtection="1">
      <alignment horizontal="left" vertical="center" wrapText="1"/>
      <protection hidden="1"/>
    </xf>
    <xf numFmtId="0" fontId="3" fillId="25" borderId="16" xfId="0" applyFont="1" applyFill="1" applyBorder="1" applyAlignment="1" applyProtection="1">
      <alignment horizontal="left" vertical="center" wrapText="1"/>
      <protection hidden="1"/>
    </xf>
    <xf numFmtId="0" fontId="3" fillId="25" borderId="11" xfId="0" applyFont="1" applyFill="1" applyBorder="1" applyAlignment="1" applyProtection="1">
      <alignment horizontal="left" vertical="center"/>
      <protection hidden="1"/>
    </xf>
    <xf numFmtId="0" fontId="3" fillId="25" borderId="135" xfId="0" applyFont="1" applyFill="1" applyBorder="1" applyAlignment="1" applyProtection="1">
      <alignment horizontal="center" vertical="center" wrapText="1"/>
      <protection hidden="1"/>
    </xf>
    <xf numFmtId="179" fontId="27" fillId="24" borderId="0" xfId="0" applyNumberFormat="1" applyFont="1" applyFill="1" applyBorder="1" applyAlignment="1" applyProtection="1">
      <alignment vertical="center"/>
      <protection hidden="1"/>
    </xf>
    <xf numFmtId="0" fontId="2" fillId="0" borderId="0" xfId="0" applyFont="1" applyAlignment="1" applyProtection="1">
      <alignment vertical="center"/>
      <protection hidden="1"/>
    </xf>
    <xf numFmtId="205" fontId="10" fillId="26" borderId="44" xfId="0" applyNumberFormat="1" applyFont="1" applyFill="1" applyBorder="1" applyAlignment="1" applyProtection="1">
      <alignment horizontal="center" vertical="center"/>
      <protection hidden="1"/>
    </xf>
    <xf numFmtId="179" fontId="10" fillId="26" borderId="41" xfId="0" applyNumberFormat="1" applyFont="1" applyFill="1" applyBorder="1" applyAlignment="1" applyProtection="1">
      <alignment horizontal="centerContinuous" vertical="center"/>
      <protection hidden="1"/>
    </xf>
    <xf numFmtId="179" fontId="10" fillId="26" borderId="42" xfId="0" applyNumberFormat="1" applyFont="1" applyFill="1" applyBorder="1" applyAlignment="1" applyProtection="1">
      <alignment horizontal="centerContinuous" vertical="center"/>
      <protection hidden="1"/>
    </xf>
    <xf numFmtId="179" fontId="10" fillId="26" borderId="51" xfId="0" applyNumberFormat="1" applyFont="1" applyFill="1" applyBorder="1" applyAlignment="1" applyProtection="1">
      <alignment horizontal="centerContinuous" vertical="center"/>
      <protection hidden="1"/>
    </xf>
    <xf numFmtId="179" fontId="10" fillId="26" borderId="17" xfId="0" applyNumberFormat="1" applyFont="1" applyFill="1" applyBorder="1" applyAlignment="1" applyProtection="1">
      <alignment horizontal="centerContinuous" vertical="center"/>
      <protection hidden="1"/>
    </xf>
    <xf numFmtId="0" fontId="3" fillId="25" borderId="69" xfId="0" applyFont="1" applyFill="1" applyBorder="1" applyAlignment="1" applyProtection="1">
      <alignment horizontal="left" vertical="center"/>
      <protection hidden="1"/>
    </xf>
    <xf numFmtId="0" fontId="3" fillId="26" borderId="51" xfId="44" applyFont="1" applyFill="1" applyBorder="1" applyAlignment="1" applyProtection="1">
      <alignment horizontal="center" vertical="center"/>
      <protection hidden="1"/>
    </xf>
    <xf numFmtId="186" fontId="3" fillId="0" borderId="0" xfId="35" applyNumberFormat="1" applyFont="1" applyFill="1" applyAlignment="1" applyProtection="1">
      <alignment vertical="center"/>
    </xf>
    <xf numFmtId="0" fontId="2" fillId="25" borderId="48" xfId="0" quotePrefix="1" applyFont="1" applyFill="1" applyBorder="1" applyAlignment="1" applyProtection="1">
      <alignment horizontal="center" vertical="center"/>
      <protection hidden="1"/>
    </xf>
    <xf numFmtId="0" fontId="2" fillId="25" borderId="48" xfId="0" applyFont="1" applyFill="1" applyBorder="1" applyAlignment="1" applyProtection="1">
      <alignment horizontal="center" vertical="center"/>
      <protection hidden="1"/>
    </xf>
    <xf numFmtId="0" fontId="2" fillId="25" borderId="16" xfId="0" applyFont="1" applyFill="1" applyBorder="1" applyAlignment="1" applyProtection="1">
      <alignment horizontal="center" vertical="center"/>
      <protection hidden="1"/>
    </xf>
    <xf numFmtId="0" fontId="5" fillId="25" borderId="23" xfId="44" applyFont="1" applyFill="1" applyBorder="1" applyAlignment="1" applyProtection="1">
      <alignment vertical="center"/>
    </xf>
    <xf numFmtId="0" fontId="13" fillId="25" borderId="0" xfId="0" applyFont="1" applyFill="1" applyBorder="1">
      <alignment vertical="center"/>
    </xf>
    <xf numFmtId="0" fontId="27" fillId="25" borderId="0" xfId="0" applyFont="1" applyFill="1" applyBorder="1">
      <alignment vertical="center"/>
    </xf>
    <xf numFmtId="0" fontId="27" fillId="25" borderId="0" xfId="0" applyFont="1" applyFill="1" applyBorder="1" applyAlignment="1">
      <alignment horizontal="right" vertical="center"/>
    </xf>
    <xf numFmtId="177" fontId="13" fillId="25" borderId="44" xfId="44" applyNumberFormat="1" applyFont="1" applyFill="1" applyBorder="1" applyAlignment="1" applyProtection="1">
      <alignment horizontal="right" vertical="center"/>
    </xf>
    <xf numFmtId="0" fontId="6" fillId="25" borderId="0" xfId="0" applyFont="1" applyFill="1" applyBorder="1" applyAlignment="1">
      <alignment horizontal="left" vertical="center"/>
    </xf>
    <xf numFmtId="177" fontId="13" fillId="25" borderId="20" xfId="0" applyNumberFormat="1" applyFont="1" applyFill="1" applyBorder="1" applyAlignment="1">
      <alignment horizontal="right" vertical="center"/>
    </xf>
    <xf numFmtId="177" fontId="13" fillId="25" borderId="0" xfId="0" applyNumberFormat="1" applyFont="1" applyFill="1" applyBorder="1" applyAlignment="1">
      <alignment horizontal="right" vertical="center"/>
    </xf>
    <xf numFmtId="0" fontId="13" fillId="25" borderId="0" xfId="0" applyFont="1" applyFill="1" applyBorder="1" applyAlignment="1">
      <alignment horizontal="left" vertical="center"/>
    </xf>
    <xf numFmtId="206" fontId="13" fillId="25" borderId="10" xfId="0" applyNumberFormat="1" applyFont="1" applyFill="1" applyBorder="1">
      <alignment vertical="center"/>
    </xf>
    <xf numFmtId="177" fontId="13" fillId="25" borderId="0" xfId="0" applyNumberFormat="1" applyFont="1" applyFill="1" applyBorder="1" applyAlignment="1">
      <alignment horizontal="left" vertical="center"/>
    </xf>
    <xf numFmtId="206" fontId="13" fillId="25" borderId="0" xfId="0" applyNumberFormat="1" applyFont="1" applyFill="1" applyBorder="1">
      <alignment vertical="center"/>
    </xf>
    <xf numFmtId="0" fontId="13" fillId="25" borderId="0" xfId="0" applyFont="1" applyFill="1" applyBorder="1" applyAlignment="1">
      <alignment horizontal="right" vertical="center"/>
    </xf>
    <xf numFmtId="38" fontId="13" fillId="25" borderId="0" xfId="35" applyFont="1" applyFill="1" applyBorder="1" applyAlignment="1">
      <alignment horizontal="right" vertical="center"/>
    </xf>
    <xf numFmtId="40" fontId="13" fillId="25" borderId="0" xfId="0" applyNumberFormat="1" applyFont="1" applyFill="1" applyBorder="1">
      <alignment vertical="center"/>
    </xf>
    <xf numFmtId="0" fontId="13" fillId="26" borderId="17" xfId="44" applyFont="1" applyFill="1" applyBorder="1" applyAlignment="1" applyProtection="1">
      <alignment horizontal="center" vertical="center"/>
    </xf>
    <xf numFmtId="180" fontId="13" fillId="26" borderId="10" xfId="44" applyNumberFormat="1" applyFont="1" applyFill="1" applyBorder="1" applyAlignment="1" applyProtection="1">
      <alignment horizontal="center" vertical="center"/>
    </xf>
    <xf numFmtId="0" fontId="13" fillId="25" borderId="0" xfId="44" applyFont="1" applyFill="1" applyBorder="1" applyAlignment="1" applyProtection="1">
      <alignment horizontal="left" vertical="center"/>
      <protection hidden="1"/>
    </xf>
    <xf numFmtId="177" fontId="13" fillId="25" borderId="51" xfId="44" applyNumberFormat="1" applyFont="1" applyFill="1" applyBorder="1" applyAlignment="1" applyProtection="1">
      <alignment horizontal="center" vertical="center"/>
      <protection hidden="1"/>
    </xf>
    <xf numFmtId="177" fontId="13" fillId="25" borderId="17" xfId="44" applyNumberFormat="1" applyFont="1" applyFill="1" applyBorder="1" applyAlignment="1" applyProtection="1">
      <alignment vertical="center"/>
      <protection hidden="1"/>
    </xf>
    <xf numFmtId="176" fontId="13" fillId="25" borderId="10" xfId="44" applyNumberFormat="1" applyFont="1" applyFill="1" applyBorder="1" applyAlignment="1" applyProtection="1">
      <alignment horizontal="center" vertical="center"/>
      <protection hidden="1"/>
    </xf>
    <xf numFmtId="9" fontId="13" fillId="25" borderId="10" xfId="28" applyFont="1" applyFill="1" applyBorder="1" applyAlignment="1">
      <alignment horizontal="center" vertical="center"/>
    </xf>
    <xf numFmtId="38" fontId="13" fillId="25" borderId="0" xfId="35" applyFont="1" applyFill="1" applyBorder="1" applyAlignment="1">
      <alignment horizontal="left" vertical="center"/>
    </xf>
    <xf numFmtId="38" fontId="13" fillId="25" borderId="20" xfId="35" applyFont="1" applyFill="1" applyBorder="1" applyAlignment="1">
      <alignment horizontal="right" vertical="center"/>
    </xf>
    <xf numFmtId="40" fontId="13" fillId="25" borderId="10" xfId="35" applyNumberFormat="1" applyFont="1" applyFill="1" applyBorder="1" applyAlignment="1" applyProtection="1">
      <alignment horizontal="right" vertical="center"/>
    </xf>
    <xf numFmtId="40" fontId="13" fillId="25" borderId="167" xfId="35" applyNumberFormat="1" applyFont="1" applyFill="1" applyBorder="1" applyAlignment="1">
      <alignment horizontal="right" vertical="center"/>
    </xf>
    <xf numFmtId="177" fontId="13" fillId="25" borderId="0" xfId="44" applyNumberFormat="1" applyFont="1" applyFill="1" applyBorder="1" applyAlignment="1" applyProtection="1">
      <alignment horizontal="right" vertical="center"/>
    </xf>
    <xf numFmtId="0" fontId="153" fillId="25" borderId="0" xfId="44" applyFont="1" applyFill="1" applyBorder="1" applyAlignment="1" applyProtection="1">
      <alignment horizontal="left" vertical="center"/>
      <protection hidden="1"/>
    </xf>
    <xf numFmtId="177" fontId="153" fillId="25" borderId="10" xfId="44" applyNumberFormat="1" applyFont="1" applyFill="1" applyBorder="1" applyAlignment="1" applyProtection="1">
      <alignment vertical="center"/>
      <protection hidden="1"/>
    </xf>
    <xf numFmtId="187" fontId="153" fillId="25" borderId="10" xfId="44" applyNumberFormat="1" applyFont="1" applyFill="1" applyBorder="1" applyAlignment="1" applyProtection="1">
      <alignment vertical="center"/>
      <protection hidden="1"/>
    </xf>
    <xf numFmtId="187" fontId="13" fillId="25" borderId="10" xfId="28" applyNumberFormat="1" applyFont="1" applyFill="1" applyBorder="1" applyAlignment="1">
      <alignment horizontal="center" vertical="center"/>
    </xf>
    <xf numFmtId="0" fontId="13" fillId="25" borderId="23" xfId="0" applyFont="1" applyFill="1" applyBorder="1">
      <alignment vertical="center"/>
    </xf>
    <xf numFmtId="40" fontId="13" fillId="25" borderId="44" xfId="35" applyNumberFormat="1" applyFont="1" applyFill="1" applyBorder="1" applyAlignment="1">
      <alignment horizontal="right" vertical="center"/>
    </xf>
    <xf numFmtId="0" fontId="13" fillId="25" borderId="20" xfId="0" applyFont="1" applyFill="1" applyBorder="1">
      <alignment vertical="center"/>
    </xf>
    <xf numFmtId="0" fontId="13" fillId="0" borderId="0" xfId="44" applyFont="1" applyFill="1" applyBorder="1" applyAlignment="1"/>
    <xf numFmtId="206" fontId="13" fillId="0" borderId="10" xfId="44" applyNumberFormat="1" applyFont="1" applyBorder="1" applyAlignment="1"/>
    <xf numFmtId="206" fontId="13" fillId="0" borderId="0" xfId="44" applyNumberFormat="1" applyFont="1" applyBorder="1" applyAlignment="1"/>
    <xf numFmtId="206" fontId="13" fillId="0" borderId="0" xfId="44" applyNumberFormat="1" applyFont="1" applyBorder="1" applyAlignment="1">
      <alignment horizontal="right"/>
    </xf>
    <xf numFmtId="0" fontId="13" fillId="0" borderId="69" xfId="44" applyFont="1" applyBorder="1" applyAlignment="1"/>
    <xf numFmtId="0" fontId="13" fillId="0" borderId="11" xfId="44" applyFont="1" applyBorder="1" applyAlignment="1"/>
    <xf numFmtId="0" fontId="3" fillId="0" borderId="72" xfId="44" applyFont="1" applyBorder="1" applyAlignment="1"/>
    <xf numFmtId="0" fontId="3" fillId="0" borderId="0" xfId="44" applyFont="1" applyBorder="1" applyAlignment="1">
      <alignment horizontal="right"/>
    </xf>
    <xf numFmtId="0" fontId="13" fillId="0" borderId="70" xfId="44" applyFont="1" applyBorder="1" applyAlignment="1"/>
    <xf numFmtId="0" fontId="13" fillId="0" borderId="21" xfId="44" applyFont="1" applyBorder="1" applyAlignment="1"/>
    <xf numFmtId="0" fontId="13" fillId="0" borderId="16" xfId="44" applyFont="1" applyBorder="1" applyAlignment="1"/>
    <xf numFmtId="0" fontId="13" fillId="0" borderId="54" xfId="44" applyFont="1" applyBorder="1" applyAlignment="1"/>
    <xf numFmtId="0" fontId="0" fillId="0" borderId="10" xfId="0" applyNumberFormat="1" applyFont="1" applyFill="1" applyBorder="1" applyProtection="1">
      <alignment vertical="center"/>
      <protection hidden="1"/>
    </xf>
    <xf numFmtId="38" fontId="2" fillId="0" borderId="0" xfId="0" applyNumberFormat="1" applyFont="1" applyFill="1" applyBorder="1" applyProtection="1">
      <alignment vertical="center"/>
    </xf>
    <xf numFmtId="196" fontId="10" fillId="26" borderId="44" xfId="0" applyNumberFormat="1" applyFont="1" applyFill="1" applyBorder="1" applyAlignment="1" applyProtection="1">
      <alignment horizontal="center" vertical="center"/>
      <protection locked="0"/>
    </xf>
    <xf numFmtId="38" fontId="2" fillId="0" borderId="0" xfId="0" applyNumberFormat="1" applyFont="1" applyFill="1" applyBorder="1" applyAlignment="1" applyProtection="1">
      <alignment horizontal="center" vertical="center"/>
    </xf>
    <xf numFmtId="0" fontId="75" fillId="26" borderId="0" xfId="0" applyFont="1" applyFill="1" applyAlignment="1" applyProtection="1">
      <alignment horizontal="right" vertical="center"/>
      <protection hidden="1"/>
    </xf>
    <xf numFmtId="0" fontId="75" fillId="26" borderId="0" xfId="0" applyFont="1" applyFill="1" applyAlignment="1" applyProtection="1">
      <alignment horizontal="left" vertical="center"/>
      <protection hidden="1"/>
    </xf>
    <xf numFmtId="0" fontId="0" fillId="0" borderId="0" xfId="0">
      <alignment vertical="center"/>
    </xf>
    <xf numFmtId="0" fontId="13" fillId="41" borderId="0" xfId="44" applyFont="1" applyFill="1" applyBorder="1" applyAlignment="1"/>
    <xf numFmtId="0" fontId="27" fillId="41" borderId="0" xfId="44" applyFont="1" applyFill="1" applyBorder="1" applyAlignment="1">
      <alignment vertical="center"/>
    </xf>
    <xf numFmtId="0" fontId="13" fillId="42" borderId="51" xfId="44" applyFont="1" applyFill="1" applyBorder="1" applyAlignment="1"/>
    <xf numFmtId="0" fontId="13" fillId="42" borderId="17" xfId="44" applyFont="1" applyFill="1" applyBorder="1" applyAlignment="1"/>
    <xf numFmtId="0" fontId="13" fillId="41" borderId="10" xfId="44" applyFont="1" applyFill="1" applyBorder="1" applyAlignment="1"/>
    <xf numFmtId="0" fontId="10" fillId="26" borderId="51" xfId="0" applyFont="1" applyFill="1" applyBorder="1" applyProtection="1">
      <alignment vertical="center"/>
    </xf>
    <xf numFmtId="0" fontId="13" fillId="26" borderId="42" xfId="44" applyFont="1" applyFill="1" applyBorder="1" applyAlignment="1" applyProtection="1">
      <alignment horizontal="center" vertical="center"/>
      <protection hidden="1"/>
    </xf>
    <xf numFmtId="0" fontId="3" fillId="41" borderId="0" xfId="0" applyFont="1" applyFill="1" applyBorder="1" applyProtection="1">
      <alignment vertical="center"/>
    </xf>
    <xf numFmtId="0" fontId="13" fillId="26" borderId="69" xfId="44" applyFont="1" applyFill="1" applyBorder="1" applyAlignment="1" applyProtection="1">
      <alignment horizontal="center" vertical="center"/>
      <protection hidden="1"/>
    </xf>
    <xf numFmtId="38" fontId="13" fillId="30" borderId="140" xfId="35" applyFont="1" applyFill="1" applyBorder="1" applyAlignment="1" applyProtection="1">
      <alignment horizontal="right" vertical="center"/>
      <protection locked="0"/>
    </xf>
    <xf numFmtId="38" fontId="66" fillId="25" borderId="42" xfId="35" applyFont="1" applyFill="1" applyBorder="1" applyProtection="1">
      <alignment vertical="center"/>
    </xf>
    <xf numFmtId="38" fontId="13" fillId="30" borderId="90" xfId="35" applyFont="1" applyFill="1" applyBorder="1" applyAlignment="1" applyProtection="1">
      <alignment horizontal="right" vertical="center"/>
      <protection locked="0"/>
    </xf>
    <xf numFmtId="38" fontId="66" fillId="43" borderId="42" xfId="35" applyFont="1" applyFill="1" applyBorder="1" applyProtection="1">
      <alignment vertical="center"/>
    </xf>
    <xf numFmtId="9" fontId="66" fillId="43" borderId="10" xfId="28" applyFont="1" applyFill="1" applyBorder="1" applyAlignment="1" applyProtection="1">
      <alignment vertical="center"/>
    </xf>
    <xf numFmtId="38" fontId="13" fillId="30" borderId="130" xfId="35" applyFont="1" applyFill="1" applyBorder="1" applyAlignment="1" applyProtection="1">
      <alignment horizontal="right" vertical="center"/>
      <protection locked="0"/>
    </xf>
    <xf numFmtId="0" fontId="13" fillId="25" borderId="70" xfId="0" applyFont="1" applyFill="1" applyBorder="1" applyProtection="1">
      <alignment vertical="center"/>
    </xf>
    <xf numFmtId="0" fontId="13" fillId="25" borderId="97" xfId="0" applyFont="1" applyFill="1" applyBorder="1" applyProtection="1">
      <alignment vertical="center"/>
    </xf>
    <xf numFmtId="0" fontId="27" fillId="25" borderId="0" xfId="0" applyFont="1" applyFill="1" applyBorder="1" applyProtection="1">
      <alignment vertical="center"/>
    </xf>
    <xf numFmtId="0" fontId="13" fillId="25" borderId="16" xfId="0" applyFont="1" applyFill="1" applyBorder="1" applyProtection="1">
      <alignment vertical="center"/>
    </xf>
    <xf numFmtId="0" fontId="13" fillId="25" borderId="11" xfId="0" applyFont="1" applyFill="1" applyBorder="1" applyProtection="1">
      <alignment vertical="center"/>
    </xf>
    <xf numFmtId="0" fontId="27" fillId="25" borderId="11" xfId="0" applyFont="1" applyFill="1" applyBorder="1" applyProtection="1">
      <alignment vertical="center"/>
    </xf>
    <xf numFmtId="38" fontId="13" fillId="30" borderId="44" xfId="35" applyFont="1" applyFill="1" applyBorder="1" applyAlignment="1" applyProtection="1">
      <alignment horizontal="center" vertical="center"/>
      <protection locked="0"/>
    </xf>
    <xf numFmtId="0" fontId="13" fillId="25" borderId="72" xfId="0" applyFont="1" applyFill="1" applyBorder="1" applyProtection="1">
      <alignment vertical="center"/>
    </xf>
    <xf numFmtId="0" fontId="27" fillId="25" borderId="21" xfId="0" applyFont="1" applyFill="1" applyBorder="1" applyProtection="1">
      <alignment vertical="center"/>
    </xf>
    <xf numFmtId="0" fontId="13" fillId="25" borderId="54" xfId="0" applyFont="1" applyFill="1" applyBorder="1" applyProtection="1">
      <alignment vertical="center"/>
    </xf>
    <xf numFmtId="0" fontId="3" fillId="0" borderId="11" xfId="44" applyFont="1" applyBorder="1" applyAlignment="1"/>
    <xf numFmtId="0" fontId="13" fillId="0" borderId="0" xfId="0" applyFont="1">
      <alignment vertical="center"/>
    </xf>
    <xf numFmtId="0" fontId="13" fillId="0" borderId="0" xfId="0" applyFont="1" applyAlignment="1">
      <alignment horizontal="right" vertical="center"/>
    </xf>
    <xf numFmtId="0" fontId="13" fillId="0" borderId="51" xfId="0" applyFont="1" applyBorder="1">
      <alignment vertical="center"/>
    </xf>
    <xf numFmtId="0" fontId="13" fillId="0" borderId="42" xfId="0" applyFont="1" applyBorder="1">
      <alignment vertical="center"/>
    </xf>
    <xf numFmtId="0" fontId="13" fillId="0" borderId="43" xfId="0" applyFont="1" applyBorder="1">
      <alignment vertical="center"/>
    </xf>
    <xf numFmtId="0" fontId="13" fillId="0" borderId="10" xfId="0" applyFont="1" applyBorder="1">
      <alignment vertical="center"/>
    </xf>
    <xf numFmtId="0" fontId="13" fillId="0" borderId="42" xfId="0" applyFont="1" applyBorder="1" applyAlignment="1">
      <alignment horizontal="center" vertical="center"/>
    </xf>
    <xf numFmtId="0" fontId="13" fillId="0" borderId="17" xfId="0" applyFont="1" applyBorder="1">
      <alignment vertical="center"/>
    </xf>
    <xf numFmtId="0" fontId="13" fillId="0" borderId="120" xfId="0" applyFont="1" applyBorder="1">
      <alignment vertical="center"/>
    </xf>
    <xf numFmtId="0" fontId="13" fillId="0" borderId="0" xfId="0" applyFont="1" applyBorder="1">
      <alignment vertical="center"/>
    </xf>
    <xf numFmtId="38" fontId="13" fillId="0" borderId="10" xfId="35" applyFont="1" applyBorder="1">
      <alignment vertical="center"/>
    </xf>
    <xf numFmtId="0" fontId="13" fillId="0" borderId="69" xfId="0" applyFont="1" applyBorder="1">
      <alignment vertical="center"/>
    </xf>
    <xf numFmtId="0" fontId="13" fillId="0" borderId="11" xfId="0" applyFont="1" applyBorder="1">
      <alignment vertical="center"/>
    </xf>
    <xf numFmtId="0" fontId="13" fillId="0" borderId="72" xfId="0" applyFont="1" applyBorder="1">
      <alignment vertical="center"/>
    </xf>
    <xf numFmtId="0" fontId="13" fillId="0" borderId="107" xfId="0" applyFont="1" applyBorder="1">
      <alignment vertical="center"/>
    </xf>
    <xf numFmtId="0" fontId="13" fillId="0" borderId="97" xfId="0" applyFont="1" applyBorder="1">
      <alignment vertical="center"/>
    </xf>
    <xf numFmtId="0" fontId="13" fillId="0" borderId="16" xfId="0" applyFont="1" applyBorder="1">
      <alignment vertical="center"/>
    </xf>
    <xf numFmtId="38" fontId="13" fillId="0" borderId="0" xfId="0" applyNumberFormat="1" applyFont="1">
      <alignment vertical="center"/>
    </xf>
    <xf numFmtId="0" fontId="13" fillId="25" borderId="0" xfId="0" applyFont="1" applyFill="1" applyBorder="1" applyAlignment="1" applyProtection="1">
      <alignment horizontal="right" vertical="center"/>
    </xf>
    <xf numFmtId="0" fontId="13" fillId="25" borderId="0" xfId="0" applyFont="1" applyFill="1" applyBorder="1" applyAlignment="1">
      <alignment horizontal="center" vertical="center"/>
    </xf>
    <xf numFmtId="40" fontId="13" fillId="25" borderId="167" xfId="35" applyNumberFormat="1" applyFont="1" applyFill="1" applyBorder="1" applyAlignment="1" applyProtection="1">
      <alignment horizontal="right" vertical="center"/>
    </xf>
    <xf numFmtId="0" fontId="152" fillId="25" borderId="0" xfId="0" applyFont="1" applyFill="1" applyBorder="1" applyProtection="1">
      <alignment vertical="center"/>
    </xf>
    <xf numFmtId="0" fontId="13" fillId="25" borderId="0" xfId="0" applyFont="1" applyFill="1" applyBorder="1" applyAlignment="1" applyProtection="1">
      <alignment horizontal="left" vertical="center"/>
    </xf>
    <xf numFmtId="9" fontId="13" fillId="25" borderId="167" xfId="28" applyFont="1" applyFill="1" applyBorder="1" applyAlignment="1" applyProtection="1">
      <alignment horizontal="center" vertical="center"/>
      <protection hidden="1"/>
    </xf>
    <xf numFmtId="40" fontId="13" fillId="25" borderId="0" xfId="35" applyNumberFormat="1" applyFont="1" applyFill="1" applyBorder="1" applyAlignment="1" applyProtection="1">
      <alignment horizontal="right" vertical="center"/>
    </xf>
    <xf numFmtId="38" fontId="13" fillId="25" borderId="0" xfId="0" applyNumberFormat="1" applyFont="1" applyFill="1" applyBorder="1">
      <alignment vertical="center"/>
    </xf>
    <xf numFmtId="178" fontId="2" fillId="25" borderId="0" xfId="44" applyNumberFormat="1" applyFont="1" applyFill="1" applyBorder="1" applyAlignment="1" applyProtection="1">
      <alignment horizontal="right" vertical="center"/>
    </xf>
    <xf numFmtId="176" fontId="64" fillId="0" borderId="0" xfId="0" applyNumberFormat="1" applyFont="1" applyFill="1" applyBorder="1" applyAlignment="1" applyProtection="1">
      <alignment horizontal="center" vertical="center"/>
      <protection hidden="1"/>
    </xf>
    <xf numFmtId="0" fontId="13" fillId="25" borderId="10" xfId="44" applyFont="1" applyFill="1" applyBorder="1" applyAlignment="1" applyProtection="1">
      <alignment vertical="center"/>
    </xf>
    <xf numFmtId="0" fontId="3" fillId="25" borderId="0" xfId="44" applyFont="1" applyFill="1" applyBorder="1" applyAlignment="1" applyProtection="1">
      <alignment vertical="center"/>
    </xf>
    <xf numFmtId="0" fontId="0" fillId="25" borderId="0" xfId="44" applyFont="1" applyFill="1" applyBorder="1" applyAlignment="1" applyProtection="1">
      <alignment vertical="center"/>
    </xf>
    <xf numFmtId="0" fontId="13" fillId="26" borderId="172" xfId="44" applyFont="1" applyFill="1" applyBorder="1" applyAlignment="1" applyProtection="1">
      <alignment horizontal="center" vertical="center"/>
    </xf>
    <xf numFmtId="38" fontId="2" fillId="25" borderId="170" xfId="35" applyFont="1" applyFill="1" applyBorder="1" applyAlignment="1" applyProtection="1">
      <alignment horizontal="center" vertical="center"/>
    </xf>
    <xf numFmtId="0" fontId="13" fillId="45" borderId="51" xfId="44" applyFont="1" applyFill="1" applyBorder="1" applyAlignment="1"/>
    <xf numFmtId="0" fontId="13" fillId="45" borderId="42" xfId="44" applyFont="1" applyFill="1" applyBorder="1" applyAlignment="1"/>
    <xf numFmtId="0" fontId="3" fillId="46" borderId="51" xfId="0" applyFont="1" applyFill="1" applyBorder="1" applyProtection="1">
      <alignment vertical="center"/>
    </xf>
    <xf numFmtId="0" fontId="3" fillId="46" borderId="97" xfId="0" applyFont="1" applyFill="1" applyBorder="1" applyProtection="1">
      <alignment vertical="center"/>
    </xf>
    <xf numFmtId="0" fontId="10" fillId="46" borderId="51" xfId="0" applyFont="1" applyFill="1" applyBorder="1" applyProtection="1">
      <alignment vertical="center"/>
    </xf>
    <xf numFmtId="38" fontId="13" fillId="25" borderId="10" xfId="44" applyNumberFormat="1" applyFont="1" applyFill="1" applyBorder="1" applyAlignment="1" applyProtection="1">
      <alignment vertical="center"/>
    </xf>
    <xf numFmtId="2" fontId="68" fillId="25" borderId="10" xfId="44" applyNumberFormat="1" applyFont="1" applyFill="1" applyBorder="1" applyAlignment="1" applyProtection="1">
      <alignment vertical="center"/>
    </xf>
    <xf numFmtId="0" fontId="13" fillId="46" borderId="0" xfId="0" applyFont="1" applyFill="1" applyProtection="1">
      <alignment vertical="center"/>
    </xf>
    <xf numFmtId="178" fontId="13" fillId="46" borderId="10" xfId="0" applyNumberFormat="1" applyFont="1" applyFill="1" applyBorder="1" applyAlignment="1" applyProtection="1">
      <alignment horizontal="right" vertical="center"/>
    </xf>
    <xf numFmtId="178" fontId="13" fillId="46" borderId="10" xfId="0" applyNumberFormat="1" applyFont="1" applyFill="1" applyBorder="1" applyProtection="1">
      <alignment vertical="center"/>
    </xf>
    <xf numFmtId="0" fontId="13" fillId="46" borderId="10" xfId="0" applyFont="1" applyFill="1" applyBorder="1" applyAlignment="1" applyProtection="1">
      <alignment vertical="center" wrapText="1"/>
    </xf>
    <xf numFmtId="0" fontId="13" fillId="46" borderId="10" xfId="0" applyFont="1" applyFill="1" applyBorder="1" applyAlignment="1" applyProtection="1">
      <alignment horizontal="right" vertical="center"/>
    </xf>
    <xf numFmtId="178" fontId="13" fillId="25" borderId="17" xfId="0" applyNumberFormat="1" applyFont="1" applyFill="1" applyBorder="1" applyAlignment="1" applyProtection="1">
      <alignment horizontal="right" vertical="center"/>
    </xf>
    <xf numFmtId="0" fontId="13" fillId="25" borderId="72" xfId="0" applyFont="1" applyFill="1" applyBorder="1" applyAlignment="1" applyProtection="1">
      <alignment horizontal="center" vertical="center" wrapText="1"/>
    </xf>
    <xf numFmtId="0" fontId="13" fillId="25" borderId="21" xfId="0" applyFont="1" applyFill="1" applyBorder="1" applyAlignment="1" applyProtection="1">
      <alignment horizontal="center" vertical="center" wrapText="1"/>
    </xf>
    <xf numFmtId="38" fontId="13" fillId="44" borderId="140" xfId="35" applyFont="1" applyFill="1" applyBorder="1" applyAlignment="1" applyProtection="1"/>
    <xf numFmtId="38" fontId="13" fillId="44" borderId="90" xfId="35" applyFont="1" applyFill="1" applyBorder="1" applyAlignment="1" applyProtection="1"/>
    <xf numFmtId="38" fontId="13" fillId="44" borderId="130" xfId="35" applyFont="1" applyFill="1" applyBorder="1" applyAlignment="1" applyProtection="1"/>
    <xf numFmtId="180" fontId="13" fillId="25" borderId="0" xfId="44" applyNumberFormat="1" applyFont="1" applyFill="1" applyBorder="1" applyAlignment="1" applyProtection="1">
      <alignment vertical="center"/>
    </xf>
    <xf numFmtId="0" fontId="27" fillId="0" borderId="0" xfId="0" applyFont="1">
      <alignment vertical="center"/>
    </xf>
    <xf numFmtId="0" fontId="30" fillId="31" borderId="78" xfId="0" applyFont="1" applyFill="1" applyBorder="1" applyAlignment="1" applyProtection="1">
      <alignment vertical="center"/>
    </xf>
    <xf numFmtId="38" fontId="13" fillId="30" borderId="86" xfId="35" applyFont="1" applyFill="1" applyBorder="1" applyAlignment="1" applyProtection="1">
      <alignment horizontal="right" vertical="center"/>
      <protection locked="0"/>
    </xf>
    <xf numFmtId="0" fontId="27" fillId="0" borderId="0" xfId="0" applyFont="1" applyFill="1" applyAlignment="1" applyProtection="1"/>
    <xf numFmtId="38" fontId="13" fillId="47" borderId="10" xfId="35" applyFont="1" applyFill="1" applyBorder="1">
      <alignment vertical="center"/>
    </xf>
    <xf numFmtId="0" fontId="13" fillId="47" borderId="0" xfId="0" applyFont="1" applyFill="1">
      <alignment vertical="center"/>
    </xf>
    <xf numFmtId="0" fontId="0" fillId="47" borderId="0" xfId="0" applyFill="1">
      <alignment vertical="center"/>
    </xf>
    <xf numFmtId="0" fontId="3" fillId="47" borderId="0" xfId="0" applyFont="1" applyFill="1" applyProtection="1">
      <alignment vertical="center"/>
    </xf>
    <xf numFmtId="0" fontId="3" fillId="41" borderId="0" xfId="0" applyFont="1" applyFill="1" applyBorder="1" applyAlignment="1" applyProtection="1">
      <alignment horizontal="left" vertical="center" wrapText="1"/>
    </xf>
    <xf numFmtId="0" fontId="13" fillId="25" borderId="69" xfId="0" applyFont="1" applyFill="1" applyBorder="1" applyProtection="1">
      <alignment vertical="center"/>
    </xf>
    <xf numFmtId="0" fontId="13" fillId="25" borderId="23" xfId="0" applyFont="1" applyFill="1" applyBorder="1" applyProtection="1">
      <alignment vertical="center"/>
    </xf>
    <xf numFmtId="0" fontId="3" fillId="0" borderId="0" xfId="0" applyFont="1" applyFill="1" applyBorder="1" applyAlignment="1" applyProtection="1">
      <alignment horizontal="left" vertical="center"/>
      <protection hidden="1"/>
    </xf>
    <xf numFmtId="0" fontId="13" fillId="25" borderId="0" xfId="0" quotePrefix="1" applyFont="1" applyFill="1" applyBorder="1" applyProtection="1">
      <alignment vertical="center"/>
    </xf>
    <xf numFmtId="0" fontId="13" fillId="25" borderId="21" xfId="0" quotePrefix="1" applyFont="1" applyFill="1" applyBorder="1" applyProtection="1">
      <alignment vertical="center"/>
    </xf>
    <xf numFmtId="0" fontId="13" fillId="47" borderId="10" xfId="0" applyFont="1" applyFill="1" applyBorder="1">
      <alignment vertical="center"/>
    </xf>
    <xf numFmtId="207" fontId="13" fillId="47" borderId="10" xfId="0" applyNumberFormat="1" applyFont="1" applyFill="1" applyBorder="1">
      <alignment vertical="center"/>
    </xf>
    <xf numFmtId="207" fontId="13" fillId="47" borderId="10" xfId="35" applyNumberFormat="1" applyFont="1" applyFill="1" applyBorder="1">
      <alignment vertical="center"/>
    </xf>
    <xf numFmtId="0" fontId="0" fillId="47" borderId="21" xfId="0" quotePrefix="1" applyFill="1" applyBorder="1">
      <alignment vertical="center"/>
    </xf>
    <xf numFmtId="0" fontId="13" fillId="0" borderId="0" xfId="0" applyFont="1" applyAlignment="1">
      <alignment vertical="center" shrinkToFit="1"/>
    </xf>
    <xf numFmtId="3" fontId="23" fillId="0" borderId="0" xfId="0" applyNumberFormat="1" applyFont="1" applyFill="1" applyBorder="1" applyAlignment="1" applyProtection="1">
      <alignment horizontal="left" vertical="center"/>
      <protection locked="0"/>
    </xf>
    <xf numFmtId="0" fontId="3" fillId="25" borderId="48" xfId="0" applyFont="1" applyFill="1" applyBorder="1" applyAlignment="1" applyProtection="1">
      <alignment horizontal="left" vertical="center"/>
      <protection hidden="1"/>
    </xf>
    <xf numFmtId="202" fontId="27" fillId="26" borderId="132" xfId="35" applyNumberFormat="1" applyFont="1" applyFill="1" applyBorder="1" applyAlignment="1" applyProtection="1">
      <alignment horizontal="center" vertical="center"/>
      <protection locked="0" hidden="1"/>
    </xf>
    <xf numFmtId="0" fontId="10" fillId="26" borderId="71" xfId="44" applyFont="1" applyFill="1" applyBorder="1" applyAlignment="1" applyProtection="1">
      <alignment horizontal="left" vertical="center"/>
      <protection hidden="1"/>
    </xf>
    <xf numFmtId="0" fontId="10" fillId="26" borderId="71" xfId="44" applyFont="1" applyFill="1" applyBorder="1" applyAlignment="1" applyProtection="1">
      <alignment horizontal="left" vertical="center" wrapText="1"/>
      <protection hidden="1"/>
    </xf>
    <xf numFmtId="176" fontId="66" fillId="43" borderId="10" xfId="28" applyNumberFormat="1" applyFont="1" applyFill="1" applyBorder="1" applyAlignment="1" applyProtection="1">
      <alignment vertical="center"/>
    </xf>
    <xf numFmtId="0" fontId="10" fillId="26" borderId="51" xfId="0" applyFont="1" applyFill="1" applyBorder="1" applyAlignment="1" applyProtection="1">
      <alignment vertical="center"/>
    </xf>
    <xf numFmtId="0" fontId="10" fillId="26" borderId="42" xfId="44" applyFont="1" applyFill="1" applyBorder="1" applyAlignment="1" applyProtection="1">
      <alignment horizontal="left" vertical="center" wrapText="1"/>
      <protection hidden="1"/>
    </xf>
    <xf numFmtId="0" fontId="10" fillId="26" borderId="42" xfId="44" applyFont="1" applyFill="1" applyBorder="1" applyAlignment="1" applyProtection="1">
      <alignment horizontal="left" vertical="center"/>
      <protection hidden="1"/>
    </xf>
    <xf numFmtId="0" fontId="0" fillId="25" borderId="112" xfId="0" applyFont="1" applyFill="1" applyBorder="1" applyAlignment="1">
      <alignment horizontal="left" vertical="center"/>
    </xf>
    <xf numFmtId="177" fontId="25" fillId="25" borderId="10" xfId="28" applyNumberFormat="1" applyFont="1" applyFill="1" applyBorder="1" applyAlignment="1" applyProtection="1">
      <alignment vertical="center"/>
    </xf>
    <xf numFmtId="177" fontId="66" fillId="25" borderId="10" xfId="28" applyNumberFormat="1" applyFont="1" applyFill="1" applyBorder="1" applyAlignment="1" applyProtection="1">
      <alignment vertical="center"/>
    </xf>
    <xf numFmtId="0" fontId="3" fillId="25" borderId="47" xfId="0" applyFont="1" applyFill="1" applyBorder="1" applyAlignment="1" applyProtection="1">
      <alignment horizontal="left" vertical="center"/>
      <protection hidden="1"/>
    </xf>
    <xf numFmtId="40" fontId="13" fillId="25" borderId="10" xfId="35" applyNumberFormat="1" applyFont="1" applyFill="1" applyBorder="1" applyAlignment="1">
      <alignment horizontal="right" vertical="center"/>
    </xf>
    <xf numFmtId="40" fontId="13" fillId="25" borderId="10" xfId="0" applyNumberFormat="1" applyFont="1" applyFill="1" applyBorder="1">
      <alignment vertical="center"/>
    </xf>
    <xf numFmtId="38" fontId="13" fillId="25" borderId="10" xfId="0" applyNumberFormat="1" applyFont="1" applyFill="1" applyBorder="1">
      <alignment vertical="center"/>
    </xf>
    <xf numFmtId="208" fontId="13" fillId="0" borderId="10" xfId="28" applyNumberFormat="1" applyFont="1" applyBorder="1" applyAlignment="1"/>
    <xf numFmtId="0" fontId="13" fillId="0" borderId="70" xfId="44" applyFont="1" applyBorder="1" applyAlignment="1">
      <alignment horizontal="right"/>
    </xf>
    <xf numFmtId="206" fontId="13" fillId="0" borderId="51" xfId="44" applyNumberFormat="1" applyFont="1" applyBorder="1" applyAlignment="1"/>
    <xf numFmtId="0" fontId="2" fillId="0" borderId="97" xfId="44" applyBorder="1" applyAlignment="1"/>
    <xf numFmtId="0" fontId="13" fillId="0" borderId="70" xfId="44" applyFont="1" applyBorder="1" applyAlignment="1">
      <alignment horizontal="left"/>
    </xf>
    <xf numFmtId="0" fontId="0" fillId="0" borderId="0" xfId="0">
      <alignment vertical="center"/>
    </xf>
    <xf numFmtId="0" fontId="3" fillId="0" borderId="0" xfId="0" applyFont="1" applyFill="1" applyBorder="1" applyAlignment="1" applyProtection="1">
      <alignment horizontal="left" vertical="center"/>
    </xf>
    <xf numFmtId="0" fontId="3" fillId="24" borderId="0" xfId="0" applyFont="1" applyFill="1" applyBorder="1" applyAlignment="1" applyProtection="1">
      <alignment horizontal="left" vertical="center"/>
    </xf>
    <xf numFmtId="0" fontId="0" fillId="0" borderId="0" xfId="0" applyAlignment="1">
      <alignment horizontal="center" vertical="center"/>
    </xf>
    <xf numFmtId="0" fontId="0" fillId="48" borderId="10" xfId="0" applyFill="1" applyBorder="1">
      <alignment vertical="center"/>
    </xf>
    <xf numFmtId="0" fontId="0" fillId="49" borderId="10" xfId="0" applyFill="1" applyBorder="1">
      <alignment vertical="center"/>
    </xf>
    <xf numFmtId="0" fontId="0" fillId="48" borderId="10" xfId="0" applyFill="1" applyBorder="1" applyAlignment="1">
      <alignment horizontal="center" vertical="center"/>
    </xf>
    <xf numFmtId="0" fontId="0" fillId="0" borderId="10" xfId="0" applyBorder="1" applyAlignment="1">
      <alignment vertical="center" shrinkToFit="1"/>
    </xf>
    <xf numFmtId="0" fontId="0" fillId="0" borderId="10" xfId="0" applyBorder="1" applyAlignment="1">
      <alignment horizontal="center" vertical="center"/>
    </xf>
    <xf numFmtId="38" fontId="0" fillId="0" borderId="10" xfId="0" applyNumberFormat="1" applyBorder="1">
      <alignment vertical="center"/>
    </xf>
    <xf numFmtId="196" fontId="0" fillId="0" borderId="10" xfId="0" applyNumberFormat="1" applyBorder="1">
      <alignment vertical="center"/>
    </xf>
    <xf numFmtId="0" fontId="34" fillId="45" borderId="0" xfId="44" applyFont="1" applyFill="1" applyBorder="1" applyAlignment="1" applyProtection="1">
      <alignment vertical="center"/>
    </xf>
    <xf numFmtId="176" fontId="13" fillId="45" borderId="0" xfId="44" applyNumberFormat="1" applyFont="1" applyFill="1" applyBorder="1" applyAlignment="1" applyProtection="1">
      <alignment horizontal="left" vertical="center"/>
    </xf>
    <xf numFmtId="0" fontId="13" fillId="45" borderId="0" xfId="44" applyFont="1" applyFill="1" applyBorder="1" applyAlignment="1" applyProtection="1">
      <alignment horizontal="right" vertical="center"/>
    </xf>
    <xf numFmtId="0" fontId="13" fillId="45" borderId="10" xfId="44" applyFont="1" applyFill="1" applyBorder="1" applyAlignment="1" applyProtection="1">
      <alignment vertical="center"/>
    </xf>
    <xf numFmtId="0" fontId="3" fillId="45" borderId="0" xfId="44" applyFont="1" applyFill="1" applyBorder="1" applyAlignment="1" applyProtection="1">
      <alignment vertical="center"/>
    </xf>
    <xf numFmtId="0" fontId="0" fillId="0" borderId="51" xfId="0" applyBorder="1">
      <alignment vertical="center"/>
    </xf>
    <xf numFmtId="0" fontId="0" fillId="0" borderId="42" xfId="0" applyBorder="1">
      <alignment vertical="center"/>
    </xf>
    <xf numFmtId="0" fontId="0" fillId="0" borderId="17" xfId="0" applyBorder="1">
      <alignment vertical="center"/>
    </xf>
    <xf numFmtId="9" fontId="65" fillId="47" borderId="10" xfId="0" applyNumberFormat="1" applyFont="1" applyFill="1" applyBorder="1" applyProtection="1">
      <alignment vertical="center"/>
      <protection hidden="1"/>
    </xf>
    <xf numFmtId="0" fontId="0" fillId="48" borderId="10" xfId="0" applyFill="1" applyBorder="1" applyAlignment="1">
      <alignment horizontal="right" vertical="center"/>
    </xf>
    <xf numFmtId="0" fontId="3" fillId="0" borderId="0" xfId="0" applyFont="1" applyFill="1" applyBorder="1" applyProtection="1">
      <alignment vertical="center"/>
    </xf>
    <xf numFmtId="0" fontId="3" fillId="45" borderId="224" xfId="0" applyFont="1" applyFill="1" applyBorder="1" applyProtection="1">
      <alignment vertical="center"/>
    </xf>
    <xf numFmtId="0" fontId="3" fillId="45" borderId="226" xfId="0" applyFont="1" applyFill="1" applyBorder="1" applyProtection="1">
      <alignment vertical="center"/>
    </xf>
    <xf numFmtId="0" fontId="3" fillId="45" borderId="225" xfId="0" applyFont="1" applyFill="1" applyBorder="1" applyAlignment="1" applyProtection="1">
      <alignment horizontal="center" vertical="center"/>
    </xf>
    <xf numFmtId="0" fontId="3" fillId="45" borderId="227" xfId="0" applyFont="1" applyFill="1" applyBorder="1" applyAlignment="1" applyProtection="1">
      <alignment horizontal="center" vertical="center"/>
    </xf>
    <xf numFmtId="0" fontId="3" fillId="45" borderId="228" xfId="0" applyFont="1" applyFill="1" applyBorder="1" applyAlignment="1" applyProtection="1">
      <alignment horizontal="center" vertical="center"/>
    </xf>
    <xf numFmtId="0" fontId="3" fillId="45" borderId="229" xfId="0" applyFont="1" applyFill="1" applyBorder="1" applyProtection="1">
      <alignment vertical="center"/>
    </xf>
    <xf numFmtId="0" fontId="3" fillId="45" borderId="230" xfId="0" applyFont="1" applyFill="1" applyBorder="1" applyProtection="1">
      <alignment vertical="center"/>
    </xf>
    <xf numFmtId="0" fontId="3" fillId="45" borderId="231" xfId="0" applyFont="1" applyFill="1" applyBorder="1" applyProtection="1">
      <alignment vertical="center"/>
    </xf>
    <xf numFmtId="0" fontId="3" fillId="45" borderId="232" xfId="0" applyFont="1" applyFill="1" applyBorder="1" applyProtection="1">
      <alignment vertical="center"/>
    </xf>
    <xf numFmtId="0" fontId="3" fillId="45" borderId="233" xfId="0" applyFont="1" applyFill="1" applyBorder="1" applyProtection="1">
      <alignment vertical="center"/>
    </xf>
    <xf numFmtId="0" fontId="3" fillId="45" borderId="234" xfId="0" applyFont="1" applyFill="1" applyBorder="1" applyProtection="1">
      <alignment vertical="center"/>
    </xf>
    <xf numFmtId="0" fontId="0" fillId="0" borderId="0" xfId="0">
      <alignment vertical="center"/>
    </xf>
    <xf numFmtId="0" fontId="3" fillId="0" borderId="0" xfId="0" applyFont="1" applyFill="1" applyAlignment="1" applyProtection="1">
      <alignment vertical="center" shrinkToFit="1"/>
    </xf>
    <xf numFmtId="0" fontId="1" fillId="26" borderId="51" xfId="44" applyFont="1" applyFill="1" applyBorder="1" applyAlignment="1">
      <alignment horizontal="left"/>
    </xf>
    <xf numFmtId="0" fontId="1" fillId="38" borderId="51" xfId="44" applyFont="1" applyFill="1" applyBorder="1" applyAlignment="1" applyProtection="1">
      <alignment horizontal="left" vertical="center"/>
      <protection hidden="1"/>
    </xf>
    <xf numFmtId="0" fontId="1" fillId="38" borderId="42" xfId="44" applyFont="1" applyFill="1" applyBorder="1" applyAlignment="1">
      <alignment horizontal="left"/>
    </xf>
    <xf numFmtId="0" fontId="1" fillId="38" borderId="17" xfId="44" applyFont="1" applyFill="1" applyBorder="1" applyAlignment="1">
      <alignment horizontal="left"/>
    </xf>
    <xf numFmtId="0" fontId="1" fillId="36" borderId="51" xfId="44" applyFont="1" applyFill="1" applyBorder="1" applyAlignment="1">
      <alignment horizontal="left"/>
    </xf>
    <xf numFmtId="189" fontId="1" fillId="36" borderId="17" xfId="44" applyNumberFormat="1" applyFont="1" applyFill="1" applyBorder="1" applyAlignment="1">
      <alignment horizontal="left"/>
    </xf>
    <xf numFmtId="0" fontId="1" fillId="36" borderId="10" xfId="44" applyFont="1" applyFill="1" applyBorder="1" applyAlignment="1">
      <alignment horizontal="left"/>
    </xf>
    <xf numFmtId="0" fontId="1" fillId="25" borderId="10" xfId="44" applyFont="1" applyFill="1" applyBorder="1" applyAlignment="1">
      <alignment horizontal="left"/>
    </xf>
    <xf numFmtId="0" fontId="1" fillId="38" borderId="10" xfId="44" applyFont="1" applyFill="1" applyBorder="1" applyAlignment="1">
      <alignment horizontal="center"/>
    </xf>
    <xf numFmtId="0" fontId="1" fillId="36" borderId="69" xfId="44" applyFont="1" applyFill="1" applyBorder="1" applyAlignment="1">
      <alignment horizontal="left"/>
    </xf>
    <xf numFmtId="189" fontId="1" fillId="36" borderId="97" xfId="44" applyNumberFormat="1" applyFont="1" applyFill="1" applyBorder="1" applyAlignment="1">
      <alignment horizontal="center"/>
    </xf>
    <xf numFmtId="0" fontId="1" fillId="36" borderId="43" xfId="44" applyFont="1" applyFill="1" applyBorder="1" applyAlignment="1">
      <alignment horizontal="center"/>
    </xf>
    <xf numFmtId="0" fontId="1" fillId="25" borderId="10" xfId="44" applyFont="1" applyFill="1" applyBorder="1" applyAlignment="1">
      <alignment horizontal="center"/>
    </xf>
    <xf numFmtId="0" fontId="1" fillId="24" borderId="10" xfId="50" applyFill="1" applyBorder="1">
      <alignment vertical="center"/>
    </xf>
    <xf numFmtId="0" fontId="1" fillId="24" borderId="10" xfId="50" applyFont="1" applyFill="1" applyBorder="1">
      <alignment vertical="center"/>
    </xf>
    <xf numFmtId="0" fontId="157" fillId="0" borderId="0" xfId="44" applyFont="1" applyFill="1" applyBorder="1" applyAlignment="1">
      <alignment vertical="center"/>
    </xf>
    <xf numFmtId="0" fontId="159" fillId="41" borderId="0" xfId="44" applyFont="1" applyFill="1" applyBorder="1" applyAlignment="1">
      <alignment vertical="center"/>
    </xf>
    <xf numFmtId="0" fontId="161" fillId="0" borderId="0" xfId="44" applyFont="1" applyBorder="1" applyAlignment="1"/>
    <xf numFmtId="0" fontId="162" fillId="0" borderId="0" xfId="44" applyFont="1" applyBorder="1" applyAlignment="1"/>
    <xf numFmtId="0" fontId="13" fillId="0" borderId="0" xfId="0" applyFont="1" applyFill="1">
      <alignment vertical="center"/>
    </xf>
    <xf numFmtId="0" fontId="0" fillId="0" borderId="0" xfId="0" applyFont="1">
      <alignment vertical="center"/>
    </xf>
    <xf numFmtId="0" fontId="0" fillId="0" borderId="0" xfId="0" applyBorder="1">
      <alignment vertical="center"/>
    </xf>
    <xf numFmtId="0" fontId="0" fillId="0" borderId="24" xfId="0" applyFont="1" applyBorder="1">
      <alignment vertical="center"/>
    </xf>
    <xf numFmtId="0" fontId="0" fillId="0" borderId="19" xfId="0" applyFont="1" applyBorder="1">
      <alignment vertical="center"/>
    </xf>
    <xf numFmtId="0" fontId="0" fillId="0" borderId="236" xfId="0" applyFont="1" applyBorder="1">
      <alignment vertical="center"/>
    </xf>
    <xf numFmtId="0" fontId="0" fillId="0" borderId="239" xfId="0" applyFont="1" applyBorder="1">
      <alignment vertical="center"/>
    </xf>
    <xf numFmtId="209" fontId="0" fillId="0" borderId="236" xfId="0" applyNumberFormat="1" applyFont="1" applyBorder="1">
      <alignment vertical="center"/>
    </xf>
    <xf numFmtId="209" fontId="0" fillId="0" borderId="19" xfId="0" applyNumberFormat="1" applyFont="1" applyBorder="1">
      <alignment vertical="center"/>
    </xf>
    <xf numFmtId="0" fontId="0" fillId="0" borderId="240" xfId="0" applyFont="1" applyBorder="1" applyAlignment="1">
      <alignment horizontal="center" vertical="center"/>
    </xf>
    <xf numFmtId="0" fontId="0" fillId="0" borderId="19" xfId="0" applyFont="1" applyBorder="1" applyAlignment="1">
      <alignment horizontal="center" vertical="center"/>
    </xf>
    <xf numFmtId="0" fontId="5" fillId="0" borderId="23" xfId="0" applyFont="1" applyBorder="1">
      <alignment vertical="center"/>
    </xf>
    <xf numFmtId="0" fontId="5" fillId="0" borderId="0" xfId="0" applyFont="1" applyBorder="1">
      <alignment vertical="center"/>
    </xf>
    <xf numFmtId="0" fontId="75" fillId="24" borderId="0" xfId="0" applyFont="1" applyFill="1" applyAlignment="1" applyProtection="1">
      <alignment horizontal="right" vertical="center"/>
    </xf>
    <xf numFmtId="0" fontId="75" fillId="24" borderId="0" xfId="0" applyFont="1" applyFill="1" applyAlignment="1" applyProtection="1">
      <alignment horizontal="left" vertical="center"/>
    </xf>
    <xf numFmtId="204" fontId="27" fillId="26" borderId="44" xfId="0" applyNumberFormat="1" applyFont="1" applyFill="1" applyBorder="1" applyAlignment="1" applyProtection="1">
      <alignment horizontal="center" vertical="center"/>
      <protection locked="0"/>
    </xf>
    <xf numFmtId="0" fontId="0" fillId="0" borderId="0" xfId="0" applyFont="1" applyProtection="1">
      <alignment vertical="center"/>
    </xf>
    <xf numFmtId="0" fontId="163" fillId="50" borderId="78" xfId="0" applyFont="1" applyFill="1" applyBorder="1" applyProtection="1">
      <alignment vertical="center"/>
    </xf>
    <xf numFmtId="0" fontId="165" fillId="50" borderId="79" xfId="0" applyFont="1" applyFill="1" applyBorder="1" applyProtection="1">
      <alignment vertical="center"/>
    </xf>
    <xf numFmtId="0" fontId="165" fillId="50" borderId="80" xfId="0" applyFont="1" applyFill="1" applyBorder="1" applyProtection="1">
      <alignment vertical="center"/>
    </xf>
    <xf numFmtId="0" fontId="0" fillId="0" borderId="122" xfId="0" applyFont="1" applyBorder="1" applyProtection="1">
      <alignment vertical="center"/>
    </xf>
    <xf numFmtId="0" fontId="0" fillId="0" borderId="241" xfId="0" applyFont="1" applyBorder="1" applyProtection="1">
      <alignment vertical="center"/>
    </xf>
    <xf numFmtId="0" fontId="0" fillId="0" borderId="242" xfId="0" applyFont="1" applyBorder="1" applyProtection="1">
      <alignment vertical="center"/>
    </xf>
    <xf numFmtId="0" fontId="0" fillId="0" borderId="42" xfId="0" applyFont="1" applyBorder="1" applyProtection="1">
      <alignment vertical="center"/>
    </xf>
    <xf numFmtId="0" fontId="0" fillId="0" borderId="0" xfId="0" applyBorder="1" applyProtection="1">
      <alignment vertical="center"/>
    </xf>
    <xf numFmtId="0" fontId="0" fillId="0" borderId="70" xfId="0" applyFont="1" applyBorder="1" applyProtection="1">
      <alignment vertical="center"/>
    </xf>
    <xf numFmtId="0" fontId="0" fillId="0" borderId="239" xfId="0" applyFont="1" applyBorder="1" applyProtection="1">
      <alignment vertical="center"/>
    </xf>
    <xf numFmtId="0" fontId="0" fillId="0" borderId="236" xfId="0" applyFont="1" applyBorder="1" applyProtection="1">
      <alignment vertical="center"/>
    </xf>
    <xf numFmtId="0" fontId="163" fillId="51" borderId="23" xfId="0" applyFont="1" applyFill="1" applyBorder="1" applyProtection="1">
      <alignment vertical="center"/>
    </xf>
    <xf numFmtId="0" fontId="165" fillId="51" borderId="0" xfId="0" applyFont="1" applyFill="1" applyBorder="1" applyProtection="1">
      <alignment vertical="center"/>
    </xf>
    <xf numFmtId="0" fontId="165" fillId="51" borderId="20" xfId="0" applyFont="1" applyFill="1" applyBorder="1" applyProtection="1">
      <alignment vertical="center"/>
    </xf>
    <xf numFmtId="0" fontId="0" fillId="0" borderId="23" xfId="0" applyFont="1" applyBorder="1" applyProtection="1">
      <alignment vertical="center"/>
    </xf>
    <xf numFmtId="0" fontId="0" fillId="0" borderId="0" xfId="0" applyFont="1" applyBorder="1" applyProtection="1">
      <alignment vertical="center"/>
    </xf>
    <xf numFmtId="0" fontId="0" fillId="0" borderId="20" xfId="0" applyFont="1" applyBorder="1" applyProtection="1">
      <alignment vertical="center"/>
    </xf>
    <xf numFmtId="0" fontId="0" fillId="0" borderId="252" xfId="0" applyFont="1" applyBorder="1" applyProtection="1">
      <alignment vertical="center"/>
    </xf>
    <xf numFmtId="0" fontId="0" fillId="0" borderId="238" xfId="0" applyFont="1" applyBorder="1" applyAlignment="1" applyProtection="1">
      <alignment horizontal="center" vertical="center"/>
    </xf>
    <xf numFmtId="0" fontId="0" fillId="0" borderId="237" xfId="0" applyFont="1" applyBorder="1" applyProtection="1">
      <alignment vertical="center"/>
    </xf>
    <xf numFmtId="0" fontId="0" fillId="0" borderId="248" xfId="0" applyFont="1" applyBorder="1" applyAlignment="1" applyProtection="1">
      <alignment horizontal="center" vertical="center"/>
    </xf>
    <xf numFmtId="0" fontId="163" fillId="51" borderId="77" xfId="0" applyFont="1" applyFill="1" applyBorder="1" applyProtection="1">
      <alignment vertical="center"/>
    </xf>
    <xf numFmtId="0" fontId="163" fillId="51" borderId="70" xfId="0" applyFont="1" applyFill="1" applyBorder="1" applyProtection="1">
      <alignment vertical="center"/>
    </xf>
    <xf numFmtId="0" fontId="163" fillId="51" borderId="73" xfId="0" applyFont="1" applyFill="1" applyBorder="1" applyProtection="1">
      <alignment vertical="center"/>
    </xf>
    <xf numFmtId="0" fontId="0" fillId="0" borderId="236" xfId="0" applyBorder="1" applyProtection="1">
      <alignment vertical="center"/>
    </xf>
    <xf numFmtId="2" fontId="0" fillId="0" borderId="238" xfId="0" applyNumberFormat="1" applyFont="1" applyBorder="1" applyProtection="1">
      <alignment vertical="center"/>
    </xf>
    <xf numFmtId="0" fontId="0" fillId="0" borderId="254" xfId="0" applyFont="1" applyBorder="1" applyProtection="1">
      <alignment vertical="center"/>
    </xf>
    <xf numFmtId="0" fontId="0" fillId="0" borderId="238" xfId="0" applyBorder="1" applyAlignment="1" applyProtection="1">
      <alignment horizontal="center" vertical="center"/>
    </xf>
    <xf numFmtId="0" fontId="0" fillId="0" borderId="244" xfId="0" applyFont="1" applyBorder="1" applyProtection="1">
      <alignment vertical="center"/>
    </xf>
    <xf numFmtId="0" fontId="13" fillId="0" borderId="252" xfId="0" applyFont="1" applyBorder="1" applyAlignment="1" applyProtection="1">
      <alignment horizontal="right" vertical="center"/>
    </xf>
    <xf numFmtId="0" fontId="0" fillId="0" borderId="255" xfId="0" applyFont="1" applyBorder="1" applyProtection="1">
      <alignment vertical="center"/>
    </xf>
    <xf numFmtId="0" fontId="13" fillId="0" borderId="254" xfId="0" applyFont="1" applyBorder="1" applyProtection="1">
      <alignment vertical="center"/>
    </xf>
    <xf numFmtId="0" fontId="0" fillId="0" borderId="250" xfId="0" applyFont="1" applyBorder="1" applyAlignment="1" applyProtection="1">
      <alignment horizontal="center" vertical="center"/>
    </xf>
    <xf numFmtId="0" fontId="0" fillId="0" borderId="19" xfId="0" applyBorder="1" applyProtection="1">
      <alignment vertical="center"/>
    </xf>
    <xf numFmtId="0" fontId="163" fillId="50" borderId="79" xfId="0" applyFont="1" applyFill="1" applyBorder="1" applyProtection="1">
      <alignment vertical="center"/>
    </xf>
    <xf numFmtId="0" fontId="163" fillId="50" borderId="80" xfId="0" applyFont="1" applyFill="1" applyBorder="1" applyProtection="1">
      <alignment vertical="center"/>
    </xf>
    <xf numFmtId="0" fontId="5" fillId="0" borderId="23" xfId="0" applyFont="1" applyBorder="1" applyProtection="1">
      <alignment vertical="center"/>
    </xf>
    <xf numFmtId="0" fontId="0" fillId="0" borderId="235" xfId="0" applyFont="1" applyBorder="1" applyProtection="1">
      <alignment vertical="center"/>
    </xf>
    <xf numFmtId="2" fontId="0" fillId="0" borderId="236" xfId="0" applyNumberFormat="1" applyFont="1" applyBorder="1" applyProtection="1">
      <alignment vertical="center"/>
    </xf>
    <xf numFmtId="0" fontId="0" fillId="0" borderId="24" xfId="0" applyBorder="1" applyProtection="1">
      <alignment vertical="center"/>
    </xf>
    <xf numFmtId="0" fontId="0" fillId="0" borderId="257" xfId="0" applyFont="1" applyBorder="1" applyProtection="1">
      <alignment vertical="center"/>
    </xf>
    <xf numFmtId="0" fontId="0" fillId="0" borderId="258" xfId="0" applyFont="1" applyBorder="1" applyProtection="1">
      <alignment vertical="center"/>
    </xf>
    <xf numFmtId="0" fontId="0" fillId="0" borderId="0" xfId="0">
      <alignment vertical="center"/>
    </xf>
    <xf numFmtId="0" fontId="0" fillId="0" borderId="0" xfId="0">
      <alignment vertical="center"/>
    </xf>
    <xf numFmtId="0" fontId="166" fillId="0" borderId="0" xfId="0" applyFont="1" applyProtection="1">
      <alignment vertical="center"/>
    </xf>
    <xf numFmtId="0" fontId="0" fillId="0" borderId="260" xfId="0" applyFont="1" applyBorder="1" applyProtection="1">
      <alignment vertical="center"/>
    </xf>
    <xf numFmtId="0" fontId="0" fillId="0" borderId="261" xfId="0" applyFont="1" applyBorder="1" applyProtection="1">
      <alignment vertical="center"/>
    </xf>
    <xf numFmtId="0" fontId="0" fillId="0" borderId="237" xfId="0" applyBorder="1" applyProtection="1">
      <alignment vertical="center"/>
    </xf>
    <xf numFmtId="0" fontId="0" fillId="0" borderId="263" xfId="0" applyFont="1" applyBorder="1" applyProtection="1">
      <alignment vertical="center"/>
    </xf>
    <xf numFmtId="0" fontId="163" fillId="41" borderId="23" xfId="0" applyFont="1" applyFill="1" applyBorder="1" applyProtection="1">
      <alignment vertical="center"/>
    </xf>
    <xf numFmtId="0" fontId="165" fillId="41" borderId="0" xfId="0" applyFont="1" applyFill="1" applyBorder="1" applyProtection="1">
      <alignment vertical="center"/>
    </xf>
    <xf numFmtId="0" fontId="5" fillId="48" borderId="0" xfId="0" applyFont="1" applyFill="1" applyBorder="1" applyProtection="1">
      <alignment vertical="center"/>
    </xf>
    <xf numFmtId="0" fontId="0" fillId="48" borderId="0" xfId="0" applyFont="1" applyFill="1" applyBorder="1" applyProtection="1">
      <alignment vertical="center"/>
    </xf>
    <xf numFmtId="0" fontId="0" fillId="48" borderId="20" xfId="0" applyFont="1" applyFill="1" applyBorder="1" applyProtection="1">
      <alignment vertical="center"/>
    </xf>
    <xf numFmtId="0" fontId="0" fillId="48" borderId="0" xfId="0" applyFont="1" applyFill="1" applyBorder="1" applyAlignment="1" applyProtection="1">
      <alignment horizontal="right" vertical="center"/>
    </xf>
    <xf numFmtId="0" fontId="0" fillId="0" borderId="0" xfId="0">
      <alignment vertical="center"/>
    </xf>
    <xf numFmtId="0" fontId="5" fillId="48" borderId="264" xfId="0" applyFont="1" applyFill="1" applyBorder="1" applyProtection="1">
      <alignment vertical="center"/>
    </xf>
    <xf numFmtId="0" fontId="5" fillId="48" borderId="235" xfId="0" applyFont="1" applyFill="1" applyBorder="1" applyProtection="1">
      <alignment vertical="center"/>
    </xf>
    <xf numFmtId="0" fontId="0" fillId="48" borderId="236" xfId="0" applyFill="1" applyBorder="1" applyProtection="1">
      <alignment vertical="center"/>
    </xf>
    <xf numFmtId="0" fontId="5" fillId="48" borderId="265" xfId="0" applyFont="1" applyFill="1" applyBorder="1" applyProtection="1">
      <alignment vertical="center"/>
    </xf>
    <xf numFmtId="0" fontId="0" fillId="48" borderId="254" xfId="0" applyFill="1" applyBorder="1" applyProtection="1">
      <alignment vertical="center"/>
    </xf>
    <xf numFmtId="0" fontId="5" fillId="0" borderId="77" xfId="0" applyFont="1" applyBorder="1" applyProtection="1">
      <alignment vertical="center"/>
    </xf>
    <xf numFmtId="0" fontId="5" fillId="48" borderId="69" xfId="0" applyFont="1" applyFill="1" applyBorder="1" applyProtection="1">
      <alignment vertical="center"/>
    </xf>
    <xf numFmtId="0" fontId="5" fillId="48" borderId="267" xfId="0" applyFont="1" applyFill="1" applyBorder="1" applyProtection="1">
      <alignment vertical="center"/>
    </xf>
    <xf numFmtId="0" fontId="0" fillId="0" borderId="10" xfId="0" applyFill="1" applyBorder="1">
      <alignment vertical="center"/>
    </xf>
    <xf numFmtId="0" fontId="0" fillId="0" borderId="0" xfId="0" applyFill="1" applyBorder="1">
      <alignment vertical="center"/>
    </xf>
    <xf numFmtId="0" fontId="0" fillId="0" borderId="266" xfId="0" applyFont="1" applyBorder="1" applyAlignment="1" applyProtection="1">
      <alignment horizontal="center" vertical="center"/>
    </xf>
    <xf numFmtId="0" fontId="0" fillId="41" borderId="254" xfId="0" applyFont="1" applyFill="1" applyBorder="1" applyAlignment="1" applyProtection="1">
      <alignment horizontal="right" vertical="center"/>
    </xf>
    <xf numFmtId="0" fontId="0" fillId="41" borderId="236" xfId="0" applyFont="1" applyFill="1" applyBorder="1" applyAlignment="1" applyProtection="1">
      <alignment horizontal="right" vertical="center"/>
    </xf>
    <xf numFmtId="0" fontId="5" fillId="48" borderId="72" xfId="0" applyFont="1" applyFill="1" applyBorder="1" applyProtection="1">
      <alignment vertical="center"/>
    </xf>
    <xf numFmtId="0" fontId="0" fillId="41" borderId="21" xfId="0" applyFont="1" applyFill="1" applyBorder="1" applyAlignment="1" applyProtection="1">
      <alignment horizontal="right" vertical="center"/>
    </xf>
    <xf numFmtId="0" fontId="0" fillId="0" borderId="269" xfId="0" applyFont="1" applyBorder="1" applyProtection="1">
      <alignment vertical="center"/>
    </xf>
    <xf numFmtId="0" fontId="0" fillId="0" borderId="71" xfId="0" applyFont="1" applyBorder="1" applyProtection="1">
      <alignment vertical="center"/>
    </xf>
    <xf numFmtId="0" fontId="5" fillId="48" borderId="11" xfId="0" applyFont="1" applyFill="1" applyBorder="1" applyAlignment="1" applyProtection="1">
      <alignment vertical="center" shrinkToFit="1"/>
    </xf>
    <xf numFmtId="211" fontId="5" fillId="48" borderId="247" xfId="0" applyNumberFormat="1" applyFont="1" applyFill="1" applyBorder="1" applyAlignment="1" applyProtection="1">
      <alignment horizontal="center" vertical="center"/>
    </xf>
    <xf numFmtId="0" fontId="0" fillId="0" borderId="241" xfId="0" applyBorder="1" applyProtection="1">
      <alignment vertical="center"/>
    </xf>
    <xf numFmtId="0" fontId="7" fillId="48" borderId="267" xfId="0" applyFont="1" applyFill="1" applyBorder="1" applyAlignment="1" applyProtection="1">
      <alignment horizontal="center" vertical="center"/>
    </xf>
    <xf numFmtId="0" fontId="5" fillId="41" borderId="77" xfId="0" applyFont="1" applyFill="1" applyBorder="1" applyProtection="1">
      <alignment vertical="center"/>
    </xf>
    <xf numFmtId="0" fontId="0" fillId="41" borderId="70" xfId="0" applyFont="1" applyFill="1" applyBorder="1" applyProtection="1">
      <alignment vertical="center"/>
    </xf>
    <xf numFmtId="0" fontId="0" fillId="41" borderId="73" xfId="0" applyFont="1" applyFill="1" applyBorder="1" applyProtection="1">
      <alignment vertical="center"/>
    </xf>
    <xf numFmtId="0" fontId="0" fillId="41" borderId="23" xfId="0" applyFont="1" applyFill="1" applyBorder="1" applyProtection="1">
      <alignment vertical="center"/>
    </xf>
    <xf numFmtId="0" fontId="0" fillId="48" borderId="245" xfId="0" applyFont="1" applyFill="1" applyBorder="1" applyProtection="1">
      <alignment vertical="center"/>
    </xf>
    <xf numFmtId="0" fontId="0" fillId="48" borderId="246" xfId="0" applyFont="1" applyFill="1" applyBorder="1" applyProtection="1">
      <alignment vertical="center"/>
    </xf>
    <xf numFmtId="0" fontId="0" fillId="41" borderId="236" xfId="0" applyFont="1" applyFill="1" applyBorder="1" applyProtection="1">
      <alignment vertical="center"/>
    </xf>
    <xf numFmtId="0" fontId="0" fillId="41" borderId="236" xfId="0" applyFill="1" applyBorder="1" applyProtection="1">
      <alignment vertical="center"/>
    </xf>
    <xf numFmtId="0" fontId="0" fillId="41" borderId="256" xfId="0" applyFont="1" applyFill="1" applyBorder="1" applyProtection="1">
      <alignment vertical="center"/>
    </xf>
    <xf numFmtId="0" fontId="0" fillId="41" borderId="256" xfId="0" applyFill="1" applyBorder="1" applyProtection="1">
      <alignment vertical="center"/>
    </xf>
    <xf numFmtId="0" fontId="5" fillId="48" borderId="11" xfId="0" applyFont="1" applyFill="1" applyBorder="1" applyAlignment="1" applyProtection="1">
      <alignment horizontal="left" vertical="center" shrinkToFit="1"/>
    </xf>
    <xf numFmtId="0" fontId="5" fillId="48" borderId="267" xfId="0" applyFont="1" applyFill="1" applyBorder="1" applyAlignment="1" applyProtection="1">
      <alignment horizontal="left" vertical="center" shrinkToFit="1"/>
    </xf>
    <xf numFmtId="0" fontId="0" fillId="41" borderId="237" xfId="0" applyFont="1" applyFill="1" applyBorder="1" applyProtection="1">
      <alignment vertical="center"/>
    </xf>
    <xf numFmtId="0" fontId="0" fillId="41" borderId="24" xfId="0" applyFont="1" applyFill="1" applyBorder="1" applyProtection="1">
      <alignment vertical="center"/>
    </xf>
    <xf numFmtId="0" fontId="0" fillId="41" borderId="258" xfId="0" applyFont="1" applyFill="1" applyBorder="1" applyAlignment="1" applyProtection="1">
      <alignment horizontal="left" vertical="center"/>
    </xf>
    <xf numFmtId="0" fontId="0" fillId="41" borderId="258" xfId="0" applyFont="1" applyFill="1" applyBorder="1" applyProtection="1">
      <alignment vertical="center"/>
    </xf>
    <xf numFmtId="0" fontId="0" fillId="41" borderId="258" xfId="0" applyFill="1" applyBorder="1" applyProtection="1">
      <alignment vertical="center"/>
    </xf>
    <xf numFmtId="0" fontId="0" fillId="41" borderId="259" xfId="0" applyFont="1" applyFill="1" applyBorder="1" applyProtection="1">
      <alignment vertical="center"/>
    </xf>
    <xf numFmtId="0" fontId="0" fillId="48" borderId="245" xfId="0" applyFont="1" applyFill="1" applyBorder="1" applyAlignment="1" applyProtection="1">
      <alignment horizontal="right" vertical="center"/>
    </xf>
    <xf numFmtId="196" fontId="0" fillId="45" borderId="10" xfId="0" applyNumberFormat="1" applyFill="1" applyBorder="1">
      <alignment vertical="center"/>
    </xf>
    <xf numFmtId="0" fontId="0" fillId="45" borderId="10" xfId="0" applyFill="1" applyBorder="1">
      <alignment vertical="center"/>
    </xf>
    <xf numFmtId="0" fontId="5" fillId="0" borderId="252" xfId="0" applyFont="1" applyBorder="1" applyAlignment="1" applyProtection="1">
      <alignment horizontal="center" vertical="center"/>
    </xf>
    <xf numFmtId="0" fontId="13" fillId="0" borderId="252" xfId="0" applyFont="1" applyBorder="1" applyAlignment="1" applyProtection="1">
      <alignment horizontal="center" vertical="center"/>
    </xf>
    <xf numFmtId="0" fontId="5" fillId="48" borderId="238" xfId="0" applyFont="1" applyFill="1" applyBorder="1" applyAlignment="1" applyProtection="1">
      <alignment horizontal="center" vertical="center"/>
    </xf>
    <xf numFmtId="0" fontId="0" fillId="48" borderId="237" xfId="0" applyFont="1" applyFill="1" applyBorder="1" applyProtection="1">
      <alignment vertical="center"/>
    </xf>
    <xf numFmtId="0" fontId="5" fillId="0" borderId="236" xfId="0" applyFont="1" applyBorder="1" applyProtection="1">
      <alignment vertical="center"/>
    </xf>
    <xf numFmtId="0" fontId="5" fillId="0" borderId="236" xfId="0" applyFont="1" applyBorder="1" applyAlignment="1" applyProtection="1">
      <alignment horizontal="center" vertical="center"/>
    </xf>
    <xf numFmtId="0" fontId="5" fillId="0" borderId="254" xfId="0" applyFont="1" applyBorder="1" applyProtection="1">
      <alignment vertical="center"/>
    </xf>
    <xf numFmtId="0" fontId="5" fillId="0" borderId="254" xfId="0" applyFont="1" applyBorder="1" applyAlignment="1" applyProtection="1">
      <alignment horizontal="center" vertical="center"/>
    </xf>
    <xf numFmtId="0" fontId="5" fillId="0" borderId="52" xfId="0" applyFont="1" applyBorder="1" applyProtection="1">
      <alignment vertical="center"/>
    </xf>
    <xf numFmtId="0" fontId="5" fillId="0" borderId="52" xfId="0" quotePrefix="1" applyFont="1" applyBorder="1" applyAlignment="1" applyProtection="1">
      <alignment horizontal="center" vertical="center"/>
    </xf>
    <xf numFmtId="9" fontId="5" fillId="0" borderId="271" xfId="47" applyNumberFormat="1" applyFont="1" applyBorder="1" applyAlignment="1" applyProtection="1">
      <alignment vertical="center" shrinkToFit="1"/>
    </xf>
    <xf numFmtId="9" fontId="1" fillId="0" borderId="19" xfId="47" applyFont="1" applyBorder="1" applyProtection="1">
      <alignment vertical="center"/>
    </xf>
    <xf numFmtId="0" fontId="5" fillId="0" borderId="25" xfId="0" applyFont="1" applyBorder="1" applyProtection="1">
      <alignment vertical="center"/>
    </xf>
    <xf numFmtId="0" fontId="5" fillId="0" borderId="78" xfId="0" applyFont="1" applyBorder="1" applyProtection="1">
      <alignment vertical="center"/>
    </xf>
    <xf numFmtId="0" fontId="0" fillId="0" borderId="79" xfId="0" applyFont="1" applyBorder="1" applyProtection="1">
      <alignment vertical="center"/>
    </xf>
    <xf numFmtId="0" fontId="0" fillId="0" borderId="79" xfId="0" applyBorder="1" applyProtection="1">
      <alignment vertical="center"/>
    </xf>
    <xf numFmtId="0" fontId="0" fillId="48" borderId="239" xfId="0" applyFill="1" applyBorder="1" applyProtection="1">
      <alignment vertical="center"/>
    </xf>
    <xf numFmtId="0" fontId="5" fillId="0" borderId="239" xfId="0" applyFont="1" applyBorder="1" applyProtection="1">
      <alignment vertical="center"/>
    </xf>
    <xf numFmtId="0" fontId="5" fillId="0" borderId="253" xfId="0" applyFont="1" applyBorder="1" applyProtection="1">
      <alignment vertical="center"/>
    </xf>
    <xf numFmtId="0" fontId="5" fillId="0" borderId="26" xfId="0" applyFont="1" applyBorder="1" applyProtection="1">
      <alignment vertical="center"/>
    </xf>
    <xf numFmtId="9" fontId="3" fillId="45" borderId="225" xfId="28" applyFont="1" applyFill="1" applyBorder="1" applyAlignment="1" applyProtection="1">
      <alignment horizontal="center" vertical="center"/>
    </xf>
    <xf numFmtId="9" fontId="3" fillId="45" borderId="227" xfId="28" applyFont="1" applyFill="1" applyBorder="1" applyAlignment="1" applyProtection="1">
      <alignment horizontal="center" vertical="center"/>
    </xf>
    <xf numFmtId="9" fontId="3" fillId="45" borderId="228" xfId="28" applyFont="1" applyFill="1" applyBorder="1" applyAlignment="1" applyProtection="1">
      <alignment horizontal="center" vertical="center"/>
    </xf>
    <xf numFmtId="0" fontId="3" fillId="45" borderId="10" xfId="0" applyFont="1" applyFill="1" applyBorder="1" applyAlignment="1" applyProtection="1">
      <alignment horizontal="center" vertical="center"/>
    </xf>
    <xf numFmtId="0" fontId="75" fillId="24" borderId="0" xfId="0" applyFont="1" applyFill="1" applyAlignment="1" applyProtection="1">
      <alignment horizontal="center" vertical="center"/>
    </xf>
    <xf numFmtId="0" fontId="0" fillId="0" borderId="266" xfId="0" applyNumberFormat="1" applyFont="1" applyBorder="1" applyAlignment="1" applyProtection="1">
      <alignment horizontal="right" vertical="center"/>
    </xf>
    <xf numFmtId="0" fontId="0" fillId="0" borderId="256" xfId="0" applyNumberFormat="1" applyFont="1" applyBorder="1" applyAlignment="1" applyProtection="1">
      <alignment horizontal="right" vertical="center"/>
    </xf>
    <xf numFmtId="0" fontId="13" fillId="25" borderId="51" xfId="44" applyFont="1" applyFill="1" applyBorder="1" applyAlignment="1" applyProtection="1">
      <alignment horizontal="right"/>
    </xf>
    <xf numFmtId="0" fontId="13" fillId="25" borderId="17" xfId="44" applyFont="1" applyFill="1" applyBorder="1" applyAlignment="1" applyProtection="1">
      <alignment horizontal="right"/>
    </xf>
    <xf numFmtId="210" fontId="13" fillId="25" borderId="10" xfId="44" applyNumberFormat="1" applyFont="1" applyFill="1" applyBorder="1" applyAlignment="1" applyProtection="1">
      <alignment horizontal="right"/>
    </xf>
    <xf numFmtId="210" fontId="13" fillId="25" borderId="17" xfId="44" applyNumberFormat="1" applyFont="1" applyFill="1" applyBorder="1" applyAlignment="1" applyProtection="1">
      <alignment horizontal="right"/>
    </xf>
    <xf numFmtId="0" fontId="13" fillId="25" borderId="51" xfId="0" applyFont="1" applyFill="1" applyBorder="1" applyProtection="1">
      <alignment vertical="center"/>
    </xf>
    <xf numFmtId="0" fontId="13" fillId="25" borderId="17" xfId="0" applyFont="1" applyFill="1" applyBorder="1" applyProtection="1">
      <alignment vertical="center"/>
    </xf>
    <xf numFmtId="0" fontId="1" fillId="25" borderId="0" xfId="44" applyFont="1" applyFill="1" applyBorder="1" applyAlignment="1" applyProtection="1">
      <alignment vertical="center"/>
    </xf>
    <xf numFmtId="178" fontId="1" fillId="25" borderId="0" xfId="44" applyNumberFormat="1" applyFont="1" applyFill="1" applyBorder="1" applyAlignment="1" applyProtection="1">
      <alignment horizontal="right" vertical="center"/>
    </xf>
    <xf numFmtId="38" fontId="1" fillId="25" borderId="10" xfId="35" applyFont="1" applyFill="1" applyBorder="1" applyAlignment="1" applyProtection="1">
      <alignment vertical="center"/>
    </xf>
    <xf numFmtId="38" fontId="1" fillId="25" borderId="170" xfId="35" applyFont="1" applyFill="1" applyBorder="1" applyAlignment="1" applyProtection="1">
      <alignment horizontal="center" vertical="center"/>
    </xf>
    <xf numFmtId="0" fontId="13" fillId="45" borderId="0" xfId="0" applyFont="1" applyFill="1" applyBorder="1" applyAlignment="1"/>
    <xf numFmtId="0" fontId="1" fillId="45" borderId="0" xfId="44" applyFont="1" applyFill="1" applyBorder="1" applyAlignment="1" applyProtection="1">
      <alignment vertical="center"/>
    </xf>
    <xf numFmtId="0" fontId="13" fillId="45" borderId="0" xfId="44" applyFont="1" applyFill="1" applyBorder="1" applyAlignment="1" applyProtection="1">
      <alignment horizontal="right"/>
    </xf>
    <xf numFmtId="178" fontId="1" fillId="45" borderId="0" xfId="44" applyNumberFormat="1" applyFont="1" applyFill="1" applyBorder="1" applyAlignment="1" applyProtection="1">
      <alignment horizontal="right" vertical="center"/>
    </xf>
    <xf numFmtId="0" fontId="13" fillId="45" borderId="0" xfId="44" applyFont="1" applyFill="1" applyBorder="1" applyAlignment="1" applyProtection="1">
      <alignment horizontal="left"/>
    </xf>
    <xf numFmtId="0" fontId="13" fillId="45" borderId="0" xfId="44" applyFont="1" applyFill="1" applyBorder="1" applyAlignment="1" applyProtection="1">
      <alignment horizontal="right"/>
      <protection hidden="1"/>
    </xf>
    <xf numFmtId="38" fontId="13" fillId="25" borderId="10" xfId="35" applyFont="1" applyFill="1" applyBorder="1">
      <alignment vertical="center"/>
    </xf>
    <xf numFmtId="206" fontId="13" fillId="45" borderId="10" xfId="0" applyNumberFormat="1" applyFont="1" applyFill="1" applyBorder="1">
      <alignment vertical="center"/>
    </xf>
    <xf numFmtId="38" fontId="13" fillId="45" borderId="10" xfId="35" applyFont="1" applyFill="1" applyBorder="1" applyAlignment="1" applyProtection="1">
      <alignment vertical="center"/>
    </xf>
    <xf numFmtId="2" fontId="1" fillId="45" borderId="10" xfId="44" applyNumberFormat="1" applyFont="1" applyFill="1" applyBorder="1" applyAlignment="1" applyProtection="1">
      <alignment vertical="center"/>
    </xf>
    <xf numFmtId="177" fontId="1" fillId="25" borderId="10" xfId="44" applyNumberFormat="1" applyFont="1" applyFill="1" applyBorder="1" applyAlignment="1" applyProtection="1">
      <alignment vertical="center"/>
    </xf>
    <xf numFmtId="177" fontId="1" fillId="25" borderId="51" xfId="44" applyNumberFormat="1" applyFont="1" applyFill="1" applyBorder="1" applyAlignment="1" applyProtection="1">
      <alignment vertical="center"/>
    </xf>
    <xf numFmtId="0" fontId="1" fillId="25" borderId="17" xfId="44" applyFont="1" applyFill="1" applyBorder="1" applyAlignment="1" applyProtection="1">
      <alignment vertical="center"/>
    </xf>
    <xf numFmtId="0" fontId="1" fillId="25" borderId="97" xfId="44" applyFont="1" applyFill="1" applyBorder="1" applyAlignment="1" applyProtection="1">
      <alignment vertical="center"/>
    </xf>
    <xf numFmtId="176" fontId="1" fillId="25" borderId="0" xfId="44" applyNumberFormat="1" applyFont="1" applyFill="1" applyBorder="1" applyAlignment="1" applyProtection="1">
      <alignment vertical="center"/>
    </xf>
    <xf numFmtId="0" fontId="1" fillId="45" borderId="0" xfId="44" applyFont="1" applyFill="1" applyBorder="1" applyAlignment="1" applyProtection="1">
      <alignment vertical="center"/>
      <protection hidden="1"/>
    </xf>
    <xf numFmtId="178" fontId="1" fillId="25" borderId="44" xfId="44" applyNumberFormat="1" applyFont="1" applyFill="1" applyBorder="1" applyAlignment="1" applyProtection="1">
      <alignment horizontal="right" vertical="center"/>
    </xf>
    <xf numFmtId="177" fontId="2" fillId="25" borderId="90" xfId="44" applyNumberFormat="1" applyFont="1" applyFill="1" applyBorder="1" applyAlignment="1" applyProtection="1">
      <alignment vertical="center"/>
    </xf>
    <xf numFmtId="177" fontId="13" fillId="25" borderId="0" xfId="44" applyNumberFormat="1" applyFont="1" applyFill="1" applyBorder="1" applyAlignment="1" applyProtection="1">
      <alignment vertical="center"/>
    </xf>
    <xf numFmtId="177" fontId="2" fillId="25" borderId="86" xfId="44" applyNumberFormat="1" applyFont="1" applyFill="1" applyBorder="1" applyAlignment="1" applyProtection="1">
      <alignment vertical="center"/>
    </xf>
    <xf numFmtId="177" fontId="120" fillId="27" borderId="130" xfId="44" applyNumberFormat="1" applyFont="1" applyFill="1" applyBorder="1" applyAlignment="1" applyProtection="1">
      <alignment horizontal="right" vertical="center"/>
    </xf>
    <xf numFmtId="177" fontId="13" fillId="25" borderId="19" xfId="44" applyNumberFormat="1" applyFont="1" applyFill="1" applyBorder="1" applyAlignment="1" applyProtection="1">
      <alignment vertical="center"/>
    </xf>
    <xf numFmtId="4" fontId="13" fillId="25" borderId="10" xfId="35" applyNumberFormat="1" applyFont="1" applyFill="1" applyBorder="1" applyAlignment="1" applyProtection="1">
      <alignment horizontal="right" vertical="center"/>
    </xf>
    <xf numFmtId="4" fontId="13" fillId="25" borderId="44" xfId="35" applyNumberFormat="1" applyFont="1" applyFill="1" applyBorder="1" applyAlignment="1">
      <alignment horizontal="right" vertical="center"/>
    </xf>
    <xf numFmtId="4" fontId="13" fillId="25" borderId="167" xfId="35" applyNumberFormat="1" applyFont="1" applyFill="1" applyBorder="1" applyAlignment="1">
      <alignment horizontal="right" vertical="center"/>
    </xf>
    <xf numFmtId="0" fontId="0" fillId="41" borderId="236" xfId="0" applyFont="1" applyFill="1" applyBorder="1" applyAlignment="1" applyProtection="1">
      <alignment horizontal="left" vertical="center"/>
    </xf>
    <xf numFmtId="0" fontId="0" fillId="0" borderId="261" xfId="0" applyBorder="1" applyProtection="1">
      <alignment vertical="center"/>
    </xf>
    <xf numFmtId="0" fontId="0" fillId="0" borderId="239" xfId="0" applyBorder="1" applyProtection="1">
      <alignment vertical="center"/>
    </xf>
    <xf numFmtId="0" fontId="0" fillId="0" borderId="259" xfId="0" applyBorder="1" applyProtection="1">
      <alignment vertical="center"/>
    </xf>
    <xf numFmtId="190" fontId="5" fillId="48" borderId="247" xfId="0" applyNumberFormat="1" applyFont="1" applyFill="1" applyBorder="1" applyAlignment="1" applyProtection="1">
      <alignment horizontal="center" vertical="center"/>
    </xf>
    <xf numFmtId="181" fontId="0" fillId="41" borderId="236" xfId="0" applyNumberFormat="1" applyFont="1" applyFill="1" applyBorder="1" applyProtection="1">
      <alignment vertical="center"/>
    </xf>
    <xf numFmtId="207" fontId="0" fillId="41" borderId="236" xfId="0" applyNumberFormat="1" applyFont="1" applyFill="1" applyBorder="1" applyProtection="1">
      <alignment vertical="center"/>
    </xf>
    <xf numFmtId="181" fontId="0" fillId="41" borderId="258" xfId="0" applyNumberFormat="1" applyFont="1" applyFill="1" applyBorder="1" applyProtection="1">
      <alignment vertical="center"/>
    </xf>
    <xf numFmtId="207" fontId="0" fillId="41" borderId="258" xfId="0" applyNumberFormat="1" applyFont="1" applyFill="1" applyBorder="1" applyProtection="1">
      <alignment vertical="center"/>
    </xf>
    <xf numFmtId="190" fontId="5" fillId="48" borderId="268" xfId="0" applyNumberFormat="1" applyFont="1" applyFill="1" applyBorder="1" applyAlignment="1" applyProtection="1">
      <alignment horizontal="center" vertical="center"/>
    </xf>
    <xf numFmtId="211" fontId="5" fillId="48" borderId="268" xfId="0" applyNumberFormat="1" applyFont="1" applyFill="1" applyBorder="1" applyAlignment="1" applyProtection="1">
      <alignment horizontal="center" vertical="center"/>
    </xf>
    <xf numFmtId="0" fontId="0" fillId="0" borderId="0" xfId="0">
      <alignment vertical="center"/>
    </xf>
    <xf numFmtId="212" fontId="0" fillId="45" borderId="10" xfId="0" applyNumberFormat="1" applyFill="1" applyBorder="1">
      <alignment vertical="center"/>
    </xf>
    <xf numFmtId="212" fontId="0" fillId="0" borderId="10" xfId="0" applyNumberFormat="1" applyBorder="1">
      <alignment vertical="center"/>
    </xf>
    <xf numFmtId="0" fontId="0" fillId="44" borderId="274" xfId="0" applyFont="1" applyFill="1" applyBorder="1" applyProtection="1">
      <alignment vertical="center"/>
    </xf>
    <xf numFmtId="0" fontId="0" fillId="0" borderId="275" xfId="0" applyFont="1" applyBorder="1" applyProtection="1">
      <alignment vertical="center"/>
    </xf>
    <xf numFmtId="0" fontId="0" fillId="0" borderId="276" xfId="0" applyFont="1" applyBorder="1" applyProtection="1">
      <alignment vertical="center"/>
    </xf>
    <xf numFmtId="0" fontId="0" fillId="0" borderId="268" xfId="0" applyFont="1" applyBorder="1" applyAlignment="1" applyProtection="1">
      <alignment horizontal="center" vertical="center"/>
    </xf>
    <xf numFmtId="190" fontId="5" fillId="44" borderId="44" xfId="0" applyNumberFormat="1" applyFont="1" applyFill="1" applyBorder="1" applyAlignment="1" applyProtection="1">
      <alignment horizontal="center" vertical="center"/>
      <protection locked="0"/>
    </xf>
    <xf numFmtId="0" fontId="0" fillId="44" borderId="44" xfId="0" applyFont="1" applyFill="1" applyBorder="1" applyAlignment="1" applyProtection="1">
      <alignment horizontal="center" vertical="center"/>
      <protection locked="0"/>
    </xf>
    <xf numFmtId="9" fontId="0" fillId="0" borderId="262" xfId="0" applyNumberFormat="1" applyFont="1" applyBorder="1" applyProtection="1">
      <alignment vertical="center"/>
    </xf>
    <xf numFmtId="9" fontId="0" fillId="0" borderId="279" xfId="0" applyNumberFormat="1" applyFont="1" applyBorder="1" applyProtection="1">
      <alignment vertical="center"/>
    </xf>
    <xf numFmtId="0" fontId="0" fillId="44" borderId="281" xfId="0" applyFont="1" applyFill="1" applyBorder="1" applyAlignment="1" applyProtection="1">
      <alignment horizontal="center" vertical="center"/>
      <protection locked="0"/>
    </xf>
    <xf numFmtId="0" fontId="0" fillId="44" borderId="283" xfId="0" applyFont="1" applyFill="1" applyBorder="1" applyAlignment="1" applyProtection="1">
      <alignment horizontal="center" vertical="center"/>
      <protection locked="0"/>
    </xf>
    <xf numFmtId="0" fontId="0" fillId="44" borderId="285" xfId="0" applyFont="1" applyFill="1" applyBorder="1" applyAlignment="1" applyProtection="1">
      <alignment horizontal="center" vertical="center"/>
      <protection locked="0"/>
    </xf>
    <xf numFmtId="0" fontId="0" fillId="0" borderId="244" xfId="0" applyFont="1" applyBorder="1" applyAlignment="1" applyProtection="1">
      <alignment horizontal="center" vertical="center"/>
    </xf>
    <xf numFmtId="0" fontId="0" fillId="41" borderId="243" xfId="0" applyFont="1" applyFill="1" applyBorder="1" applyAlignment="1" applyProtection="1">
      <alignment horizontal="right" vertical="center"/>
    </xf>
    <xf numFmtId="0" fontId="0" fillId="48" borderId="241" xfId="0" applyFont="1" applyFill="1" applyBorder="1" applyAlignment="1" applyProtection="1">
      <alignment horizontal="right" vertical="center"/>
    </xf>
    <xf numFmtId="0" fontId="0" fillId="0" borderId="279" xfId="0" applyFont="1" applyBorder="1" applyAlignment="1" applyProtection="1">
      <alignment horizontal="center" vertical="center"/>
    </xf>
    <xf numFmtId="0" fontId="27" fillId="44" borderId="44" xfId="0" applyFont="1" applyFill="1" applyBorder="1" applyAlignment="1" applyProtection="1">
      <alignment horizontal="center" vertical="center"/>
      <protection locked="0"/>
    </xf>
    <xf numFmtId="0" fontId="0" fillId="48" borderId="70" xfId="0" applyFont="1" applyFill="1" applyBorder="1" applyProtection="1">
      <alignment vertical="center"/>
    </xf>
    <xf numFmtId="0" fontId="0" fillId="41" borderId="286" xfId="0" applyFont="1" applyFill="1" applyBorder="1" applyAlignment="1" applyProtection="1">
      <alignment horizontal="right" vertical="center"/>
    </xf>
    <xf numFmtId="0" fontId="0" fillId="41" borderId="0" xfId="0" applyFont="1" applyFill="1" applyBorder="1" applyAlignment="1" applyProtection="1">
      <alignment horizontal="right" vertical="center"/>
    </xf>
    <xf numFmtId="0" fontId="0" fillId="41" borderId="244" xfId="0" applyFont="1" applyFill="1" applyBorder="1" applyAlignment="1" applyProtection="1">
      <alignment horizontal="right" vertical="center"/>
    </xf>
    <xf numFmtId="0" fontId="0" fillId="44" borderId="287" xfId="0" applyFont="1" applyFill="1" applyBorder="1" applyAlignment="1" applyProtection="1">
      <alignment horizontal="center" vertical="center"/>
      <protection locked="0"/>
    </xf>
    <xf numFmtId="0" fontId="0" fillId="44" borderId="88" xfId="0" applyFont="1" applyFill="1" applyBorder="1" applyAlignment="1" applyProtection="1">
      <alignment horizontal="center" vertical="center"/>
      <protection locked="0"/>
    </xf>
    <xf numFmtId="0" fontId="5" fillId="48" borderId="11" xfId="0" applyFont="1" applyFill="1" applyBorder="1" applyProtection="1">
      <alignment vertical="center"/>
    </xf>
    <xf numFmtId="0" fontId="5" fillId="48" borderId="249" xfId="0" applyFont="1" applyFill="1" applyBorder="1" applyAlignment="1" applyProtection="1">
      <alignment horizontal="center" vertical="center"/>
    </xf>
    <xf numFmtId="0" fontId="0" fillId="41" borderId="0" xfId="0" applyFont="1" applyFill="1" applyBorder="1" applyProtection="1">
      <alignment vertical="center"/>
    </xf>
    <xf numFmtId="0" fontId="0" fillId="44" borderId="288" xfId="0" applyFont="1" applyFill="1" applyBorder="1" applyAlignment="1" applyProtection="1">
      <alignment horizontal="center" vertical="center"/>
      <protection locked="0"/>
    </xf>
    <xf numFmtId="0" fontId="0" fillId="44" borderId="289" xfId="0" applyFont="1" applyFill="1" applyBorder="1" applyAlignment="1" applyProtection="1">
      <alignment horizontal="center" vertical="center"/>
      <protection locked="0"/>
    </xf>
    <xf numFmtId="0" fontId="0" fillId="48" borderId="70" xfId="0" applyFont="1" applyFill="1" applyBorder="1" applyAlignment="1" applyProtection="1">
      <alignment horizontal="right" vertical="center"/>
    </xf>
    <xf numFmtId="181" fontId="0" fillId="44" borderId="287" xfId="0" applyNumberFormat="1" applyFont="1" applyFill="1" applyBorder="1" applyProtection="1">
      <alignment vertical="center"/>
      <protection locked="0"/>
    </xf>
    <xf numFmtId="181" fontId="0" fillId="44" borderId="289" xfId="0" applyNumberFormat="1" applyFont="1" applyFill="1" applyBorder="1" applyProtection="1">
      <alignment vertical="center"/>
      <protection locked="0"/>
    </xf>
    <xf numFmtId="207" fontId="0" fillId="44" borderId="288" xfId="0" applyNumberFormat="1" applyFont="1" applyFill="1" applyBorder="1" applyProtection="1">
      <alignment vertical="center"/>
      <protection locked="0"/>
    </xf>
    <xf numFmtId="207" fontId="0" fillId="44" borderId="289" xfId="0" applyNumberFormat="1" applyFont="1" applyFill="1" applyBorder="1" applyProtection="1">
      <alignment vertical="center"/>
      <protection locked="0"/>
    </xf>
    <xf numFmtId="0" fontId="0" fillId="48" borderId="11" xfId="0" applyFont="1" applyFill="1" applyBorder="1" applyAlignment="1" applyProtection="1">
      <alignment horizontal="left" vertical="center" shrinkToFit="1"/>
    </xf>
    <xf numFmtId="0" fontId="0" fillId="48" borderId="81" xfId="0" applyFont="1" applyFill="1" applyBorder="1" applyAlignment="1" applyProtection="1">
      <alignment horizontal="left" vertical="center" shrinkToFit="1"/>
    </xf>
    <xf numFmtId="1" fontId="0" fillId="0" borderId="0" xfId="0" applyNumberFormat="1">
      <alignment vertical="center"/>
    </xf>
    <xf numFmtId="1" fontId="0" fillId="0" borderId="10" xfId="0" applyNumberFormat="1" applyBorder="1">
      <alignment vertical="center"/>
    </xf>
    <xf numFmtId="0" fontId="0" fillId="44" borderId="235" xfId="0" applyFont="1" applyFill="1" applyBorder="1" applyProtection="1">
      <alignment vertical="center"/>
    </xf>
    <xf numFmtId="31" fontId="13" fillId="44" borderId="235" xfId="0" applyNumberFormat="1" applyFont="1" applyFill="1" applyBorder="1" applyAlignment="1" applyProtection="1">
      <alignment horizontal="right" vertical="center"/>
    </xf>
    <xf numFmtId="0" fontId="0" fillId="44" borderId="87" xfId="0" applyFont="1" applyFill="1" applyBorder="1" applyProtection="1">
      <alignment vertical="center"/>
      <protection locked="0"/>
    </xf>
    <xf numFmtId="0" fontId="0" fillId="0" borderId="290" xfId="0" applyFont="1" applyBorder="1" applyAlignment="1" applyProtection="1">
      <alignment horizontal="right" vertical="center"/>
    </xf>
    <xf numFmtId="0" fontId="0" fillId="0" borderId="242" xfId="0" applyFont="1" applyBorder="1" applyAlignment="1" applyProtection="1">
      <alignment horizontal="center" vertical="center"/>
    </xf>
    <xf numFmtId="0" fontId="0" fillId="0" borderId="282" xfId="0" applyFont="1" applyBorder="1" applyAlignment="1" applyProtection="1">
      <alignment horizontal="right" vertical="center"/>
    </xf>
    <xf numFmtId="0" fontId="0" fillId="0" borderId="237" xfId="0" applyFont="1" applyBorder="1" applyAlignment="1" applyProtection="1">
      <alignment horizontal="center" vertical="center"/>
    </xf>
    <xf numFmtId="0" fontId="0" fillId="0" borderId="253" xfId="0" applyFont="1" applyBorder="1" applyProtection="1">
      <alignment vertical="center"/>
    </xf>
    <xf numFmtId="0" fontId="0" fillId="44" borderId="283" xfId="0" applyFont="1" applyFill="1" applyBorder="1" applyAlignment="1" applyProtection="1">
      <alignment horizontal="center" vertical="center"/>
    </xf>
    <xf numFmtId="0" fontId="0" fillId="0" borderId="0" xfId="0">
      <alignment vertical="center"/>
    </xf>
    <xf numFmtId="0" fontId="0" fillId="41" borderId="236" xfId="0" applyFont="1" applyFill="1" applyBorder="1" applyAlignment="1" applyProtection="1">
      <alignment vertical="center" shrinkToFit="1"/>
    </xf>
    <xf numFmtId="0" fontId="0" fillId="41" borderId="256" xfId="0" applyFont="1" applyFill="1" applyBorder="1" applyAlignment="1" applyProtection="1">
      <alignment vertical="center" shrinkToFit="1"/>
    </xf>
    <xf numFmtId="0" fontId="0" fillId="41" borderId="235" xfId="0" applyFont="1" applyFill="1" applyBorder="1" applyAlignment="1" applyProtection="1">
      <alignment vertical="center"/>
    </xf>
    <xf numFmtId="0" fontId="0" fillId="41" borderId="270" xfId="0" applyFont="1" applyFill="1" applyBorder="1" applyAlignment="1" applyProtection="1">
      <alignment vertical="center"/>
    </xf>
    <xf numFmtId="181" fontId="0" fillId="0" borderId="10" xfId="0" applyNumberFormat="1" applyBorder="1">
      <alignment vertical="center"/>
    </xf>
    <xf numFmtId="38" fontId="0" fillId="0" borderId="10" xfId="35" applyFont="1" applyBorder="1">
      <alignment vertical="center"/>
    </xf>
    <xf numFmtId="0" fontId="0" fillId="0" borderId="19" xfId="0" applyBorder="1">
      <alignment vertical="center"/>
    </xf>
    <xf numFmtId="0" fontId="13" fillId="0" borderId="0" xfId="44" applyFont="1" applyFill="1" applyBorder="1" applyAlignment="1" applyProtection="1">
      <alignment horizontal="right" vertical="center"/>
    </xf>
    <xf numFmtId="3" fontId="13" fillId="25" borderId="10" xfId="0" applyNumberFormat="1" applyFont="1" applyFill="1" applyBorder="1">
      <alignment vertical="center"/>
    </xf>
    <xf numFmtId="0" fontId="3" fillId="45" borderId="229" xfId="0" applyFont="1" applyFill="1" applyBorder="1" applyAlignment="1" applyProtection="1">
      <alignment horizontal="centerContinuous" vertical="center"/>
    </xf>
    <xf numFmtId="0" fontId="3" fillId="45" borderId="42" xfId="0" applyFont="1" applyFill="1" applyBorder="1" applyAlignment="1" applyProtection="1">
      <alignment horizontal="centerContinuous" vertical="center"/>
    </xf>
    <xf numFmtId="1" fontId="7" fillId="45" borderId="17" xfId="0" applyNumberFormat="1" applyFont="1" applyFill="1" applyBorder="1" applyAlignment="1" applyProtection="1">
      <alignment horizontal="centerContinuous" vertical="center"/>
    </xf>
    <xf numFmtId="178" fontId="13" fillId="24" borderId="10" xfId="48" applyNumberFormat="1" applyFont="1" applyFill="1" applyBorder="1" applyAlignment="1" applyProtection="1">
      <alignment horizontal="right" vertical="center"/>
      <protection locked="0"/>
    </xf>
    <xf numFmtId="0" fontId="169" fillId="25" borderId="47" xfId="0" applyFont="1" applyFill="1" applyBorder="1" applyAlignment="1" applyProtection="1">
      <alignment horizontal="left" vertical="center"/>
      <protection hidden="1"/>
    </xf>
    <xf numFmtId="38" fontId="68" fillId="25" borderId="107" xfId="35" applyFont="1" applyFill="1" applyBorder="1" applyAlignment="1" applyProtection="1">
      <alignment vertical="center"/>
    </xf>
    <xf numFmtId="38" fontId="13" fillId="45" borderId="0" xfId="35" applyFont="1" applyFill="1" applyBorder="1" applyAlignment="1" applyProtection="1">
      <alignment vertical="center"/>
    </xf>
    <xf numFmtId="177" fontId="1" fillId="25" borderId="167" xfId="44" applyNumberFormat="1" applyFont="1" applyFill="1" applyBorder="1" applyAlignment="1" applyProtection="1">
      <alignment vertical="center"/>
    </xf>
    <xf numFmtId="177" fontId="1" fillId="25" borderId="170" xfId="44" applyNumberFormat="1" applyFont="1" applyFill="1" applyBorder="1" applyAlignment="1" applyProtection="1">
      <alignment vertical="center"/>
    </xf>
    <xf numFmtId="177" fontId="68" fillId="25" borderId="167" xfId="44" applyNumberFormat="1" applyFont="1" applyFill="1" applyBorder="1" applyAlignment="1" applyProtection="1">
      <alignment vertical="center"/>
    </xf>
    <xf numFmtId="177" fontId="68" fillId="25" borderId="170" xfId="44" applyNumberFormat="1" applyFont="1" applyFill="1" applyBorder="1" applyAlignment="1" applyProtection="1">
      <alignment vertical="center"/>
    </xf>
    <xf numFmtId="2" fontId="1" fillId="25" borderId="51" xfId="44" applyNumberFormat="1" applyFont="1" applyFill="1" applyBorder="1" applyAlignment="1" applyProtection="1">
      <alignment vertical="center"/>
    </xf>
    <xf numFmtId="0" fontId="3" fillId="25" borderId="10" xfId="44" applyFont="1" applyFill="1" applyBorder="1" applyAlignment="1" applyProtection="1">
      <alignment horizontal="center" vertical="center"/>
    </xf>
    <xf numFmtId="0" fontId="3" fillId="43" borderId="43" xfId="44" applyFont="1" applyFill="1" applyBorder="1" applyAlignment="1" applyProtection="1">
      <alignment horizontal="center" vertical="center"/>
    </xf>
    <xf numFmtId="2" fontId="10" fillId="30" borderId="10" xfId="0" applyNumberFormat="1" applyFont="1" applyFill="1" applyBorder="1" applyAlignment="1" applyProtection="1">
      <alignment vertical="center"/>
      <protection locked="0"/>
    </xf>
    <xf numFmtId="2" fontId="0" fillId="44" borderId="280" xfId="0" applyNumberFormat="1" applyFont="1" applyFill="1" applyBorder="1" applyAlignment="1" applyProtection="1">
      <alignment horizontal="center" vertical="center"/>
      <protection locked="0"/>
    </xf>
    <xf numFmtId="2" fontId="0" fillId="44" borderId="282" xfId="0" applyNumberFormat="1" applyFont="1" applyFill="1" applyBorder="1" applyAlignment="1" applyProtection="1">
      <alignment horizontal="center" vertical="center"/>
      <protection locked="0"/>
    </xf>
    <xf numFmtId="2" fontId="0" fillId="44" borderId="284" xfId="0" applyNumberFormat="1" applyFont="1" applyFill="1" applyBorder="1" applyAlignment="1" applyProtection="1">
      <alignment horizontal="center" vertical="center"/>
      <protection locked="0"/>
    </xf>
    <xf numFmtId="0" fontId="13" fillId="0" borderId="10" xfId="0" applyFont="1" applyFill="1" applyBorder="1" applyAlignment="1" applyProtection="1">
      <alignment horizontal="right" vertical="center" shrinkToFit="1"/>
      <protection locked="0"/>
    </xf>
    <xf numFmtId="0" fontId="5" fillId="48" borderId="236" xfId="0" applyFont="1" applyFill="1" applyBorder="1" applyAlignment="1" applyProtection="1">
      <alignment horizontal="center" vertical="center"/>
    </xf>
    <xf numFmtId="0" fontId="0" fillId="0" borderId="0" xfId="0">
      <alignment vertical="center"/>
    </xf>
    <xf numFmtId="0" fontId="0" fillId="0" borderId="0" xfId="0" applyFont="1" applyFill="1" applyProtection="1">
      <alignment vertical="center"/>
    </xf>
    <xf numFmtId="0" fontId="5" fillId="0" borderId="23" xfId="0" applyFont="1" applyFill="1" applyBorder="1" applyProtection="1">
      <alignment vertical="center"/>
    </xf>
    <xf numFmtId="0" fontId="0" fillId="0" borderId="0" xfId="0" applyFont="1" applyFill="1" applyBorder="1" applyProtection="1">
      <alignment vertical="center"/>
    </xf>
    <xf numFmtId="0" fontId="163" fillId="0" borderId="0" xfId="0" applyFont="1" applyFill="1" applyBorder="1" applyProtection="1">
      <alignment vertical="center"/>
    </xf>
    <xf numFmtId="0" fontId="155" fillId="0" borderId="0" xfId="0" applyFont="1" applyBorder="1" applyAlignment="1" applyProtection="1">
      <alignment horizontal="right" vertical="center"/>
    </xf>
    <xf numFmtId="0" fontId="163" fillId="0" borderId="20" xfId="0" applyFont="1" applyFill="1" applyBorder="1" applyProtection="1">
      <alignment vertical="center"/>
    </xf>
    <xf numFmtId="0" fontId="5" fillId="48" borderId="291" xfId="0" applyFont="1" applyFill="1" applyBorder="1" applyAlignment="1" applyProtection="1">
      <alignment horizontal="center" vertical="center"/>
    </xf>
    <xf numFmtId="0" fontId="0" fillId="48" borderId="292" xfId="0" applyFill="1" applyBorder="1" applyProtection="1">
      <alignment vertical="center"/>
    </xf>
    <xf numFmtId="0" fontId="0" fillId="48" borderId="73" xfId="0" applyFont="1" applyFill="1" applyBorder="1" applyProtection="1">
      <alignment vertical="center"/>
    </xf>
    <xf numFmtId="9" fontId="0" fillId="0" borderId="244" xfId="47" applyFont="1" applyBorder="1" applyProtection="1">
      <alignment vertical="center"/>
    </xf>
    <xf numFmtId="9" fontId="1" fillId="0" borderId="244" xfId="47" applyFont="1" applyBorder="1" applyProtection="1">
      <alignment vertical="center"/>
    </xf>
    <xf numFmtId="9" fontId="0" fillId="0" borderId="251" xfId="47" applyFont="1" applyBorder="1" applyProtection="1">
      <alignment vertical="center"/>
    </xf>
    <xf numFmtId="180" fontId="13" fillId="26" borderId="215" xfId="44" applyNumberFormat="1" applyFont="1" applyFill="1" applyBorder="1" applyAlignment="1" applyProtection="1">
      <alignment horizontal="center" vertical="center"/>
    </xf>
    <xf numFmtId="180" fontId="13" fillId="26" borderId="216" xfId="44" applyNumberFormat="1" applyFont="1" applyFill="1" applyBorder="1" applyAlignment="1" applyProtection="1">
      <alignment horizontal="center" vertical="center"/>
    </xf>
    <xf numFmtId="0" fontId="13" fillId="26" borderId="215" xfId="0" applyFont="1" applyFill="1" applyBorder="1" applyAlignment="1" applyProtection="1">
      <alignment horizontal="center" vertical="center"/>
    </xf>
    <xf numFmtId="0" fontId="13" fillId="26" borderId="216"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24" borderId="0" xfId="0" applyFont="1" applyFill="1" applyBorder="1" applyAlignment="1" applyProtection="1">
      <alignment horizontal="left" vertical="center"/>
    </xf>
    <xf numFmtId="0" fontId="0" fillId="44" borderId="277" xfId="0" applyFont="1" applyFill="1" applyBorder="1" applyAlignment="1" applyProtection="1">
      <alignment horizontal="left" vertical="center"/>
      <protection locked="0"/>
    </xf>
    <xf numFmtId="0" fontId="0" fillId="44" borderId="272" xfId="0" applyFont="1" applyFill="1" applyBorder="1" applyAlignment="1" applyProtection="1">
      <alignment horizontal="left" vertical="center"/>
      <protection locked="0"/>
    </xf>
    <xf numFmtId="0" fontId="0" fillId="44" borderId="273" xfId="0" applyFont="1" applyFill="1" applyBorder="1" applyAlignment="1" applyProtection="1">
      <alignment horizontal="left" vertical="center"/>
      <protection locked="0"/>
    </xf>
    <xf numFmtId="0" fontId="0" fillId="44" borderId="263" xfId="0" applyFont="1" applyFill="1" applyBorder="1" applyAlignment="1" applyProtection="1">
      <alignment horizontal="left" vertical="center"/>
      <protection locked="0"/>
    </xf>
    <xf numFmtId="0" fontId="0" fillId="44" borderId="258" xfId="0" applyFont="1" applyFill="1" applyBorder="1" applyAlignment="1" applyProtection="1">
      <alignment horizontal="left" vertical="center"/>
      <protection locked="0"/>
    </xf>
    <xf numFmtId="0" fontId="0" fillId="44" borderId="259" xfId="0" applyFont="1" applyFill="1" applyBorder="1" applyAlignment="1" applyProtection="1">
      <alignment horizontal="left" vertical="center"/>
      <protection locked="0"/>
    </xf>
    <xf numFmtId="14" fontId="0" fillId="44" borderId="277" xfId="0" applyNumberFormat="1" applyFont="1" applyFill="1" applyBorder="1" applyAlignment="1" applyProtection="1">
      <alignment horizontal="left" vertical="center"/>
      <protection locked="0"/>
    </xf>
    <xf numFmtId="0" fontId="0" fillId="0" borderId="272" xfId="0" applyFont="1" applyBorder="1" applyAlignment="1" applyProtection="1">
      <alignment horizontal="center" vertical="center" shrinkToFit="1"/>
    </xf>
    <xf numFmtId="0" fontId="0" fillId="0" borderId="273" xfId="0" applyFont="1" applyBorder="1" applyAlignment="1" applyProtection="1">
      <alignment horizontal="center" vertical="center" shrinkToFit="1"/>
    </xf>
    <xf numFmtId="0" fontId="0" fillId="0" borderId="236" xfId="0" applyFont="1" applyBorder="1" applyAlignment="1" applyProtection="1">
      <alignment vertical="top" wrapText="1"/>
    </xf>
    <xf numFmtId="0" fontId="0" fillId="0" borderId="256" xfId="0" applyFont="1" applyBorder="1" applyAlignment="1" applyProtection="1">
      <alignment vertical="top" wrapText="1"/>
    </xf>
    <xf numFmtId="0" fontId="0" fillId="44" borderId="26" xfId="0" applyFont="1" applyFill="1" applyBorder="1" applyAlignment="1" applyProtection="1">
      <alignment horizontal="left" vertical="center"/>
      <protection locked="0"/>
    </xf>
    <xf numFmtId="0" fontId="0" fillId="44" borderId="52" xfId="0" applyFont="1" applyFill="1" applyBorder="1" applyAlignment="1" applyProtection="1">
      <alignment horizontal="left" vertical="center"/>
      <protection locked="0"/>
    </xf>
    <xf numFmtId="0" fontId="0" fillId="44" borderId="53" xfId="0" applyFont="1" applyFill="1" applyBorder="1" applyAlignment="1" applyProtection="1">
      <alignment horizontal="left" vertical="center"/>
      <protection locked="0"/>
    </xf>
    <xf numFmtId="0" fontId="0" fillId="41" borderId="244" xfId="0" applyFont="1" applyFill="1" applyBorder="1" applyAlignment="1" applyProtection="1">
      <alignment horizontal="left" vertical="center"/>
    </xf>
    <xf numFmtId="0" fontId="0" fillId="41" borderId="241" xfId="0" applyFont="1" applyFill="1" applyBorder="1" applyAlignment="1" applyProtection="1">
      <alignment horizontal="left" vertical="center"/>
    </xf>
    <xf numFmtId="0" fontId="0" fillId="41" borderId="243" xfId="0" applyFont="1" applyFill="1" applyBorder="1" applyAlignment="1" applyProtection="1">
      <alignment horizontal="left" vertical="center"/>
    </xf>
    <xf numFmtId="0" fontId="0" fillId="41" borderId="21" xfId="0" applyFont="1" applyFill="1" applyBorder="1" applyAlignment="1" applyProtection="1">
      <alignment horizontal="left" vertical="center"/>
    </xf>
    <xf numFmtId="0" fontId="5" fillId="48" borderId="244" xfId="0" applyFont="1" applyFill="1" applyBorder="1" applyAlignment="1" applyProtection="1">
      <alignment horizontal="center" vertical="center"/>
    </xf>
    <xf numFmtId="0" fontId="5" fillId="48" borderId="236" xfId="0" applyFont="1" applyFill="1" applyBorder="1" applyAlignment="1" applyProtection="1">
      <alignment horizontal="center" vertical="center"/>
    </xf>
    <xf numFmtId="0" fontId="5" fillId="48" borderId="237" xfId="0" applyFont="1" applyFill="1" applyBorder="1" applyAlignment="1" applyProtection="1">
      <alignment horizontal="center" vertical="center"/>
    </xf>
    <xf numFmtId="0" fontId="5" fillId="48" borderId="264" xfId="0" applyFont="1" applyFill="1" applyBorder="1" applyAlignment="1" applyProtection="1">
      <alignment horizontal="center" vertical="center"/>
    </xf>
    <xf numFmtId="0" fontId="5" fillId="48" borderId="278" xfId="0" applyFont="1" applyFill="1" applyBorder="1" applyAlignment="1" applyProtection="1">
      <alignment horizontal="center" vertical="center"/>
    </xf>
    <xf numFmtId="0" fontId="0" fillId="0" borderId="244" xfId="0" applyBorder="1" applyAlignment="1" applyProtection="1">
      <alignment horizontal="left" vertical="center" shrinkToFit="1"/>
    </xf>
    <xf numFmtId="0" fontId="0" fillId="0" borderId="236" xfId="0" applyBorder="1" applyAlignment="1" applyProtection="1">
      <alignment horizontal="left" vertical="center" shrinkToFit="1"/>
    </xf>
    <xf numFmtId="0" fontId="0" fillId="0" borderId="237" xfId="0" applyBorder="1" applyAlignment="1" applyProtection="1">
      <alignment horizontal="left" vertical="center" shrinkToFit="1"/>
    </xf>
    <xf numFmtId="0" fontId="168" fillId="0" borderId="23" xfId="0" applyFont="1" applyBorder="1" applyAlignment="1" applyProtection="1">
      <alignment horizontal="center" vertical="center"/>
    </xf>
    <xf numFmtId="0" fontId="168" fillId="0" borderId="0" xfId="0" applyFont="1" applyBorder="1" applyAlignment="1" applyProtection="1">
      <alignment horizontal="center" vertical="center"/>
    </xf>
    <xf numFmtId="0" fontId="168" fillId="0" borderId="20" xfId="0" applyFont="1" applyBorder="1" applyAlignment="1" applyProtection="1">
      <alignment horizontal="center" vertical="center"/>
    </xf>
    <xf numFmtId="0" fontId="13" fillId="24" borderId="51" xfId="0" applyFont="1" applyFill="1" applyBorder="1" applyAlignment="1" applyProtection="1">
      <alignment horizontal="left" vertical="center" shrinkToFit="1"/>
      <protection locked="0"/>
    </xf>
    <xf numFmtId="0" fontId="13" fillId="24" borderId="17" xfId="0" applyFont="1" applyFill="1" applyBorder="1" applyAlignment="1" applyProtection="1">
      <alignment horizontal="left" vertical="center" shrinkToFit="1"/>
      <protection locked="0"/>
    </xf>
    <xf numFmtId="0" fontId="13" fillId="24" borderId="51" xfId="0" applyFont="1" applyFill="1" applyBorder="1" applyAlignment="1" applyProtection="1">
      <alignment horizontal="left" vertical="center"/>
      <protection locked="0"/>
    </xf>
    <xf numFmtId="0" fontId="13" fillId="24" borderId="42" xfId="0" applyFont="1" applyFill="1" applyBorder="1" applyAlignment="1" applyProtection="1">
      <alignment horizontal="left" vertical="center"/>
      <protection locked="0"/>
    </xf>
    <xf numFmtId="181" fontId="13" fillId="24" borderId="69" xfId="0" applyNumberFormat="1" applyFont="1" applyFill="1" applyBorder="1" applyAlignment="1" applyProtection="1">
      <alignment horizontal="left" vertical="center" wrapText="1"/>
      <protection locked="0"/>
    </xf>
    <xf numFmtId="181" fontId="13" fillId="24" borderId="70" xfId="0" applyNumberFormat="1" applyFont="1" applyFill="1" applyBorder="1" applyAlignment="1" applyProtection="1">
      <alignment horizontal="left" vertical="center" wrapText="1"/>
      <protection locked="0"/>
    </xf>
    <xf numFmtId="181" fontId="13" fillId="24" borderId="201" xfId="0" applyNumberFormat="1" applyFont="1" applyFill="1" applyBorder="1" applyAlignment="1" applyProtection="1">
      <alignment horizontal="left" vertical="center" wrapText="1"/>
      <protection locked="0"/>
    </xf>
    <xf numFmtId="181" fontId="13" fillId="24" borderId="72" xfId="0" applyNumberFormat="1" applyFont="1" applyFill="1" applyBorder="1" applyAlignment="1" applyProtection="1">
      <alignment horizontal="left" vertical="center" wrapText="1"/>
      <protection locked="0"/>
    </xf>
    <xf numFmtId="181" fontId="13" fillId="24" borderId="21" xfId="0" applyNumberFormat="1" applyFont="1" applyFill="1" applyBorder="1" applyAlignment="1" applyProtection="1">
      <alignment horizontal="left" vertical="center" wrapText="1"/>
      <protection locked="0"/>
    </xf>
    <xf numFmtId="181" fontId="13" fillId="24" borderId="202" xfId="0" applyNumberFormat="1" applyFont="1" applyFill="1" applyBorder="1" applyAlignment="1" applyProtection="1">
      <alignment horizontal="left" vertical="center" wrapText="1"/>
      <protection locked="0"/>
    </xf>
    <xf numFmtId="0" fontId="20" fillId="24" borderId="203" xfId="0" applyFont="1" applyFill="1" applyBorder="1" applyAlignment="1" applyProtection="1">
      <alignment horizontal="center" vertical="center"/>
      <protection locked="0"/>
    </xf>
    <xf numFmtId="0" fontId="20" fillId="24" borderId="204" xfId="0" applyFont="1" applyFill="1" applyBorder="1" applyAlignment="1" applyProtection="1">
      <alignment horizontal="center" vertical="center"/>
      <protection locked="0"/>
    </xf>
    <xf numFmtId="0" fontId="20" fillId="24" borderId="205" xfId="0" applyFont="1" applyFill="1" applyBorder="1" applyAlignment="1" applyProtection="1">
      <alignment horizontal="center" vertical="center"/>
      <protection locked="0"/>
    </xf>
    <xf numFmtId="0" fontId="13" fillId="25" borderId="21" xfId="44" applyFont="1" applyFill="1" applyBorder="1" applyAlignment="1" applyProtection="1">
      <alignment horizontal="left" wrapText="1"/>
    </xf>
    <xf numFmtId="0" fontId="13" fillId="25" borderId="51" xfId="44" applyFont="1" applyFill="1" applyBorder="1" applyAlignment="1" applyProtection="1">
      <alignment horizontal="center"/>
    </xf>
    <xf numFmtId="0" fontId="13" fillId="25" borderId="17" xfId="44" applyFont="1" applyFill="1" applyBorder="1" applyAlignment="1" applyProtection="1">
      <alignment horizontal="center"/>
    </xf>
    <xf numFmtId="0" fontId="13" fillId="25" borderId="51" xfId="44" applyFont="1" applyFill="1" applyBorder="1" applyAlignment="1" applyProtection="1">
      <alignment horizontal="center" vertical="center"/>
    </xf>
    <xf numFmtId="0" fontId="13" fillId="25" borderId="17" xfId="44" applyFont="1" applyFill="1" applyBorder="1" applyAlignment="1" applyProtection="1">
      <alignment horizontal="center" vertical="center"/>
    </xf>
    <xf numFmtId="0" fontId="13" fillId="24" borderId="51" xfId="44" applyFont="1" applyFill="1" applyBorder="1" applyAlignment="1" applyProtection="1">
      <alignment horizontal="left"/>
      <protection locked="0"/>
    </xf>
    <xf numFmtId="0" fontId="13" fillId="24" borderId="71" xfId="44" applyFont="1" applyFill="1" applyBorder="1" applyAlignment="1" applyProtection="1">
      <alignment horizontal="left"/>
      <protection locked="0"/>
    </xf>
    <xf numFmtId="0" fontId="3" fillId="25" borderId="42" xfId="49" applyFont="1" applyFill="1" applyBorder="1" applyAlignment="1" applyProtection="1">
      <alignment horizontal="left" wrapText="1"/>
    </xf>
    <xf numFmtId="0" fontId="3" fillId="25" borderId="42" xfId="49" applyFont="1" applyFill="1" applyBorder="1" applyAlignment="1" applyProtection="1">
      <alignment horizontal="left"/>
    </xf>
    <xf numFmtId="0" fontId="48" fillId="0" borderId="23" xfId="0" applyFont="1" applyFill="1" applyBorder="1" applyAlignment="1" applyProtection="1">
      <alignment horizontal="left" vertical="center" wrapText="1"/>
      <protection hidden="1"/>
    </xf>
    <xf numFmtId="0" fontId="48" fillId="0" borderId="0" xfId="0" applyFont="1" applyFill="1" applyBorder="1" applyAlignment="1" applyProtection="1">
      <alignment horizontal="left" vertical="center" wrapText="1"/>
      <protection hidden="1"/>
    </xf>
    <xf numFmtId="0" fontId="48" fillId="0" borderId="20" xfId="0" applyFont="1" applyFill="1" applyBorder="1" applyAlignment="1" applyProtection="1">
      <alignment horizontal="left" vertical="center" wrapText="1"/>
      <protection hidden="1"/>
    </xf>
    <xf numFmtId="0" fontId="48" fillId="0" borderId="24" xfId="0" applyFont="1" applyFill="1" applyBorder="1" applyAlignment="1" applyProtection="1">
      <alignment horizontal="left" vertical="center" wrapText="1"/>
      <protection hidden="1"/>
    </xf>
    <xf numFmtId="0" fontId="48" fillId="0" borderId="19" xfId="0" applyFont="1" applyFill="1" applyBorder="1" applyAlignment="1" applyProtection="1">
      <alignment horizontal="left" vertical="center" wrapText="1"/>
      <protection hidden="1"/>
    </xf>
    <xf numFmtId="0" fontId="48" fillId="0" borderId="25" xfId="0" applyFont="1" applyFill="1" applyBorder="1" applyAlignment="1" applyProtection="1">
      <alignment horizontal="left" vertical="center" wrapText="1"/>
      <protection hidden="1"/>
    </xf>
    <xf numFmtId="181" fontId="13" fillId="0" borderId="199" xfId="0" applyNumberFormat="1" applyFont="1" applyFill="1" applyBorder="1" applyAlignment="1" applyProtection="1">
      <alignment horizontal="center" vertical="center"/>
      <protection hidden="1"/>
    </xf>
    <xf numFmtId="181" fontId="13" fillId="0" borderId="99" xfId="0" applyNumberFormat="1" applyFont="1" applyFill="1" applyBorder="1" applyAlignment="1" applyProtection="1">
      <alignment horizontal="center" vertical="center"/>
      <protection hidden="1"/>
    </xf>
    <xf numFmtId="181" fontId="13" fillId="0" borderId="200" xfId="0" applyNumberFormat="1" applyFont="1" applyFill="1" applyBorder="1" applyAlignment="1" applyProtection="1">
      <alignment horizontal="center" vertical="center"/>
      <protection hidden="1"/>
    </xf>
    <xf numFmtId="0" fontId="3" fillId="24" borderId="24" xfId="0" applyFont="1" applyFill="1" applyBorder="1" applyAlignment="1" applyProtection="1">
      <alignment horizontal="left" vertical="top" wrapText="1"/>
      <protection hidden="1"/>
    </xf>
    <xf numFmtId="0" fontId="3" fillId="24" borderId="19" xfId="0" applyFont="1" applyFill="1" applyBorder="1" applyAlignment="1" applyProtection="1">
      <alignment horizontal="left" vertical="top" wrapText="1"/>
      <protection hidden="1"/>
    </xf>
    <xf numFmtId="0" fontId="3" fillId="24" borderId="129" xfId="0" applyFont="1" applyFill="1" applyBorder="1" applyAlignment="1" applyProtection="1">
      <alignment horizontal="left" vertical="top" wrapText="1"/>
      <protection hidden="1"/>
    </xf>
    <xf numFmtId="3" fontId="13" fillId="0" borderId="152" xfId="0" applyNumberFormat="1" applyFont="1" applyFill="1" applyBorder="1" applyAlignment="1" applyProtection="1">
      <alignment horizontal="center" vertical="center" shrinkToFit="1"/>
      <protection hidden="1"/>
    </xf>
    <xf numFmtId="3" fontId="13" fillId="0" borderId="70" xfId="0" applyNumberFormat="1" applyFont="1" applyFill="1" applyBorder="1" applyAlignment="1" applyProtection="1">
      <alignment horizontal="center" vertical="center" shrinkToFit="1"/>
      <protection hidden="1"/>
    </xf>
    <xf numFmtId="3" fontId="13" fillId="0" borderId="196" xfId="0" applyNumberFormat="1" applyFont="1" applyFill="1" applyBorder="1" applyAlignment="1" applyProtection="1">
      <alignment horizontal="center" vertical="center" shrinkToFit="1"/>
      <protection hidden="1"/>
    </xf>
    <xf numFmtId="3" fontId="13" fillId="0" borderId="141" xfId="0" applyNumberFormat="1" applyFont="1" applyFill="1" applyBorder="1" applyAlignment="1" applyProtection="1">
      <alignment horizontal="center" vertical="center" shrinkToFit="1"/>
      <protection hidden="1"/>
    </xf>
    <xf numFmtId="3" fontId="13" fillId="0" borderId="0" xfId="0" applyNumberFormat="1" applyFont="1" applyFill="1" applyBorder="1" applyAlignment="1" applyProtection="1">
      <alignment horizontal="center" vertical="center" shrinkToFit="1"/>
      <protection hidden="1"/>
    </xf>
    <xf numFmtId="3" fontId="13" fillId="0" borderId="197" xfId="0" applyNumberFormat="1" applyFont="1" applyFill="1" applyBorder="1" applyAlignment="1" applyProtection="1">
      <alignment horizontal="center" vertical="center" shrinkToFit="1"/>
      <protection hidden="1"/>
    </xf>
    <xf numFmtId="3" fontId="13" fillId="0" borderId="198" xfId="0" applyNumberFormat="1" applyFont="1" applyFill="1" applyBorder="1" applyAlignment="1" applyProtection="1">
      <alignment horizontal="center" vertical="center"/>
      <protection hidden="1"/>
    </xf>
    <xf numFmtId="3" fontId="13" fillId="0" borderId="21" xfId="0" applyNumberFormat="1" applyFont="1" applyFill="1" applyBorder="1" applyAlignment="1" applyProtection="1">
      <alignment horizontal="center" vertical="center"/>
      <protection hidden="1"/>
    </xf>
    <xf numFmtId="3" fontId="13" fillId="0" borderId="195" xfId="0" applyNumberFormat="1" applyFont="1" applyFill="1" applyBorder="1" applyAlignment="1" applyProtection="1">
      <alignment horizontal="center" vertical="center"/>
      <protection hidden="1"/>
    </xf>
    <xf numFmtId="0" fontId="13" fillId="0" borderId="152" xfId="0" applyFont="1" applyFill="1" applyBorder="1" applyAlignment="1" applyProtection="1">
      <alignment horizontal="center" vertical="center"/>
      <protection hidden="1"/>
    </xf>
    <xf numFmtId="0" fontId="13" fillId="0" borderId="70" xfId="0" applyFont="1" applyFill="1" applyBorder="1" applyAlignment="1" applyProtection="1">
      <alignment horizontal="center" vertical="center"/>
      <protection hidden="1"/>
    </xf>
    <xf numFmtId="0" fontId="13" fillId="0" borderId="196" xfId="0" applyFont="1" applyFill="1" applyBorder="1" applyAlignment="1" applyProtection="1">
      <alignment horizontal="center" vertical="center"/>
      <protection hidden="1"/>
    </xf>
    <xf numFmtId="0" fontId="13" fillId="0" borderId="198" xfId="0" applyFont="1" applyFill="1" applyBorder="1" applyAlignment="1" applyProtection="1">
      <alignment horizontal="center" vertical="center"/>
      <protection hidden="1"/>
    </xf>
    <xf numFmtId="0" fontId="13" fillId="0" borderId="21" xfId="0" applyFont="1" applyFill="1" applyBorder="1" applyAlignment="1" applyProtection="1">
      <alignment horizontal="center" vertical="center"/>
      <protection hidden="1"/>
    </xf>
    <xf numFmtId="0" fontId="13" fillId="0" borderId="195" xfId="0" applyFont="1" applyFill="1" applyBorder="1" applyAlignment="1" applyProtection="1">
      <alignment horizontal="center" vertical="center"/>
      <protection hidden="1"/>
    </xf>
    <xf numFmtId="0" fontId="3" fillId="24" borderId="81" xfId="0" applyFont="1" applyFill="1" applyBorder="1" applyAlignment="1" applyProtection="1">
      <alignment horizontal="left" vertical="top" wrapText="1"/>
      <protection hidden="1"/>
    </xf>
    <xf numFmtId="0" fontId="149" fillId="0" borderId="23" xfId="0" applyFont="1" applyFill="1" applyBorder="1" applyAlignment="1" applyProtection="1">
      <alignment horizontal="left" vertical="top" wrapText="1"/>
      <protection hidden="1"/>
    </xf>
    <xf numFmtId="0" fontId="3" fillId="24" borderId="25" xfId="0" applyFont="1" applyFill="1" applyBorder="1" applyAlignment="1" applyProtection="1">
      <alignment horizontal="left" vertical="top" wrapText="1"/>
      <protection hidden="1"/>
    </xf>
    <xf numFmtId="0" fontId="3" fillId="0" borderId="122"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54" xfId="0" applyFont="1" applyFill="1" applyBorder="1" applyAlignment="1">
      <alignment horizontal="left" vertical="top" wrapText="1"/>
    </xf>
    <xf numFmtId="0" fontId="3" fillId="24" borderId="21" xfId="0" applyFont="1" applyFill="1" applyBorder="1" applyAlignment="1" applyProtection="1">
      <alignment horizontal="left" vertical="top" wrapText="1"/>
      <protection hidden="1"/>
    </xf>
    <xf numFmtId="0" fontId="3" fillId="24" borderId="22" xfId="0" applyFont="1" applyFill="1" applyBorder="1" applyAlignment="1" applyProtection="1">
      <alignment horizontal="left" vertical="top" wrapText="1"/>
      <protection hidden="1"/>
    </xf>
    <xf numFmtId="0" fontId="3" fillId="24" borderId="122" xfId="0" applyFont="1" applyFill="1" applyBorder="1" applyAlignment="1" applyProtection="1">
      <alignment horizontal="left" vertical="top" wrapText="1"/>
      <protection hidden="1"/>
    </xf>
    <xf numFmtId="0" fontId="3" fillId="24" borderId="54" xfId="0" applyFont="1" applyFill="1" applyBorder="1" applyAlignment="1" applyProtection="1">
      <alignment horizontal="left" vertical="top" wrapText="1"/>
      <protection hidden="1"/>
    </xf>
    <xf numFmtId="0" fontId="3" fillId="24" borderId="72" xfId="0" applyFont="1" applyFill="1" applyBorder="1" applyAlignment="1" applyProtection="1">
      <alignment horizontal="left" vertical="top" wrapText="1"/>
      <protection hidden="1"/>
    </xf>
    <xf numFmtId="55" fontId="13" fillId="0" borderId="206" xfId="0" applyNumberFormat="1" applyFont="1" applyFill="1" applyBorder="1" applyAlignment="1" applyProtection="1">
      <alignment horizontal="center" vertical="center"/>
      <protection hidden="1"/>
    </xf>
    <xf numFmtId="55" fontId="13" fillId="0" borderId="42" xfId="0" applyNumberFormat="1" applyFont="1" applyFill="1" applyBorder="1" applyAlignment="1" applyProtection="1">
      <alignment horizontal="center" vertical="center"/>
      <protection hidden="1"/>
    </xf>
    <xf numFmtId="55" fontId="13" fillId="0" borderId="207" xfId="0" applyNumberFormat="1" applyFont="1" applyFill="1" applyBorder="1" applyAlignment="1" applyProtection="1">
      <alignment horizontal="center" vertical="center"/>
      <protection hidden="1"/>
    </xf>
    <xf numFmtId="3" fontId="13" fillId="0" borderId="208" xfId="0" applyNumberFormat="1" applyFont="1" applyFill="1" applyBorder="1" applyAlignment="1" applyProtection="1">
      <alignment horizontal="center" vertical="center"/>
      <protection hidden="1"/>
    </xf>
    <xf numFmtId="3" fontId="13" fillId="0" borderId="209" xfId="0" applyNumberFormat="1" applyFont="1" applyFill="1" applyBorder="1" applyAlignment="1" applyProtection="1">
      <alignment horizontal="center" vertical="center"/>
      <protection hidden="1"/>
    </xf>
    <xf numFmtId="3" fontId="13" fillId="0" borderId="210" xfId="0" applyNumberFormat="1" applyFont="1" applyFill="1" applyBorder="1" applyAlignment="1" applyProtection="1">
      <alignment horizontal="center" vertical="center"/>
      <protection hidden="1"/>
    </xf>
    <xf numFmtId="0" fontId="34" fillId="0" borderId="211" xfId="29" applyNumberFormat="1" applyFont="1" applyFill="1" applyBorder="1" applyAlignment="1" applyProtection="1">
      <alignment horizontal="center" vertical="center"/>
      <protection hidden="1"/>
    </xf>
    <xf numFmtId="0" fontId="34" fillId="0" borderId="212" xfId="29" applyNumberFormat="1" applyFont="1" applyFill="1" applyBorder="1" applyAlignment="1" applyProtection="1">
      <alignment horizontal="center" vertical="center"/>
      <protection hidden="1"/>
    </xf>
    <xf numFmtId="0" fontId="34" fillId="0" borderId="213" xfId="29" applyNumberFormat="1" applyFont="1" applyFill="1" applyBorder="1" applyAlignment="1" applyProtection="1">
      <alignment horizontal="center" vertical="center"/>
      <protection hidden="1"/>
    </xf>
    <xf numFmtId="31" fontId="13" fillId="0" borderId="145" xfId="0" applyNumberFormat="1" applyFont="1" applyFill="1" applyBorder="1" applyAlignment="1" applyProtection="1">
      <alignment horizontal="center" vertical="center"/>
      <protection hidden="1"/>
    </xf>
    <xf numFmtId="31" fontId="13" fillId="0" borderId="146" xfId="0" applyNumberFormat="1" applyFont="1" applyFill="1" applyBorder="1" applyAlignment="1" applyProtection="1">
      <alignment horizontal="center" vertical="center"/>
      <protection hidden="1"/>
    </xf>
    <xf numFmtId="0" fontId="18" fillId="0" borderId="148" xfId="0" applyFont="1" applyFill="1" applyBorder="1" applyAlignment="1" applyProtection="1">
      <alignment horizontal="center" vertical="center"/>
      <protection hidden="1"/>
    </xf>
    <xf numFmtId="0" fontId="18" fillId="0" borderId="146" xfId="0" applyFont="1" applyFill="1" applyBorder="1" applyAlignment="1" applyProtection="1">
      <alignment horizontal="center" vertical="center"/>
      <protection hidden="1"/>
    </xf>
    <xf numFmtId="3" fontId="13" fillId="0" borderId="23" xfId="0" applyNumberFormat="1"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horizontal="left" vertical="center" wrapText="1"/>
      <protection hidden="1"/>
    </xf>
    <xf numFmtId="3" fontId="13" fillId="0" borderId="20" xfId="0" applyNumberFormat="1" applyFont="1" applyFill="1" applyBorder="1" applyAlignment="1" applyProtection="1">
      <alignment horizontal="left" vertical="center" wrapText="1"/>
      <protection hidden="1"/>
    </xf>
    <xf numFmtId="3" fontId="13" fillId="0" borderId="122" xfId="0" applyNumberFormat="1" applyFont="1" applyFill="1" applyBorder="1" applyAlignment="1" applyProtection="1">
      <alignment horizontal="left" vertical="center" wrapText="1"/>
      <protection hidden="1"/>
    </xf>
    <xf numFmtId="3" fontId="13" fillId="0" borderId="21" xfId="0" applyNumberFormat="1" applyFont="1" applyFill="1" applyBorder="1" applyAlignment="1" applyProtection="1">
      <alignment horizontal="left" vertical="center" wrapText="1"/>
      <protection hidden="1"/>
    </xf>
    <xf numFmtId="3" fontId="13" fillId="0" borderId="22" xfId="0" applyNumberFormat="1" applyFont="1" applyFill="1" applyBorder="1" applyAlignment="1" applyProtection="1">
      <alignment horizontal="left" vertical="center" wrapText="1"/>
      <protection hidden="1"/>
    </xf>
    <xf numFmtId="180" fontId="3" fillId="0" borderId="23" xfId="0" applyNumberFormat="1" applyFont="1" applyFill="1" applyBorder="1" applyAlignment="1" applyProtection="1">
      <alignment horizontal="left" vertical="top" shrinkToFit="1"/>
    </xf>
    <xf numFmtId="0" fontId="0" fillId="0" borderId="0" xfId="0" applyAlignment="1" applyProtection="1">
      <alignment horizontal="left" vertical="top" shrinkToFit="1"/>
    </xf>
    <xf numFmtId="0" fontId="0" fillId="0" borderId="0" xfId="0" applyBorder="1" applyAlignment="1" applyProtection="1">
      <alignment horizontal="left" vertical="top" shrinkToFit="1"/>
    </xf>
    <xf numFmtId="0" fontId="3" fillId="0" borderId="0" xfId="0" applyFont="1" applyFill="1" applyBorder="1" applyAlignment="1" applyProtection="1">
      <alignment horizontal="left" vertical="center"/>
      <protection hidden="1"/>
    </xf>
    <xf numFmtId="0" fontId="3" fillId="24" borderId="0" xfId="0" applyFont="1" applyFill="1" applyBorder="1" applyAlignment="1" applyProtection="1">
      <alignment horizontal="left" vertical="center"/>
      <protection hidden="1"/>
    </xf>
    <xf numFmtId="180" fontId="3" fillId="24" borderId="23" xfId="0" applyNumberFormat="1" applyFont="1" applyFill="1" applyBorder="1" applyAlignment="1" applyProtection="1">
      <alignment horizontal="left" vertical="top" shrinkToFit="1"/>
    </xf>
    <xf numFmtId="0" fontId="0" fillId="24" borderId="0" xfId="0" applyFill="1" applyAlignment="1" applyProtection="1">
      <alignment horizontal="left" vertical="top" shrinkToFit="1"/>
    </xf>
    <xf numFmtId="0" fontId="0" fillId="24" borderId="0" xfId="0" applyFill="1" applyBorder="1" applyAlignment="1" applyProtection="1">
      <alignment horizontal="left" vertical="top" shrinkToFit="1"/>
    </xf>
    <xf numFmtId="180" fontId="3" fillId="0" borderId="113" xfId="0" applyNumberFormat="1" applyFont="1" applyFill="1" applyBorder="1" applyAlignment="1" applyProtection="1">
      <alignment horizontal="left" vertical="top" shrinkToFit="1"/>
    </xf>
    <xf numFmtId="0" fontId="0" fillId="0" borderId="99" xfId="0" applyBorder="1" applyAlignment="1" applyProtection="1">
      <alignment horizontal="left" vertical="top" shrinkToFit="1"/>
    </xf>
    <xf numFmtId="0" fontId="30" fillId="28" borderId="52" xfId="0" applyFont="1" applyFill="1" applyBorder="1" applyAlignment="1" applyProtection="1">
      <alignment horizontal="center" vertical="center"/>
      <protection hidden="1"/>
    </xf>
    <xf numFmtId="0" fontId="30" fillId="28" borderId="53" xfId="0" applyFont="1" applyFill="1" applyBorder="1" applyAlignment="1" applyProtection="1">
      <alignment horizontal="center" vertical="center"/>
      <protection hidden="1"/>
    </xf>
    <xf numFmtId="0" fontId="0" fillId="0" borderId="20" xfId="0" applyBorder="1" applyAlignment="1" applyProtection="1">
      <alignment horizontal="left" vertical="top" shrinkToFit="1"/>
    </xf>
    <xf numFmtId="180" fontId="3" fillId="0" borderId="122" xfId="0" applyNumberFormat="1" applyFont="1" applyFill="1" applyBorder="1" applyAlignment="1" applyProtection="1">
      <alignment horizontal="left" vertical="top" shrinkToFit="1"/>
    </xf>
    <xf numFmtId="0" fontId="0" fillId="0" borderId="21" xfId="0" applyBorder="1" applyAlignment="1" applyProtection="1">
      <alignment horizontal="left" vertical="top" shrinkToFit="1"/>
    </xf>
    <xf numFmtId="180" fontId="3" fillId="0" borderId="169" xfId="0" applyNumberFormat="1" applyFont="1" applyFill="1" applyBorder="1" applyAlignment="1" applyProtection="1">
      <alignment horizontal="left" vertical="top" shrinkToFit="1"/>
    </xf>
    <xf numFmtId="0" fontId="0" fillId="0" borderId="68" xfId="0" applyBorder="1" applyAlignment="1" applyProtection="1">
      <alignment horizontal="left" vertical="top" shrinkToFit="1"/>
    </xf>
    <xf numFmtId="0" fontId="0" fillId="0" borderId="214" xfId="0" applyBorder="1" applyAlignment="1" applyProtection="1">
      <alignment horizontal="left" vertical="top" shrinkToFit="1"/>
    </xf>
    <xf numFmtId="180" fontId="3" fillId="0" borderId="41" xfId="0" applyNumberFormat="1" applyFont="1" applyFill="1" applyBorder="1" applyAlignment="1" applyProtection="1">
      <alignment horizontal="left" vertical="top" shrinkToFit="1"/>
    </xf>
    <xf numFmtId="0" fontId="0" fillId="0" borderId="42" xfId="0" applyBorder="1" applyAlignment="1" applyProtection="1">
      <alignment horizontal="left" vertical="top" shrinkToFit="1"/>
    </xf>
    <xf numFmtId="180" fontId="3" fillId="0" borderId="0" xfId="0" applyNumberFormat="1" applyFont="1" applyFill="1" applyBorder="1" applyAlignment="1" applyProtection="1">
      <alignment horizontal="left" vertical="top" shrinkToFit="1"/>
    </xf>
    <xf numFmtId="180" fontId="3" fillId="0" borderId="20" xfId="0" applyNumberFormat="1" applyFont="1" applyFill="1" applyBorder="1" applyAlignment="1" applyProtection="1">
      <alignment horizontal="left" vertical="top" shrinkToFit="1"/>
    </xf>
    <xf numFmtId="180" fontId="3" fillId="0" borderId="24" xfId="0" applyNumberFormat="1" applyFont="1" applyFill="1" applyBorder="1" applyAlignment="1" applyProtection="1">
      <alignment horizontal="left" vertical="top" shrinkToFit="1"/>
    </xf>
    <xf numFmtId="0" fontId="0" fillId="0" borderId="19" xfId="0" applyBorder="1" applyAlignment="1" applyProtection="1">
      <alignment horizontal="left" vertical="top" shrinkToFit="1"/>
    </xf>
    <xf numFmtId="180" fontId="3" fillId="0" borderId="77" xfId="0" applyNumberFormat="1" applyFont="1" applyFill="1" applyBorder="1" applyAlignment="1" applyProtection="1">
      <alignment horizontal="left" vertical="top" shrinkToFit="1"/>
    </xf>
    <xf numFmtId="0" fontId="0" fillId="0" borderId="70" xfId="0" applyBorder="1" applyAlignment="1" applyProtection="1">
      <alignment horizontal="left" vertical="top" shrinkToFit="1"/>
    </xf>
    <xf numFmtId="0" fontId="0" fillId="0" borderId="73" xfId="0" applyBorder="1" applyAlignment="1" applyProtection="1">
      <alignment horizontal="left" vertical="top" shrinkToFit="1"/>
    </xf>
    <xf numFmtId="180" fontId="3" fillId="0" borderId="21" xfId="0" applyNumberFormat="1" applyFont="1" applyFill="1" applyBorder="1" applyAlignment="1" applyProtection="1">
      <alignment horizontal="left" vertical="top" shrinkToFit="1"/>
    </xf>
    <xf numFmtId="180" fontId="3" fillId="0" borderId="54" xfId="0" applyNumberFormat="1" applyFont="1" applyFill="1" applyBorder="1" applyAlignment="1" applyProtection="1">
      <alignment horizontal="left" vertical="top" shrinkToFit="1"/>
    </xf>
    <xf numFmtId="0" fontId="0" fillId="30" borderId="223" xfId="0" applyFill="1" applyBorder="1" applyAlignment="1" applyProtection="1">
      <alignment vertical="top" wrapText="1"/>
      <protection locked="0"/>
    </xf>
    <xf numFmtId="0" fontId="0" fillId="26" borderId="217" xfId="0" applyFill="1" applyBorder="1" applyAlignment="1" applyProtection="1">
      <alignment horizontal="center" vertical="center"/>
    </xf>
    <xf numFmtId="0" fontId="0" fillId="26" borderId="218" xfId="0" applyFill="1" applyBorder="1" applyAlignment="1" applyProtection="1">
      <alignment horizontal="center" vertical="center"/>
    </xf>
    <xf numFmtId="0" fontId="0" fillId="26" borderId="219" xfId="0" applyFill="1" applyBorder="1" applyAlignment="1" applyProtection="1">
      <alignment horizontal="center" vertical="center"/>
    </xf>
    <xf numFmtId="0" fontId="0" fillId="30" borderId="222" xfId="0" applyFill="1" applyBorder="1" applyAlignment="1" applyProtection="1">
      <alignment vertical="top" wrapText="1"/>
      <protection locked="0"/>
    </xf>
    <xf numFmtId="0" fontId="0" fillId="30" borderId="107" xfId="0" applyFill="1" applyBorder="1" applyAlignment="1" applyProtection="1">
      <alignment vertical="top" wrapText="1"/>
      <protection locked="0"/>
    </xf>
    <xf numFmtId="0" fontId="0" fillId="30" borderId="10" xfId="0" applyFill="1" applyBorder="1" applyAlignment="1" applyProtection="1">
      <alignment vertical="top" wrapText="1"/>
      <protection locked="0"/>
    </xf>
    <xf numFmtId="179" fontId="10" fillId="26" borderId="41" xfId="0" applyNumberFormat="1" applyFont="1" applyFill="1" applyBorder="1" applyAlignment="1" applyProtection="1">
      <alignment horizontal="center" vertical="center"/>
      <protection hidden="1"/>
    </xf>
    <xf numFmtId="179" fontId="10" fillId="26" borderId="42" xfId="0" applyNumberFormat="1" applyFont="1" applyFill="1" applyBorder="1" applyAlignment="1" applyProtection="1">
      <alignment horizontal="center" vertical="center"/>
      <protection hidden="1"/>
    </xf>
    <xf numFmtId="179" fontId="10" fillId="26" borderId="17" xfId="0" applyNumberFormat="1" applyFont="1" applyFill="1" applyBorder="1" applyAlignment="1" applyProtection="1">
      <alignment horizontal="center" vertical="center"/>
      <protection hidden="1"/>
    </xf>
    <xf numFmtId="0" fontId="3" fillId="25" borderId="47" xfId="0" applyFont="1" applyFill="1" applyBorder="1" applyAlignment="1" applyProtection="1">
      <alignment horizontal="left" vertical="center" wrapText="1"/>
      <protection hidden="1"/>
    </xf>
    <xf numFmtId="0" fontId="3" fillId="25" borderId="112" xfId="0" applyFont="1" applyFill="1" applyBorder="1" applyAlignment="1" applyProtection="1">
      <alignment horizontal="left" vertical="center" wrapText="1"/>
      <protection hidden="1"/>
    </xf>
    <xf numFmtId="0" fontId="3" fillId="25" borderId="48" xfId="0" applyFont="1" applyFill="1" applyBorder="1" applyAlignment="1" applyProtection="1">
      <alignment horizontal="left" vertical="center" wrapText="1"/>
      <protection hidden="1"/>
    </xf>
    <xf numFmtId="0" fontId="3" fillId="25" borderId="45" xfId="0" applyFont="1" applyFill="1" applyBorder="1" applyAlignment="1" applyProtection="1">
      <alignment horizontal="left" vertical="center" wrapText="1"/>
      <protection hidden="1"/>
    </xf>
    <xf numFmtId="0" fontId="3" fillId="25" borderId="18" xfId="0" applyFont="1" applyFill="1" applyBorder="1" applyAlignment="1" applyProtection="1">
      <alignment horizontal="left" vertical="center" wrapText="1"/>
      <protection hidden="1"/>
    </xf>
    <xf numFmtId="0" fontId="3" fillId="25" borderId="46" xfId="0" applyFont="1" applyFill="1" applyBorder="1" applyAlignment="1" applyProtection="1">
      <alignment horizontal="left" vertical="center" wrapText="1"/>
      <protection hidden="1"/>
    </xf>
    <xf numFmtId="0" fontId="3" fillId="25" borderId="49" xfId="0" applyFont="1" applyFill="1" applyBorder="1" applyAlignment="1" applyProtection="1">
      <alignment horizontal="left" vertical="center" wrapText="1"/>
      <protection hidden="1"/>
    </xf>
    <xf numFmtId="0" fontId="3" fillId="25" borderId="114" xfId="0" applyFont="1" applyFill="1" applyBorder="1" applyAlignment="1" applyProtection="1">
      <alignment horizontal="left" vertical="center" wrapText="1"/>
      <protection hidden="1"/>
    </xf>
    <xf numFmtId="0" fontId="3" fillId="25" borderId="50" xfId="0" applyFont="1" applyFill="1" applyBorder="1" applyAlignment="1" applyProtection="1">
      <alignment horizontal="left" vertical="center" wrapText="1"/>
      <protection hidden="1"/>
    </xf>
    <xf numFmtId="0" fontId="0" fillId="0" borderId="112" xfId="0" applyBorder="1" applyAlignment="1">
      <alignment horizontal="left" vertical="center" wrapText="1"/>
    </xf>
    <xf numFmtId="0" fontId="0" fillId="0" borderId="48" xfId="0" applyBorder="1" applyAlignment="1">
      <alignment horizontal="left" vertical="center" wrapText="1"/>
    </xf>
    <xf numFmtId="0" fontId="0" fillId="0" borderId="114" xfId="0" applyBorder="1" applyAlignment="1">
      <alignment horizontal="left" vertical="center" wrapText="1"/>
    </xf>
    <xf numFmtId="0" fontId="0" fillId="0" borderId="50" xfId="0" applyBorder="1" applyAlignment="1">
      <alignment horizontal="left" vertical="center" wrapText="1"/>
    </xf>
    <xf numFmtId="0" fontId="3" fillId="25" borderId="47" xfId="0" applyFont="1" applyFill="1" applyBorder="1" applyAlignment="1" applyProtection="1">
      <alignment vertical="center" wrapText="1"/>
      <protection hidden="1"/>
    </xf>
    <xf numFmtId="0" fontId="68" fillId="0" borderId="112" xfId="0" applyFont="1" applyBorder="1" applyAlignment="1">
      <alignment vertical="center" wrapText="1"/>
    </xf>
    <xf numFmtId="0" fontId="68" fillId="0" borderId="48" xfId="0" applyFont="1" applyBorder="1" applyAlignment="1">
      <alignment vertical="center" wrapText="1"/>
    </xf>
    <xf numFmtId="0" fontId="3" fillId="25" borderId="49" xfId="0" applyFont="1" applyFill="1" applyBorder="1" applyAlignment="1" applyProtection="1">
      <alignment vertical="center" wrapText="1"/>
      <protection hidden="1"/>
    </xf>
    <xf numFmtId="0" fontId="68" fillId="0" borderId="114" xfId="0" applyFont="1" applyBorder="1" applyAlignment="1">
      <alignment vertical="center" wrapText="1"/>
    </xf>
    <xf numFmtId="0" fontId="68" fillId="0" borderId="50" xfId="0" applyFont="1" applyBorder="1" applyAlignment="1">
      <alignment vertical="center" wrapText="1"/>
    </xf>
    <xf numFmtId="0" fontId="3" fillId="25" borderId="188" xfId="0" applyFont="1" applyFill="1" applyBorder="1" applyAlignment="1" applyProtection="1">
      <alignment horizontal="center" vertical="center" wrapText="1"/>
      <protection hidden="1"/>
    </xf>
    <xf numFmtId="0" fontId="3" fillId="25" borderId="101" xfId="0" applyFont="1" applyFill="1" applyBorder="1" applyAlignment="1" applyProtection="1">
      <alignment horizontal="center" vertical="center" wrapText="1"/>
      <protection hidden="1"/>
    </xf>
    <xf numFmtId="201" fontId="10" fillId="26" borderId="87" xfId="0" applyNumberFormat="1" applyFont="1" applyFill="1" applyBorder="1" applyAlignment="1" applyProtection="1">
      <alignment horizontal="center" vertical="center"/>
      <protection locked="0" hidden="1"/>
    </xf>
    <xf numFmtId="201" fontId="10" fillId="26" borderId="88" xfId="0" applyNumberFormat="1" applyFont="1" applyFill="1" applyBorder="1" applyAlignment="1" applyProtection="1">
      <alignment horizontal="center" vertical="center"/>
      <protection locked="0" hidden="1"/>
    </xf>
    <xf numFmtId="0" fontId="3" fillId="25" borderId="51" xfId="0" applyFont="1" applyFill="1" applyBorder="1" applyAlignment="1" applyProtection="1">
      <alignment horizontal="center" vertical="center"/>
      <protection hidden="1"/>
    </xf>
    <xf numFmtId="0" fontId="3" fillId="25" borderId="42" xfId="0" applyFont="1" applyFill="1" applyBorder="1" applyAlignment="1" applyProtection="1">
      <alignment horizontal="center" vertical="center"/>
      <protection hidden="1"/>
    </xf>
    <xf numFmtId="0" fontId="3" fillId="25" borderId="17" xfId="0" applyFont="1" applyFill="1" applyBorder="1" applyAlignment="1" applyProtection="1">
      <alignment horizontal="center" vertical="center"/>
      <protection hidden="1"/>
    </xf>
    <xf numFmtId="0" fontId="3" fillId="25" borderId="112" xfId="0" applyFont="1" applyFill="1" applyBorder="1" applyAlignment="1" applyProtection="1">
      <alignment vertical="center" wrapText="1"/>
      <protection hidden="1"/>
    </xf>
    <xf numFmtId="0" fontId="3" fillId="25" borderId="48" xfId="0" applyFont="1" applyFill="1" applyBorder="1" applyAlignment="1" applyProtection="1">
      <alignment vertical="center" wrapText="1"/>
      <protection hidden="1"/>
    </xf>
    <xf numFmtId="0" fontId="0" fillId="0" borderId="114" xfId="0" applyBorder="1" applyAlignment="1">
      <alignment vertical="center" wrapText="1"/>
    </xf>
    <xf numFmtId="0" fontId="0" fillId="0" borderId="50" xfId="0" applyBorder="1" applyAlignment="1">
      <alignment vertical="center" wrapText="1"/>
    </xf>
    <xf numFmtId="0" fontId="3" fillId="25" borderId="45" xfId="0" applyFont="1" applyFill="1" applyBorder="1" applyAlignment="1" applyProtection="1">
      <alignment horizontal="left" vertical="center"/>
      <protection hidden="1"/>
    </xf>
    <xf numFmtId="0" fontId="3" fillId="25" borderId="18" xfId="0" applyFont="1" applyFill="1" applyBorder="1" applyAlignment="1" applyProtection="1">
      <alignment horizontal="left" vertical="center"/>
      <protection hidden="1"/>
    </xf>
    <xf numFmtId="0" fontId="3" fillId="25" borderId="46" xfId="0" applyFont="1" applyFill="1" applyBorder="1" applyAlignment="1" applyProtection="1">
      <alignment horizontal="left" vertical="center"/>
      <protection hidden="1"/>
    </xf>
    <xf numFmtId="0" fontId="3" fillId="25" borderId="47" xfId="0" applyFont="1" applyFill="1" applyBorder="1" applyAlignment="1" applyProtection="1">
      <alignment horizontal="left" vertical="center"/>
      <protection hidden="1"/>
    </xf>
    <xf numFmtId="0" fontId="3" fillId="25" borderId="112" xfId="0" applyFont="1" applyFill="1" applyBorder="1" applyAlignment="1" applyProtection="1">
      <alignment horizontal="left" vertical="center"/>
      <protection hidden="1"/>
    </xf>
    <xf numFmtId="0" fontId="3" fillId="25" borderId="48" xfId="0" applyFont="1" applyFill="1" applyBorder="1" applyAlignment="1" applyProtection="1">
      <alignment horizontal="left" vertical="center"/>
      <protection hidden="1"/>
    </xf>
    <xf numFmtId="0" fontId="13" fillId="25" borderId="188" xfId="0" applyFont="1" applyFill="1" applyBorder="1" applyAlignment="1" applyProtection="1">
      <alignment horizontal="center" vertical="center" wrapText="1"/>
      <protection hidden="1"/>
    </xf>
    <xf numFmtId="0" fontId="13" fillId="25" borderId="121" xfId="0" applyFont="1" applyFill="1" applyBorder="1" applyAlignment="1" applyProtection="1">
      <alignment horizontal="center" vertical="center" wrapText="1"/>
      <protection hidden="1"/>
    </xf>
    <xf numFmtId="0" fontId="13" fillId="25" borderId="101" xfId="0" applyFont="1" applyFill="1" applyBorder="1" applyAlignment="1" applyProtection="1">
      <alignment horizontal="center" vertical="center" wrapText="1"/>
      <protection hidden="1"/>
    </xf>
    <xf numFmtId="0" fontId="3" fillId="25" borderId="51" xfId="0" applyFont="1" applyFill="1" applyBorder="1" applyAlignment="1" applyProtection="1">
      <alignment horizontal="left" vertical="center" wrapText="1"/>
      <protection hidden="1"/>
    </xf>
    <xf numFmtId="0" fontId="3" fillId="25" borderId="42" xfId="0" applyFont="1" applyFill="1" applyBorder="1" applyAlignment="1" applyProtection="1">
      <alignment horizontal="left" vertical="center" wrapText="1"/>
      <protection hidden="1"/>
    </xf>
    <xf numFmtId="0" fontId="3" fillId="25" borderId="17" xfId="0" applyFont="1" applyFill="1" applyBorder="1" applyAlignment="1" applyProtection="1">
      <alignment horizontal="left" vertical="center" wrapText="1"/>
      <protection hidden="1"/>
    </xf>
    <xf numFmtId="0" fontId="3" fillId="25" borderId="43" xfId="0" applyFont="1" applyFill="1" applyBorder="1" applyAlignment="1" applyProtection="1">
      <alignment horizontal="center" vertical="center" wrapText="1"/>
      <protection hidden="1"/>
    </xf>
    <xf numFmtId="0" fontId="3" fillId="25" borderId="120" xfId="0" applyFont="1" applyFill="1" applyBorder="1" applyAlignment="1" applyProtection="1">
      <alignment horizontal="center" vertical="center" wrapText="1"/>
      <protection hidden="1"/>
    </xf>
    <xf numFmtId="0" fontId="3" fillId="25" borderId="107" xfId="0" applyFont="1" applyFill="1" applyBorder="1" applyAlignment="1" applyProtection="1">
      <alignment horizontal="center" vertical="center" wrapText="1"/>
      <protection hidden="1"/>
    </xf>
    <xf numFmtId="0" fontId="0" fillId="0" borderId="112" xfId="0" applyBorder="1" applyAlignment="1">
      <alignment vertical="center" wrapText="1"/>
    </xf>
    <xf numFmtId="0" fontId="0" fillId="0" borderId="48" xfId="0" applyBorder="1" applyAlignment="1">
      <alignment vertical="center" wrapText="1"/>
    </xf>
    <xf numFmtId="0" fontId="3" fillId="25" borderId="176" xfId="0" applyFont="1" applyFill="1" applyBorder="1" applyAlignment="1" applyProtection="1">
      <alignment horizontal="center" vertical="center" wrapText="1"/>
      <protection hidden="1"/>
    </xf>
    <xf numFmtId="0" fontId="3" fillId="25" borderId="121" xfId="0" applyFont="1" applyFill="1" applyBorder="1" applyAlignment="1" applyProtection="1">
      <alignment horizontal="center" vertical="center" wrapText="1"/>
      <protection hidden="1"/>
    </xf>
    <xf numFmtId="0" fontId="3" fillId="25" borderId="220" xfId="0" applyFont="1" applyFill="1" applyBorder="1" applyAlignment="1" applyProtection="1">
      <alignment horizontal="center" vertical="center" wrapText="1"/>
      <protection hidden="1"/>
    </xf>
    <xf numFmtId="0" fontId="3" fillId="25" borderId="120" xfId="0" applyFont="1" applyFill="1" applyBorder="1" applyAlignment="1" applyProtection="1">
      <alignment horizontal="center" vertical="center"/>
      <protection hidden="1"/>
    </xf>
    <xf numFmtId="0" fontId="3" fillId="25" borderId="14" xfId="0" applyFont="1" applyFill="1" applyBorder="1" applyAlignment="1" applyProtection="1">
      <alignment horizontal="center" vertical="center"/>
      <protection hidden="1"/>
    </xf>
    <xf numFmtId="0" fontId="3" fillId="25" borderId="192" xfId="0" applyFont="1" applyFill="1" applyBorder="1" applyAlignment="1" applyProtection="1">
      <alignment horizontal="center" vertical="center" wrapText="1"/>
      <protection hidden="1"/>
    </xf>
    <xf numFmtId="179" fontId="10" fillId="25" borderId="221" xfId="0" applyNumberFormat="1" applyFont="1" applyFill="1" applyBorder="1" applyAlignment="1" applyProtection="1">
      <alignment horizontal="center" vertical="center" wrapText="1"/>
      <protection hidden="1"/>
    </xf>
    <xf numFmtId="179" fontId="10" fillId="25" borderId="120" xfId="0" applyNumberFormat="1" applyFont="1" applyFill="1" applyBorder="1" applyAlignment="1" applyProtection="1">
      <alignment horizontal="center" vertical="center" wrapText="1"/>
      <protection hidden="1"/>
    </xf>
    <xf numFmtId="179" fontId="10" fillId="25" borderId="107" xfId="0" applyNumberFormat="1" applyFont="1" applyFill="1" applyBorder="1" applyAlignment="1" applyProtection="1">
      <alignment horizontal="center" vertical="center" wrapText="1"/>
      <protection hidden="1"/>
    </xf>
    <xf numFmtId="0" fontId="3" fillId="25" borderId="69" xfId="0" applyFont="1" applyFill="1" applyBorder="1" applyAlignment="1" applyProtection="1">
      <alignment vertical="center" wrapText="1"/>
      <protection hidden="1"/>
    </xf>
    <xf numFmtId="0" fontId="3" fillId="25" borderId="70" xfId="0" applyFont="1" applyFill="1" applyBorder="1" applyAlignment="1" applyProtection="1">
      <alignment vertical="center" wrapText="1"/>
      <protection hidden="1"/>
    </xf>
    <xf numFmtId="0" fontId="3" fillId="25" borderId="97" xfId="0" applyFont="1" applyFill="1" applyBorder="1" applyAlignment="1" applyProtection="1">
      <alignment vertical="center" wrapText="1"/>
      <protection hidden="1"/>
    </xf>
    <xf numFmtId="0" fontId="3" fillId="25" borderId="11" xfId="0" applyFont="1" applyFill="1" applyBorder="1" applyAlignment="1" applyProtection="1">
      <alignment vertical="center" wrapText="1"/>
      <protection hidden="1"/>
    </xf>
    <xf numFmtId="0" fontId="3" fillId="25" borderId="0" xfId="0" applyFont="1" applyFill="1" applyBorder="1" applyAlignment="1" applyProtection="1">
      <alignment vertical="center" wrapText="1"/>
      <protection hidden="1"/>
    </xf>
    <xf numFmtId="0" fontId="3" fillId="25" borderId="16" xfId="0" applyFont="1" applyFill="1" applyBorder="1" applyAlignment="1" applyProtection="1">
      <alignment vertical="center" wrapText="1"/>
      <protection hidden="1"/>
    </xf>
    <xf numFmtId="0" fontId="3" fillId="25" borderId="72" xfId="0" applyFont="1" applyFill="1" applyBorder="1" applyAlignment="1" applyProtection="1">
      <alignment vertical="center" wrapText="1"/>
      <protection hidden="1"/>
    </xf>
    <xf numFmtId="0" fontId="3" fillId="25" borderId="21" xfId="0" applyFont="1" applyFill="1" applyBorder="1" applyAlignment="1" applyProtection="1">
      <alignment vertical="center" wrapText="1"/>
      <protection hidden="1"/>
    </xf>
    <xf numFmtId="0" fontId="3" fillId="25" borderId="54" xfId="0" applyFont="1" applyFill="1" applyBorder="1" applyAlignment="1" applyProtection="1">
      <alignment vertical="center" wrapText="1"/>
      <protection hidden="1"/>
    </xf>
    <xf numFmtId="0" fontId="3" fillId="25" borderId="69" xfId="0" applyFont="1" applyFill="1" applyBorder="1" applyAlignment="1" applyProtection="1">
      <alignment horizontal="left" vertical="center" wrapText="1"/>
      <protection hidden="1"/>
    </xf>
    <xf numFmtId="0" fontId="0" fillId="0" borderId="70" xfId="0" applyBorder="1">
      <alignment vertical="center"/>
    </xf>
    <xf numFmtId="0" fontId="0" fillId="0" borderId="97" xfId="0" applyBorder="1">
      <alignment vertical="center"/>
    </xf>
    <xf numFmtId="0" fontId="0" fillId="0" borderId="11" xfId="0" applyBorder="1">
      <alignment vertical="center"/>
    </xf>
    <xf numFmtId="0" fontId="0" fillId="0" borderId="0" xfId="0">
      <alignment vertical="center"/>
    </xf>
    <xf numFmtId="0" fontId="0" fillId="0" borderId="16" xfId="0" applyBorder="1">
      <alignment vertical="center"/>
    </xf>
    <xf numFmtId="0" fontId="0" fillId="0" borderId="72" xfId="0" applyBorder="1">
      <alignment vertical="center"/>
    </xf>
    <xf numFmtId="0" fontId="0" fillId="0" borderId="21" xfId="0" applyBorder="1">
      <alignment vertical="center"/>
    </xf>
    <xf numFmtId="0" fontId="0" fillId="0" borderId="54" xfId="0" applyBorder="1">
      <alignment vertical="center"/>
    </xf>
    <xf numFmtId="0" fontId="3" fillId="25" borderId="176" xfId="0" applyFont="1" applyFill="1" applyBorder="1" applyAlignment="1" applyProtection="1">
      <alignment horizontal="center" vertical="center"/>
      <protection hidden="1"/>
    </xf>
    <xf numFmtId="0" fontId="3" fillId="25" borderId="121" xfId="0" applyFont="1" applyFill="1" applyBorder="1" applyAlignment="1" applyProtection="1">
      <alignment horizontal="center" vertical="center"/>
      <protection hidden="1"/>
    </xf>
    <xf numFmtId="0" fontId="3" fillId="25" borderId="220" xfId="0" applyFont="1" applyFill="1" applyBorder="1" applyAlignment="1" applyProtection="1">
      <alignment horizontal="center" vertical="center"/>
      <protection hidden="1"/>
    </xf>
    <xf numFmtId="196" fontId="27" fillId="44" borderId="26" xfId="0" applyNumberFormat="1" applyFont="1" applyFill="1" applyBorder="1" applyAlignment="1" applyProtection="1">
      <alignment horizontal="center" vertical="center"/>
      <protection locked="0" hidden="1"/>
    </xf>
    <xf numFmtId="196" fontId="27" fillId="44" borderId="53" xfId="0" applyNumberFormat="1" applyFont="1" applyFill="1" applyBorder="1" applyAlignment="1" applyProtection="1">
      <alignment horizontal="center" vertical="center"/>
      <protection locked="0" hidden="1"/>
    </xf>
    <xf numFmtId="0" fontId="3" fillId="41" borderId="0" xfId="0" applyFont="1" applyFill="1" applyBorder="1" applyAlignment="1" applyProtection="1">
      <alignment horizontal="left" vertical="center" wrapText="1"/>
    </xf>
    <xf numFmtId="0" fontId="3" fillId="25" borderId="11" xfId="0" applyFont="1" applyFill="1" applyBorder="1" applyAlignment="1" applyProtection="1">
      <alignment horizontal="left" vertical="top" wrapText="1"/>
    </xf>
    <xf numFmtId="0" fontId="3" fillId="25" borderId="0" xfId="0" applyFont="1" applyFill="1" applyBorder="1" applyAlignment="1" applyProtection="1">
      <alignment horizontal="left" vertical="top" wrapText="1"/>
    </xf>
    <xf numFmtId="202" fontId="27" fillId="26" borderId="132" xfId="35" applyNumberFormat="1" applyFont="1" applyFill="1" applyBorder="1" applyAlignment="1" applyProtection="1">
      <alignment horizontal="center" vertical="center"/>
      <protection locked="0" hidden="1"/>
    </xf>
    <xf numFmtId="202" fontId="27" fillId="26" borderId="88" xfId="35" applyNumberFormat="1" applyFont="1" applyFill="1" applyBorder="1" applyAlignment="1" applyProtection="1">
      <alignment horizontal="center" vertical="center"/>
      <protection locked="0" hidden="1"/>
    </xf>
    <xf numFmtId="179" fontId="3" fillId="25" borderId="47" xfId="0" applyNumberFormat="1" applyFont="1" applyFill="1" applyBorder="1" applyAlignment="1" applyProtection="1">
      <alignment horizontal="left" vertical="center" wrapText="1"/>
      <protection hidden="1"/>
    </xf>
    <xf numFmtId="179" fontId="3" fillId="25" borderId="112" xfId="0" applyNumberFormat="1" applyFont="1" applyFill="1" applyBorder="1" applyAlignment="1" applyProtection="1">
      <alignment horizontal="left" vertical="center" wrapText="1"/>
      <protection hidden="1"/>
    </xf>
    <xf numFmtId="179" fontId="3" fillId="25" borderId="48" xfId="0" applyNumberFormat="1" applyFont="1" applyFill="1" applyBorder="1" applyAlignment="1" applyProtection="1">
      <alignment horizontal="left" vertical="center" wrapText="1"/>
      <protection hidden="1"/>
    </xf>
    <xf numFmtId="0" fontId="3" fillId="25" borderId="49" xfId="0" applyNumberFormat="1" applyFont="1" applyFill="1" applyBorder="1" applyAlignment="1" applyProtection="1">
      <alignment horizontal="left" vertical="center" wrapText="1"/>
      <protection hidden="1"/>
    </xf>
    <xf numFmtId="0" fontId="3" fillId="25" borderId="114" xfId="0" applyNumberFormat="1" applyFont="1" applyFill="1" applyBorder="1" applyAlignment="1" applyProtection="1">
      <alignment horizontal="left" vertical="center" wrapText="1"/>
      <protection hidden="1"/>
    </xf>
    <xf numFmtId="0" fontId="3" fillId="25" borderId="50" xfId="0" applyNumberFormat="1" applyFont="1" applyFill="1" applyBorder="1" applyAlignment="1" applyProtection="1">
      <alignment horizontal="left" vertical="center" wrapText="1"/>
      <protection hidden="1"/>
    </xf>
    <xf numFmtId="179" fontId="3" fillId="25" borderId="45" xfId="0" applyNumberFormat="1" applyFont="1" applyFill="1" applyBorder="1" applyAlignment="1" applyProtection="1">
      <alignment horizontal="left" vertical="center" wrapText="1"/>
      <protection hidden="1"/>
    </xf>
    <xf numFmtId="179" fontId="3" fillId="25" borderId="18" xfId="0" applyNumberFormat="1" applyFont="1" applyFill="1" applyBorder="1" applyAlignment="1" applyProtection="1">
      <alignment horizontal="left" vertical="center" wrapText="1"/>
      <protection hidden="1"/>
    </xf>
    <xf numFmtId="179" fontId="3" fillId="25" borderId="46" xfId="0" applyNumberFormat="1" applyFont="1" applyFill="1" applyBorder="1" applyAlignment="1" applyProtection="1">
      <alignment horizontal="left" vertical="center" wrapText="1"/>
      <protection hidden="1"/>
    </xf>
    <xf numFmtId="179" fontId="3" fillId="25" borderId="49" xfId="0" applyNumberFormat="1" applyFont="1" applyFill="1" applyBorder="1" applyAlignment="1" applyProtection="1">
      <alignment horizontal="left" vertical="center" wrapText="1"/>
      <protection hidden="1"/>
    </xf>
    <xf numFmtId="179" fontId="3" fillId="25" borderId="114" xfId="0" applyNumberFormat="1" applyFont="1" applyFill="1" applyBorder="1" applyAlignment="1" applyProtection="1">
      <alignment horizontal="left" vertical="center" wrapText="1"/>
      <protection hidden="1"/>
    </xf>
    <xf numFmtId="179" fontId="3" fillId="25" borderId="50" xfId="0" applyNumberFormat="1" applyFont="1" applyFill="1" applyBorder="1" applyAlignment="1" applyProtection="1">
      <alignment horizontal="left" vertical="center" wrapText="1"/>
      <protection hidden="1"/>
    </xf>
    <xf numFmtId="0" fontId="3" fillId="25" borderId="42" xfId="0" applyFont="1" applyFill="1" applyBorder="1" applyAlignment="1" applyProtection="1">
      <alignment horizontal="right" vertical="center"/>
      <protection hidden="1"/>
    </xf>
    <xf numFmtId="192" fontId="3" fillId="25" borderId="42" xfId="0" applyNumberFormat="1" applyFont="1" applyFill="1" applyBorder="1" applyAlignment="1" applyProtection="1">
      <alignment horizontal="left" vertical="center"/>
      <protection hidden="1"/>
    </xf>
    <xf numFmtId="0" fontId="0" fillId="0" borderId="70" xfId="0" applyBorder="1" applyAlignment="1">
      <alignment vertical="center" wrapText="1"/>
    </xf>
    <xf numFmtId="0" fontId="0" fillId="0" borderId="97" xfId="0" applyBorder="1" applyAlignment="1">
      <alignment vertical="center" wrapText="1"/>
    </xf>
    <xf numFmtId="0" fontId="3" fillId="25" borderId="49" xfId="0" applyFont="1" applyFill="1" applyBorder="1" applyAlignment="1" applyProtection="1">
      <alignment horizontal="left" vertical="center" wrapText="1"/>
    </xf>
    <xf numFmtId="0" fontId="3" fillId="25" borderId="114" xfId="0" applyFont="1" applyFill="1" applyBorder="1" applyAlignment="1" applyProtection="1">
      <alignment horizontal="left" vertical="center" wrapText="1"/>
    </xf>
    <xf numFmtId="0" fontId="3" fillId="25" borderId="50" xfId="0" applyFont="1" applyFill="1" applyBorder="1" applyAlignment="1" applyProtection="1">
      <alignment horizontal="left" vertical="center" wrapText="1"/>
    </xf>
    <xf numFmtId="0" fontId="3" fillId="25" borderId="45" xfId="0" applyFont="1" applyFill="1" applyBorder="1" applyAlignment="1" applyProtection="1">
      <alignment horizontal="left" vertical="center" wrapText="1"/>
    </xf>
    <xf numFmtId="0" fontId="3" fillId="25" borderId="18" xfId="0" applyFont="1" applyFill="1" applyBorder="1" applyAlignment="1" applyProtection="1">
      <alignment horizontal="left" vertical="center" wrapText="1"/>
    </xf>
    <xf numFmtId="0" fontId="3" fillId="25" borderId="46" xfId="0" applyFont="1" applyFill="1" applyBorder="1" applyAlignment="1" applyProtection="1">
      <alignment horizontal="left" vertical="center" wrapText="1"/>
    </xf>
    <xf numFmtId="0" fontId="3" fillId="25" borderId="47" xfId="0" applyFont="1" applyFill="1" applyBorder="1" applyAlignment="1" applyProtection="1">
      <alignment horizontal="left" vertical="center" wrapText="1"/>
    </xf>
    <xf numFmtId="0" fontId="3" fillId="25" borderId="112" xfId="0" applyFont="1" applyFill="1" applyBorder="1" applyAlignment="1" applyProtection="1">
      <alignment horizontal="left" vertical="center" wrapText="1"/>
    </xf>
    <xf numFmtId="0" fontId="3" fillId="25" borderId="48" xfId="0" applyFont="1" applyFill="1" applyBorder="1" applyAlignment="1" applyProtection="1">
      <alignment horizontal="left" vertical="center" wrapText="1"/>
    </xf>
    <xf numFmtId="0" fontId="3" fillId="25" borderId="15" xfId="0" applyFont="1" applyFill="1" applyBorder="1" applyAlignment="1" applyProtection="1">
      <alignment horizontal="left" vertical="center" wrapText="1"/>
    </xf>
    <xf numFmtId="0" fontId="3" fillId="25" borderId="115" xfId="0" applyFont="1" applyFill="1" applyBorder="1" applyAlignment="1" applyProtection="1">
      <alignment horizontal="left" vertical="center" wrapText="1"/>
    </xf>
    <xf numFmtId="0" fontId="3" fillId="25" borderId="116" xfId="0" applyFont="1" applyFill="1" applyBorder="1" applyAlignment="1" applyProtection="1">
      <alignment horizontal="left" vertical="center" wrapText="1"/>
    </xf>
    <xf numFmtId="0" fontId="3" fillId="25" borderId="138" xfId="0" applyFont="1" applyFill="1" applyBorder="1" applyAlignment="1" applyProtection="1">
      <alignment horizontal="left" vertical="center" wrapText="1"/>
    </xf>
    <xf numFmtId="0" fontId="3" fillId="25" borderId="118" xfId="0" applyFont="1" applyFill="1" applyBorder="1" applyAlignment="1" applyProtection="1">
      <alignment horizontal="left" vertical="center" wrapText="1"/>
    </xf>
    <xf numFmtId="0" fontId="3" fillId="25" borderId="139" xfId="0" applyFont="1" applyFill="1" applyBorder="1" applyAlignment="1" applyProtection="1">
      <alignment horizontal="left" vertical="center" wrapText="1"/>
    </xf>
    <xf numFmtId="0" fontId="3" fillId="25" borderId="101" xfId="0" applyFont="1" applyFill="1" applyBorder="1" applyAlignment="1" applyProtection="1">
      <alignment horizontal="center" vertical="center"/>
      <protection hidden="1"/>
    </xf>
    <xf numFmtId="0" fontId="0" fillId="0" borderId="120" xfId="0" applyBorder="1" applyAlignment="1">
      <alignment horizontal="center" vertical="center"/>
    </xf>
    <xf numFmtId="0" fontId="0" fillId="0" borderId="107" xfId="0" applyBorder="1" applyAlignment="1">
      <alignment horizontal="center" vertical="center"/>
    </xf>
    <xf numFmtId="0" fontId="3" fillId="25" borderId="70" xfId="0" applyFont="1" applyFill="1" applyBorder="1" applyAlignment="1" applyProtection="1">
      <alignment horizontal="left" vertical="center" wrapText="1"/>
      <protection hidden="1"/>
    </xf>
    <xf numFmtId="0" fontId="3" fillId="25" borderId="97" xfId="0" applyFont="1" applyFill="1" applyBorder="1" applyAlignment="1" applyProtection="1">
      <alignment horizontal="left" vertical="center" wrapText="1"/>
      <protection hidden="1"/>
    </xf>
    <xf numFmtId="0" fontId="3" fillId="25" borderId="11" xfId="0" applyFont="1" applyFill="1" applyBorder="1" applyAlignment="1" applyProtection="1">
      <alignment horizontal="left" vertical="center" wrapText="1"/>
      <protection hidden="1"/>
    </xf>
    <xf numFmtId="0" fontId="3" fillId="25" borderId="0" xfId="0" applyFont="1" applyFill="1" applyBorder="1" applyAlignment="1" applyProtection="1">
      <alignment horizontal="left" vertical="center" wrapText="1"/>
      <protection hidden="1"/>
    </xf>
    <xf numFmtId="0" fontId="3" fillId="25" borderId="16" xfId="0" applyFont="1" applyFill="1" applyBorder="1" applyAlignment="1" applyProtection="1">
      <alignment horizontal="left" vertical="center" wrapText="1"/>
      <protection hidden="1"/>
    </xf>
    <xf numFmtId="0" fontId="3" fillId="25" borderId="72" xfId="0" applyFont="1" applyFill="1" applyBorder="1" applyAlignment="1" applyProtection="1">
      <alignment horizontal="left" vertical="center" wrapText="1"/>
      <protection hidden="1"/>
    </xf>
    <xf numFmtId="0" fontId="3" fillId="25" borderId="21" xfId="0" applyFont="1" applyFill="1" applyBorder="1" applyAlignment="1" applyProtection="1">
      <alignment horizontal="left" vertical="center" wrapText="1"/>
      <protection hidden="1"/>
    </xf>
    <xf numFmtId="0" fontId="3" fillId="25" borderId="54" xfId="0" applyFont="1" applyFill="1" applyBorder="1" applyAlignment="1" applyProtection="1">
      <alignment horizontal="left" vertical="center" wrapText="1"/>
      <protection hidden="1"/>
    </xf>
    <xf numFmtId="0" fontId="5" fillId="26" borderId="132" xfId="0" applyFont="1" applyFill="1" applyBorder="1" applyAlignment="1" applyProtection="1">
      <alignment horizontal="center" vertical="center"/>
      <protection locked="0" hidden="1"/>
    </xf>
    <xf numFmtId="0" fontId="5" fillId="26" borderId="134" xfId="0" applyFont="1" applyFill="1" applyBorder="1" applyAlignment="1" applyProtection="1">
      <alignment horizontal="center" vertical="center"/>
      <protection locked="0" hidden="1"/>
    </xf>
    <xf numFmtId="0" fontId="3" fillId="25" borderId="69" xfId="0" applyNumberFormat="1" applyFont="1" applyFill="1" applyBorder="1" applyAlignment="1" applyProtection="1">
      <alignment horizontal="left" vertical="center" wrapText="1"/>
      <protection hidden="1"/>
    </xf>
    <xf numFmtId="0" fontId="3" fillId="25" borderId="97" xfId="0" applyNumberFormat="1" applyFont="1" applyFill="1" applyBorder="1" applyAlignment="1" applyProtection="1">
      <alignment horizontal="left" vertical="center" wrapText="1"/>
      <protection hidden="1"/>
    </xf>
    <xf numFmtId="0" fontId="3" fillId="25" borderId="45" xfId="0" applyNumberFormat="1" applyFont="1" applyFill="1" applyBorder="1" applyAlignment="1" applyProtection="1">
      <alignment horizontal="left" vertical="center" wrapText="1"/>
      <protection hidden="1"/>
    </xf>
    <xf numFmtId="0" fontId="3" fillId="25" borderId="18" xfId="0" applyNumberFormat="1" applyFont="1" applyFill="1" applyBorder="1" applyAlignment="1" applyProtection="1">
      <alignment horizontal="left" vertical="center" wrapText="1"/>
      <protection hidden="1"/>
    </xf>
    <xf numFmtId="0" fontId="3" fillId="25" borderId="46" xfId="0" applyNumberFormat="1" applyFont="1" applyFill="1" applyBorder="1" applyAlignment="1" applyProtection="1">
      <alignment horizontal="left" vertical="center" wrapText="1"/>
      <protection hidden="1"/>
    </xf>
    <xf numFmtId="0" fontId="3" fillId="45" borderId="231" xfId="0" applyFont="1" applyFill="1" applyBorder="1" applyAlignment="1" applyProtection="1">
      <alignment horizontal="left" vertical="center" wrapText="1"/>
    </xf>
    <xf numFmtId="0" fontId="3" fillId="45" borderId="226" xfId="0" applyFont="1" applyFill="1" applyBorder="1" applyAlignment="1" applyProtection="1">
      <alignment horizontal="left" vertical="center" wrapText="1"/>
    </xf>
    <xf numFmtId="0" fontId="3" fillId="45" borderId="232" xfId="0" applyFont="1" applyFill="1" applyBorder="1" applyAlignment="1" applyProtection="1">
      <alignment horizontal="left" vertical="center" wrapText="1"/>
    </xf>
    <xf numFmtId="0" fontId="3" fillId="45" borderId="11" xfId="0" applyFont="1" applyFill="1" applyBorder="1" applyAlignment="1" applyProtection="1">
      <alignment vertical="center" wrapText="1"/>
    </xf>
    <xf numFmtId="0" fontId="0" fillId="0" borderId="0" xfId="0" applyAlignment="1">
      <alignment vertical="center" wrapText="1"/>
    </xf>
    <xf numFmtId="0" fontId="0" fillId="0" borderId="16" xfId="0" applyBorder="1" applyAlignment="1">
      <alignment vertical="center" wrapText="1"/>
    </xf>
    <xf numFmtId="0" fontId="5" fillId="26" borderId="88" xfId="0" applyFont="1" applyFill="1" applyBorder="1" applyAlignment="1" applyProtection="1">
      <alignment horizontal="center" vertical="center"/>
      <protection locked="0" hidden="1"/>
    </xf>
    <xf numFmtId="0" fontId="3" fillId="25" borderId="138" xfId="0" applyNumberFormat="1" applyFont="1" applyFill="1" applyBorder="1" applyAlignment="1" applyProtection="1">
      <alignment horizontal="left" vertical="center" wrapText="1"/>
      <protection hidden="1"/>
    </xf>
    <xf numFmtId="0" fontId="3" fillId="25" borderId="139" xfId="0" applyNumberFormat="1" applyFont="1" applyFill="1" applyBorder="1" applyAlignment="1" applyProtection="1">
      <alignment horizontal="left" vertical="center" wrapText="1"/>
      <protection hidden="1"/>
    </xf>
    <xf numFmtId="0" fontId="3" fillId="25" borderId="47" xfId="0" applyNumberFormat="1" applyFont="1" applyFill="1" applyBorder="1" applyAlignment="1" applyProtection="1">
      <alignment horizontal="left" vertical="center" wrapText="1"/>
      <protection hidden="1"/>
    </xf>
    <xf numFmtId="0" fontId="0" fillId="0" borderId="112" xfId="0" applyFont="1" applyBorder="1" applyAlignment="1">
      <alignment horizontal="left" vertical="center" wrapText="1"/>
    </xf>
    <xf numFmtId="0" fontId="0" fillId="0" borderId="48" xfId="0" applyFont="1" applyBorder="1" applyAlignment="1">
      <alignment horizontal="left" vertical="center" wrapText="1"/>
    </xf>
    <xf numFmtId="0" fontId="3" fillId="25" borderId="11" xfId="0" applyNumberFormat="1" applyFont="1" applyFill="1" applyBorder="1" applyAlignment="1" applyProtection="1">
      <alignment horizontal="left" vertical="center" wrapText="1"/>
      <protection hidden="1"/>
    </xf>
    <xf numFmtId="0" fontId="3" fillId="25" borderId="16" xfId="0" applyNumberFormat="1" applyFont="1" applyFill="1" applyBorder="1" applyAlignment="1" applyProtection="1">
      <alignment horizontal="left" vertical="center" wrapText="1"/>
      <protection hidden="1"/>
    </xf>
    <xf numFmtId="0" fontId="3" fillId="25" borderId="72" xfId="0" applyNumberFormat="1" applyFont="1" applyFill="1" applyBorder="1" applyAlignment="1" applyProtection="1">
      <alignment horizontal="left" vertical="center" wrapText="1"/>
      <protection hidden="1"/>
    </xf>
    <xf numFmtId="0" fontId="3" fillId="25" borderId="54" xfId="0" applyNumberFormat="1" applyFont="1" applyFill="1" applyBorder="1" applyAlignment="1" applyProtection="1">
      <alignment horizontal="left" vertical="center" wrapText="1"/>
      <protection hidden="1"/>
    </xf>
    <xf numFmtId="0" fontId="3" fillId="25" borderId="15" xfId="0" applyNumberFormat="1" applyFont="1" applyFill="1" applyBorder="1" applyAlignment="1" applyProtection="1">
      <alignment horizontal="left" vertical="center" wrapText="1"/>
      <protection hidden="1"/>
    </xf>
    <xf numFmtId="0" fontId="3" fillId="25" borderId="116" xfId="0" applyNumberFormat="1" applyFont="1" applyFill="1" applyBorder="1" applyAlignment="1" applyProtection="1">
      <alignment horizontal="left" vertical="center" wrapText="1"/>
      <protection hidden="1"/>
    </xf>
    <xf numFmtId="0" fontId="13" fillId="46" borderId="10" xfId="0" applyFont="1" applyFill="1" applyBorder="1" applyAlignment="1" applyProtection="1">
      <alignment horizontal="center" vertical="center" wrapText="1"/>
    </xf>
    <xf numFmtId="40" fontId="13" fillId="46" borderId="10" xfId="0" applyNumberFormat="1" applyFont="1" applyFill="1" applyBorder="1" applyAlignment="1" applyProtection="1">
      <alignment horizontal="center" vertical="center" wrapText="1"/>
    </xf>
    <xf numFmtId="178" fontId="13" fillId="30" borderId="10" xfId="0" applyNumberFormat="1" applyFont="1" applyFill="1" applyBorder="1" applyAlignment="1" applyProtection="1">
      <alignment horizontal="left" vertical="center" wrapText="1"/>
      <protection locked="0"/>
    </xf>
    <xf numFmtId="40" fontId="13" fillId="25" borderId="45" xfId="0" applyNumberFormat="1" applyFont="1" applyFill="1" applyBorder="1" applyAlignment="1" applyProtection="1">
      <alignment horizontal="center" vertical="center" wrapText="1"/>
    </xf>
    <xf numFmtId="40" fontId="13" fillId="25" borderId="46" xfId="0" applyNumberFormat="1" applyFont="1" applyFill="1" applyBorder="1" applyAlignment="1" applyProtection="1">
      <alignment horizontal="center" vertical="center" wrapText="1"/>
    </xf>
    <xf numFmtId="40" fontId="13" fillId="25" borderId="49" xfId="0" applyNumberFormat="1" applyFont="1" applyFill="1" applyBorder="1" applyAlignment="1" applyProtection="1">
      <alignment horizontal="center" vertical="center" wrapText="1"/>
    </xf>
    <xf numFmtId="40" fontId="13" fillId="25" borderId="50" xfId="0" applyNumberFormat="1" applyFont="1" applyFill="1" applyBorder="1" applyAlignment="1" applyProtection="1">
      <alignment horizontal="center" vertical="center" wrapText="1"/>
    </xf>
    <xf numFmtId="0" fontId="13" fillId="25" borderId="69" xfId="0" applyFont="1" applyFill="1" applyBorder="1" applyAlignment="1" applyProtection="1">
      <alignment horizontal="center" vertical="center" wrapText="1"/>
    </xf>
    <xf numFmtId="0" fontId="13" fillId="25" borderId="70" xfId="0" applyFont="1" applyFill="1" applyBorder="1" applyAlignment="1" applyProtection="1">
      <alignment horizontal="center" vertical="center" wrapText="1"/>
    </xf>
    <xf numFmtId="0" fontId="13" fillId="25" borderId="97" xfId="0" applyFont="1" applyFill="1" applyBorder="1" applyAlignment="1" applyProtection="1">
      <alignment horizontal="center" vertical="center" wrapText="1"/>
    </xf>
    <xf numFmtId="0" fontId="13" fillId="25" borderId="107" xfId="0" applyFont="1" applyFill="1" applyBorder="1" applyAlignment="1" applyProtection="1">
      <alignment horizontal="center" vertical="center" wrapText="1"/>
    </xf>
    <xf numFmtId="40" fontId="13" fillId="25" borderId="10" xfId="0" applyNumberFormat="1" applyFont="1" applyFill="1" applyBorder="1" applyAlignment="1" applyProtection="1">
      <alignment horizontal="center" vertical="center" wrapText="1"/>
    </xf>
    <xf numFmtId="0" fontId="13" fillId="25" borderId="51" xfId="0" applyFont="1" applyFill="1" applyBorder="1" applyAlignment="1" applyProtection="1">
      <alignment horizontal="center" vertical="center"/>
    </xf>
    <xf numFmtId="0" fontId="13" fillId="25" borderId="17" xfId="0" applyFont="1" applyFill="1" applyBorder="1" applyAlignment="1" applyProtection="1">
      <alignment horizontal="center" vertical="center"/>
    </xf>
    <xf numFmtId="0" fontId="13" fillId="25" borderId="11" xfId="0" applyFont="1" applyFill="1" applyBorder="1" applyAlignment="1" applyProtection="1">
      <alignment horizontal="left" vertical="center" wrapText="1"/>
    </xf>
    <xf numFmtId="0" fontId="13" fillId="25" borderId="20" xfId="0" applyFont="1" applyFill="1" applyBorder="1" applyAlignment="1" applyProtection="1">
      <alignment horizontal="left" vertical="center" wrapText="1"/>
    </xf>
    <xf numFmtId="0" fontId="13" fillId="25" borderId="51" xfId="0" applyFont="1" applyFill="1" applyBorder="1" applyAlignment="1" applyProtection="1">
      <alignment horizontal="left" vertical="center" wrapText="1"/>
    </xf>
    <xf numFmtId="0" fontId="13" fillId="25" borderId="17" xfId="0" applyFont="1" applyFill="1" applyBorder="1" applyAlignment="1" applyProtection="1">
      <alignment horizontal="left" vertical="center" wrapText="1"/>
    </xf>
    <xf numFmtId="0" fontId="13" fillId="25" borderId="43" xfId="0" applyFont="1" applyFill="1" applyBorder="1" applyAlignment="1" applyProtection="1">
      <alignment horizontal="center" vertical="center" wrapText="1"/>
    </xf>
    <xf numFmtId="0" fontId="13" fillId="25" borderId="120" xfId="0" applyFont="1" applyFill="1" applyBorder="1" applyAlignment="1" applyProtection="1">
      <alignment horizontal="center" vertical="center" wrapText="1"/>
    </xf>
    <xf numFmtId="0" fontId="13" fillId="25" borderId="71" xfId="0" applyFont="1" applyFill="1" applyBorder="1" applyAlignment="1" applyProtection="1">
      <alignment horizontal="left" vertical="center" wrapText="1"/>
    </xf>
    <xf numFmtId="0" fontId="13" fillId="25" borderId="69" xfId="0" applyFont="1" applyFill="1" applyBorder="1" applyAlignment="1" applyProtection="1">
      <alignment horizontal="left" vertical="center" wrapText="1"/>
    </xf>
    <xf numFmtId="0" fontId="13" fillId="25" borderId="97" xfId="0" applyFont="1" applyFill="1" applyBorder="1" applyAlignment="1" applyProtection="1">
      <alignment horizontal="left" vertical="center" wrapText="1"/>
    </xf>
    <xf numFmtId="0" fontId="13" fillId="25" borderId="69" xfId="0" applyFont="1" applyFill="1" applyBorder="1" applyAlignment="1" applyProtection="1">
      <alignment horizontal="center" vertical="center"/>
    </xf>
    <xf numFmtId="0" fontId="13" fillId="25" borderId="70" xfId="0" applyFont="1" applyFill="1" applyBorder="1" applyAlignment="1" applyProtection="1">
      <alignment horizontal="center" vertical="center"/>
    </xf>
    <xf numFmtId="0" fontId="13" fillId="25" borderId="97" xfId="0" applyFont="1" applyFill="1" applyBorder="1" applyAlignment="1" applyProtection="1">
      <alignment horizontal="center" vertical="center"/>
    </xf>
    <xf numFmtId="0" fontId="13" fillId="25" borderId="72" xfId="0" applyFont="1" applyFill="1" applyBorder="1" applyAlignment="1" applyProtection="1">
      <alignment horizontal="center" vertical="center"/>
    </xf>
    <xf numFmtId="0" fontId="13" fillId="25" borderId="21" xfId="0" applyFont="1" applyFill="1" applyBorder="1" applyAlignment="1" applyProtection="1">
      <alignment horizontal="center" vertical="center"/>
    </xf>
    <xf numFmtId="0" fontId="13" fillId="25" borderId="54" xfId="0" applyFont="1" applyFill="1" applyBorder="1" applyAlignment="1" applyProtection="1">
      <alignment horizontal="center" vertical="center"/>
    </xf>
    <xf numFmtId="0" fontId="13" fillId="25" borderId="51" xfId="0" applyFont="1" applyFill="1" applyBorder="1" applyAlignment="1" applyProtection="1">
      <alignment horizontal="center" vertical="center" wrapText="1"/>
    </xf>
    <xf numFmtId="0" fontId="13" fillId="25" borderId="17" xfId="0" applyFont="1" applyFill="1" applyBorder="1" applyAlignment="1" applyProtection="1">
      <alignment horizontal="center" vertical="center" wrapText="1"/>
    </xf>
    <xf numFmtId="0" fontId="2" fillId="35" borderId="69" xfId="0" applyFont="1" applyFill="1" applyBorder="1" applyAlignment="1" applyProtection="1">
      <alignment horizontal="center" vertical="center"/>
      <protection hidden="1"/>
    </xf>
    <xf numFmtId="0" fontId="2" fillId="35" borderId="97" xfId="0" applyFont="1" applyFill="1" applyBorder="1" applyAlignment="1" applyProtection="1">
      <alignment horizontal="center" vertical="center"/>
      <protection hidden="1"/>
    </xf>
    <xf numFmtId="0" fontId="2" fillId="35" borderId="72" xfId="0" applyFont="1" applyFill="1" applyBorder="1" applyAlignment="1" applyProtection="1">
      <alignment horizontal="center" vertical="center"/>
      <protection hidden="1"/>
    </xf>
    <xf numFmtId="0" fontId="2" fillId="35" borderId="54" xfId="0" applyFont="1" applyFill="1" applyBorder="1" applyAlignment="1" applyProtection="1">
      <alignment horizontal="center" vertical="center"/>
      <protection hidden="1"/>
    </xf>
    <xf numFmtId="2" fontId="13" fillId="35" borderId="10" xfId="0" applyNumberFormat="1" applyFont="1" applyFill="1" applyBorder="1" applyAlignment="1" applyProtection="1">
      <alignment horizontal="center"/>
      <protection hidden="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7"/>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4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50"/>
    <cellStyle name="標準 3 4" xfId="49"/>
    <cellStyle name="標準_070627LCCO2計算" xfId="44"/>
    <cellStyle name="標準_選定シートV1.0" xfId="45"/>
    <cellStyle name="良い" xfId="46" builtinId="26" customBuiltin="1"/>
  </cellStyles>
  <dxfs count="191">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27"/>
        </patternFill>
      </fill>
    </dxf>
    <dxf>
      <fill>
        <patternFill>
          <bgColor indexed="27"/>
        </patternFill>
      </fill>
    </dxf>
    <dxf>
      <fill>
        <patternFill>
          <bgColor indexed="41"/>
        </patternFill>
      </fill>
    </dxf>
    <dxf>
      <fill>
        <patternFill>
          <bgColor indexed="1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27"/>
        </patternFill>
      </fill>
    </dxf>
    <dxf>
      <fill>
        <patternFill>
          <bgColor indexed="27"/>
        </patternFill>
      </fill>
    </dxf>
    <dxf>
      <fill>
        <patternFill>
          <bgColor indexed="26"/>
        </patternFill>
      </fill>
    </dxf>
    <dxf>
      <fill>
        <patternFill>
          <bgColor indexed="14"/>
        </patternFill>
      </fill>
    </dxf>
    <dxf>
      <fill>
        <patternFill>
          <bgColor indexed="27"/>
        </patternFill>
      </fill>
    </dxf>
    <dxf>
      <fill>
        <patternFill>
          <bgColor indexed="27"/>
        </patternFill>
      </fill>
    </dxf>
    <dxf>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41"/>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27"/>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27"/>
        </patternFill>
      </fill>
    </dxf>
    <dxf>
      <fill>
        <patternFill>
          <bgColor indexed="14"/>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4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auto="1"/>
      </font>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27"/>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s>
  <tableStyles count="0" defaultTableStyle="TableStyleMedium9" defaultPivotStyle="PivotStyleLight16"/>
  <colors>
    <mruColors>
      <color rgb="FFFFFFCC"/>
      <color rgb="FF008000"/>
      <color rgb="FFCCFFFF"/>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7.jpeg"/></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charts/_rels/chart9.xml.rels><?xml version="1.0" encoding="UTF-8" standalone="yes"?>
<Relationships xmlns="http://schemas.openxmlformats.org/package/2006/relationships"><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21815881208094E-2"/>
          <c:y val="8.2126136602873198E-2"/>
          <c:w val="0.89516452151382153"/>
          <c:h val="0.74396617863779269"/>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419A-416E-84E3-66BBB669EC62}"/>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419A-416E-84E3-66BBB669EC62}"/>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419A-416E-84E3-66BBB669EC62}"/>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419A-416E-84E3-66BBB669EC62}"/>
                </c:ext>
              </c:extLst>
            </c:dLbl>
            <c:dLbl>
              <c:idx val="4"/>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4-419A-416E-84E3-66BBB669EC62}"/>
                </c:ext>
              </c:extLst>
            </c:dLbl>
            <c:dLbl>
              <c:idx val="5"/>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5-419A-416E-84E3-66BBB669EC6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結果!$X$58:$X$60</c:f>
              <c:strCache>
                <c:ptCount val="3"/>
                <c:pt idx="0">
                  <c:v>地球環境に配慮する</c:v>
                </c:pt>
                <c:pt idx="1">
                  <c:v>地域環境に配慮する</c:v>
                </c:pt>
                <c:pt idx="2">
                  <c:v>周辺環境に配慮する</c:v>
                </c:pt>
              </c:strCache>
            </c:strRef>
          </c:cat>
          <c:val>
            <c:numRef>
              <c:f>結果!$Y$58:$Y$60</c:f>
              <c:numCache>
                <c:formatCode>0.0_ </c:formatCode>
                <c:ptCount val="3"/>
                <c:pt idx="0">
                  <c:v>0</c:v>
                </c:pt>
                <c:pt idx="1">
                  <c:v>3</c:v>
                </c:pt>
                <c:pt idx="2">
                  <c:v>3</c:v>
                </c:pt>
              </c:numCache>
            </c:numRef>
          </c:val>
          <c:extLst>
            <c:ext xmlns:c16="http://schemas.microsoft.com/office/drawing/2014/chart" uri="{C3380CC4-5D6E-409C-BE32-E72D297353CC}">
              <c16:uniqueId val="{00000006-9FAB-4696-8C9F-316B12260E3F}"/>
            </c:ext>
          </c:extLst>
        </c:ser>
        <c:dLbls>
          <c:showLegendKey val="0"/>
          <c:showVal val="0"/>
          <c:showCatName val="0"/>
          <c:showSerName val="0"/>
          <c:showPercent val="0"/>
          <c:showBubbleSize val="0"/>
        </c:dLbls>
        <c:gapWidth val="80"/>
        <c:axId val="211842904"/>
        <c:axId val="211844864"/>
      </c:barChart>
      <c:catAx>
        <c:axId val="211842904"/>
        <c:scaling>
          <c:orientation val="minMax"/>
        </c:scaling>
        <c:delete val="0"/>
        <c:axPos val="b"/>
        <c:numFmt formatCode="General" sourceLinked="1"/>
        <c:majorTickMark val="none"/>
        <c:minorTickMark val="none"/>
        <c:tickLblPos val="none"/>
        <c:spPr>
          <a:ln w="3175">
            <a:solidFill>
              <a:srgbClr val="000000"/>
            </a:solidFill>
            <a:prstDash val="solid"/>
          </a:ln>
        </c:spPr>
        <c:crossAx val="211844864"/>
        <c:crossesAt val="0"/>
        <c:auto val="1"/>
        <c:lblAlgn val="ctr"/>
        <c:lblOffset val="100"/>
        <c:tickMarkSkip val="1"/>
        <c:noMultiLvlLbl val="0"/>
      </c:catAx>
      <c:valAx>
        <c:axId val="21184486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184290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74E-2"/>
          <c:w val="0.96283783783783783"/>
          <c:h val="0.8409137568456857"/>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2"/>
                <a:srcRect/>
                <a:stretch>
                  <a:fillRect/>
                </a:stretch>
              </a:blipFill>
              <a:ln w="25400">
                <a:noFill/>
              </a:ln>
            </c:spPr>
            <c:pictureOptions>
              <c:pictureFormat val="stackScale"/>
              <c:pictureStackUnit val="20"/>
            </c:pictureOptions>
            <c:extLst>
              <c:ext xmlns:c16="http://schemas.microsoft.com/office/drawing/2014/chart" uri="{C3380CC4-5D6E-409C-BE32-E72D297353CC}">
                <c16:uniqueId val="{00000001-3D3B-4CDB-986D-5A8FB4F3BCB0}"/>
              </c:ext>
            </c:extLst>
          </c:dPt>
          <c:cat>
            <c:strRef>
              <c:f>結果!$R$35</c:f>
              <c:strCache>
                <c:ptCount val="1"/>
                <c:pt idx="0">
                  <c:v>Rank(green star)</c:v>
                </c:pt>
              </c:strCache>
            </c:strRef>
          </c:cat>
          <c:val>
            <c:numRef>
              <c:f>結果!$S$35</c:f>
              <c:numCache>
                <c:formatCode>#,##0.0;[Red]\-#,##0.0</c:formatCode>
                <c:ptCount val="1"/>
                <c:pt idx="0">
                  <c:v>0</c:v>
                </c:pt>
              </c:numCache>
            </c:numRef>
          </c:val>
          <c:extLst>
            <c:ext xmlns:c16="http://schemas.microsoft.com/office/drawing/2014/chart" uri="{C3380CC4-5D6E-409C-BE32-E72D297353CC}">
              <c16:uniqueId val="{00000002-3D3B-4CDB-986D-5A8FB4F3BCB0}"/>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結果!$R$35</c:f>
              <c:strCache>
                <c:ptCount val="1"/>
                <c:pt idx="0">
                  <c:v>Rank(green star)</c:v>
                </c:pt>
              </c:strCache>
            </c:strRef>
          </c:cat>
          <c:val>
            <c:numRef>
              <c:f>結果!$S$36</c:f>
              <c:numCache>
                <c:formatCode>#,##0.0;[Red]\-#,##0.0</c:formatCode>
                <c:ptCount val="1"/>
                <c:pt idx="0">
                  <c:v>0</c:v>
                </c:pt>
              </c:numCache>
            </c:numRef>
          </c:val>
          <c:extLst>
            <c:ext xmlns:c16="http://schemas.microsoft.com/office/drawing/2014/chart" uri="{C3380CC4-5D6E-409C-BE32-E72D297353CC}">
              <c16:uniqueId val="{00000003-3D3B-4CDB-986D-5A8FB4F3BCB0}"/>
            </c:ext>
          </c:extLst>
        </c:ser>
        <c:dLbls>
          <c:showLegendKey val="0"/>
          <c:showVal val="0"/>
          <c:showCatName val="0"/>
          <c:showSerName val="0"/>
          <c:showPercent val="0"/>
          <c:showBubbleSize val="0"/>
        </c:dLbls>
        <c:gapWidth val="50"/>
        <c:overlap val="100"/>
        <c:axId val="299138032"/>
        <c:axId val="299132936"/>
      </c:barChart>
      <c:catAx>
        <c:axId val="299138032"/>
        <c:scaling>
          <c:orientation val="minMax"/>
        </c:scaling>
        <c:delete val="1"/>
        <c:axPos val="l"/>
        <c:numFmt formatCode="General" sourceLinked="1"/>
        <c:majorTickMark val="out"/>
        <c:minorTickMark val="none"/>
        <c:tickLblPos val="none"/>
        <c:crossAx val="299132936"/>
        <c:crosses val="autoZero"/>
        <c:auto val="1"/>
        <c:lblAlgn val="ctr"/>
        <c:lblOffset val="100"/>
        <c:noMultiLvlLbl val="0"/>
      </c:catAx>
      <c:valAx>
        <c:axId val="299132936"/>
        <c:scaling>
          <c:orientation val="minMax"/>
        </c:scaling>
        <c:delete val="1"/>
        <c:axPos val="b"/>
        <c:numFmt formatCode="0%" sourceLinked="1"/>
        <c:majorTickMark val="out"/>
        <c:minorTickMark val="none"/>
        <c:tickLblPos val="none"/>
        <c:crossAx val="299138032"/>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30189320280639E-2"/>
          <c:y val="0.15111127507733849"/>
          <c:w val="0.86713434757148"/>
          <c:h val="0.64888959297915938"/>
        </c:manualLayout>
      </c:layout>
      <c:barChart>
        <c:barDir val="bar"/>
        <c:grouping val="stacked"/>
        <c:varyColors val="0"/>
        <c:ser>
          <c:idx val="0"/>
          <c:order val="0"/>
          <c:tx>
            <c:strRef>
              <c:f>結果!$S$38</c:f>
              <c:strCache>
                <c:ptCount val="1"/>
                <c:pt idx="0">
                  <c:v>建設</c:v>
                </c:pt>
              </c:strCache>
            </c:strRef>
          </c:tx>
          <c:spPr>
            <a:solidFill>
              <a:srgbClr val="9999FF"/>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ysDash"/>
              </a:ln>
            </c:spPr>
            <c:extLst>
              <c:ext xmlns:c16="http://schemas.microsoft.com/office/drawing/2014/chart" uri="{C3380CC4-5D6E-409C-BE32-E72D297353CC}">
                <c16:uniqueId val="{00000001-B631-4F2D-8208-2F06B6E823E2}"/>
              </c:ext>
            </c:extLst>
          </c:dPt>
          <c:val>
            <c:numRef>
              <c:f>結果!$S$39:$S$42</c:f>
              <c:numCache>
                <c:formatCode>#,##0_);[Red]\(#,##0\)</c:formatCode>
                <c:ptCount val="4"/>
                <c:pt idx="0">
                  <c:v>6.13</c:v>
                </c:pt>
                <c:pt idx="1">
                  <c:v>0</c:v>
                </c:pt>
              </c:numCache>
            </c:numRef>
          </c:val>
          <c:extLst>
            <c:ext xmlns:c16="http://schemas.microsoft.com/office/drawing/2014/chart" uri="{C3380CC4-5D6E-409C-BE32-E72D297353CC}">
              <c16:uniqueId val="{00000002-B631-4F2D-8208-2F06B6E823E2}"/>
            </c:ext>
          </c:extLst>
        </c:ser>
        <c:ser>
          <c:idx val="1"/>
          <c:order val="1"/>
          <c:tx>
            <c:strRef>
              <c:f>結果!$T$38</c:f>
              <c:strCache>
                <c:ptCount val="1"/>
                <c:pt idx="0">
                  <c:v>修繕・更新・解体</c:v>
                </c:pt>
              </c:strCache>
            </c:strRef>
          </c:tx>
          <c:spPr>
            <a:solidFill>
              <a:srgbClr val="99CC00"/>
            </a:solidFill>
            <a:ln w="12700">
              <a:solidFill>
                <a:srgbClr val="000000"/>
              </a:solidFill>
              <a:prstDash val="solid"/>
            </a:ln>
          </c:spPr>
          <c:invertIfNegative val="0"/>
          <c:dPt>
            <c:idx val="0"/>
            <c:invertIfNegative val="0"/>
            <c:bubble3D val="0"/>
            <c:spPr>
              <a:solidFill>
                <a:srgbClr val="99CC00"/>
              </a:solidFill>
              <a:ln w="12700">
                <a:solidFill>
                  <a:srgbClr val="000000"/>
                </a:solidFill>
                <a:prstDash val="sysDash"/>
              </a:ln>
            </c:spPr>
            <c:extLst>
              <c:ext xmlns:c16="http://schemas.microsoft.com/office/drawing/2014/chart" uri="{C3380CC4-5D6E-409C-BE32-E72D297353CC}">
                <c16:uniqueId val="{00000004-B631-4F2D-8208-2F06B6E823E2}"/>
              </c:ext>
            </c:extLst>
          </c:dPt>
          <c:val>
            <c:numRef>
              <c:f>結果!$T$39:$T$42</c:f>
              <c:numCache>
                <c:formatCode>#,##0_);[Red]\(#,##0\)</c:formatCode>
                <c:ptCount val="4"/>
                <c:pt idx="0">
                  <c:v>2.37</c:v>
                </c:pt>
                <c:pt idx="1">
                  <c:v>0</c:v>
                </c:pt>
              </c:numCache>
            </c:numRef>
          </c:val>
          <c:extLst>
            <c:ext xmlns:c16="http://schemas.microsoft.com/office/drawing/2014/chart" uri="{C3380CC4-5D6E-409C-BE32-E72D297353CC}">
              <c16:uniqueId val="{00000005-B631-4F2D-8208-2F06B6E823E2}"/>
            </c:ext>
          </c:extLst>
        </c:ser>
        <c:ser>
          <c:idx val="2"/>
          <c:order val="2"/>
          <c:tx>
            <c:strRef>
              <c:f>結果!$U$38</c:f>
              <c:strCache>
                <c:ptCount val="1"/>
                <c:pt idx="0">
                  <c:v>居住</c:v>
                </c:pt>
              </c:strCache>
            </c:strRef>
          </c:tx>
          <c:spPr>
            <a:solidFill>
              <a:srgbClr val="FFFFCC"/>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ysDash"/>
              </a:ln>
            </c:spPr>
            <c:extLst>
              <c:ext xmlns:c16="http://schemas.microsoft.com/office/drawing/2014/chart" uri="{C3380CC4-5D6E-409C-BE32-E72D297353CC}">
                <c16:uniqueId val="{00000007-B631-4F2D-8208-2F06B6E823E2}"/>
              </c:ext>
            </c:extLst>
          </c:dPt>
          <c:val>
            <c:numRef>
              <c:f>結果!$U$39:$U$42</c:f>
              <c:numCache>
                <c:formatCode>#,##0_);[Red]\(#,##0\)</c:formatCode>
                <c:ptCount val="4"/>
                <c:pt idx="0">
                  <c:v>0</c:v>
                </c:pt>
                <c:pt idx="1">
                  <c:v>0</c:v>
                </c:pt>
              </c:numCache>
            </c:numRef>
          </c:val>
          <c:extLst>
            <c:ext xmlns:c16="http://schemas.microsoft.com/office/drawing/2014/chart" uri="{C3380CC4-5D6E-409C-BE32-E72D297353CC}">
              <c16:uniqueId val="{00000008-B631-4F2D-8208-2F06B6E823E2}"/>
            </c:ext>
          </c:extLst>
        </c:ser>
        <c:ser>
          <c:idx val="3"/>
          <c:order val="3"/>
          <c:tx>
            <c:strRef>
              <c:f>結果!$V$38</c:f>
              <c:strCache>
                <c:ptCount val="1"/>
                <c:pt idx="0">
                  <c:v>オンサイト</c:v>
                </c:pt>
              </c:strCache>
            </c:strRef>
          </c:tx>
          <c:spPr>
            <a:solidFill>
              <a:srgbClr val="969696"/>
            </a:solidFill>
            <a:ln w="12700">
              <a:solidFill>
                <a:srgbClr val="000000"/>
              </a:solidFill>
              <a:prstDash val="solid"/>
            </a:ln>
          </c:spPr>
          <c:invertIfNegative val="0"/>
          <c:val>
            <c:numRef>
              <c:f>結果!$V$39:$V$42</c:f>
              <c:numCache>
                <c:formatCode>General</c:formatCode>
                <c:ptCount val="4"/>
                <c:pt idx="2" formatCode="#,##0_);[Red]\(#,##0\)">
                  <c:v>0</c:v>
                </c:pt>
              </c:numCache>
            </c:numRef>
          </c:val>
          <c:extLst>
            <c:ext xmlns:c16="http://schemas.microsoft.com/office/drawing/2014/chart" uri="{C3380CC4-5D6E-409C-BE32-E72D297353CC}">
              <c16:uniqueId val="{00000009-B631-4F2D-8208-2F06B6E823E2}"/>
            </c:ext>
          </c:extLst>
        </c:ser>
        <c:ser>
          <c:idx val="4"/>
          <c:order val="4"/>
          <c:tx>
            <c:strRef>
              <c:f>結果!$W$38</c:f>
              <c:strCache>
                <c:ptCount val="1"/>
                <c:pt idx="0">
                  <c:v>オフサイト</c:v>
                </c:pt>
              </c:strCache>
            </c:strRef>
          </c:tx>
          <c:spPr>
            <a:pattFill prst="pct60">
              <a:fgClr>
                <a:srgbClr val="969696"/>
              </a:fgClr>
              <a:bgClr>
                <a:srgbClr val="FFFFFF"/>
              </a:bgClr>
            </a:pattFill>
            <a:ln w="12700">
              <a:solidFill>
                <a:srgbClr val="000000"/>
              </a:solidFill>
              <a:prstDash val="solid"/>
            </a:ln>
          </c:spPr>
          <c:invertIfNegative val="0"/>
          <c:val>
            <c:numRef>
              <c:f>結果!$W$39:$W$42</c:f>
              <c:numCache>
                <c:formatCode>General</c:formatCode>
                <c:ptCount val="4"/>
                <c:pt idx="3" formatCode="#,##0_);[Red]\(#,##0\)">
                  <c:v>0</c:v>
                </c:pt>
              </c:numCache>
            </c:numRef>
          </c:val>
          <c:extLst>
            <c:ext xmlns:c16="http://schemas.microsoft.com/office/drawing/2014/chart" uri="{C3380CC4-5D6E-409C-BE32-E72D297353CC}">
              <c16:uniqueId val="{0000000A-B631-4F2D-8208-2F06B6E823E2}"/>
            </c:ext>
          </c:extLst>
        </c:ser>
        <c:dLbls>
          <c:showLegendKey val="0"/>
          <c:showVal val="0"/>
          <c:showCatName val="0"/>
          <c:showSerName val="0"/>
          <c:showPercent val="0"/>
          <c:showBubbleSize val="0"/>
        </c:dLbls>
        <c:gapWidth val="50"/>
        <c:overlap val="100"/>
        <c:axId val="299133328"/>
        <c:axId val="299133720"/>
      </c:barChart>
      <c:catAx>
        <c:axId val="299133328"/>
        <c:scaling>
          <c:orientation val="maxMin"/>
        </c:scaling>
        <c:delete val="1"/>
        <c:axPos val="l"/>
        <c:majorTickMark val="out"/>
        <c:minorTickMark val="none"/>
        <c:tickLblPos val="none"/>
        <c:crossAx val="299133720"/>
        <c:crosses val="autoZero"/>
        <c:auto val="1"/>
        <c:lblAlgn val="ctr"/>
        <c:lblOffset val="100"/>
        <c:noMultiLvlLbl val="0"/>
      </c:catAx>
      <c:valAx>
        <c:axId val="299133720"/>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99133328"/>
        <c:crosses val="max"/>
        <c:crossBetween val="between"/>
        <c:majorUnit val="20"/>
      </c:valAx>
      <c:spPr>
        <a:noFill/>
        <a:ln w="3175">
          <a:solidFill>
            <a:srgbClr val="000000"/>
          </a:solidFill>
          <a:prstDash val="solid"/>
        </a:ln>
      </c:spPr>
    </c:plotArea>
    <c:legend>
      <c:legendPos val="r"/>
      <c:layout>
        <c:manualLayout>
          <c:xMode val="edge"/>
          <c:yMode val="edge"/>
          <c:x val="7.8538417991868711E-2"/>
          <c:y val="4.4477107028288131E-2"/>
          <c:w val="0.8757054191755449"/>
          <c:h val="0.11119218431029458"/>
        </c:manualLayout>
      </c:layout>
      <c:overlay val="0"/>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70836265591569E-2"/>
          <c:y val="8.0568906826002568E-2"/>
          <c:w val="0.9098403139422957"/>
          <c:h val="0.73459885635472966"/>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77BE-4173-AF5E-3519184D34EF}"/>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77BE-4173-AF5E-3519184D34EF}"/>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77BE-4173-AF5E-3519184D34EF}"/>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77BE-4173-AF5E-3519184D34E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結果!$U$58:$U$60</c:f>
              <c:strCache>
                <c:ptCount val="3"/>
                <c:pt idx="0">
                  <c:v>省資源、廃棄物抑制に役立つ材料の採用</c:v>
                </c:pt>
                <c:pt idx="1">
                  <c:v>低環境負荷材料</c:v>
                </c:pt>
                <c:pt idx="2">
                  <c:v>リサイクルの促進</c:v>
                </c:pt>
              </c:strCache>
            </c:strRef>
          </c:cat>
          <c:val>
            <c:numRef>
              <c:f>結果!$V$58:$V$60</c:f>
              <c:numCache>
                <c:formatCode>0.0_ </c:formatCode>
                <c:ptCount val="3"/>
                <c:pt idx="0">
                  <c:v>3</c:v>
                </c:pt>
                <c:pt idx="1">
                  <c:v>3</c:v>
                </c:pt>
                <c:pt idx="2">
                  <c:v>3</c:v>
                </c:pt>
              </c:numCache>
            </c:numRef>
          </c:val>
          <c:extLst>
            <c:ext xmlns:c16="http://schemas.microsoft.com/office/drawing/2014/chart" uri="{C3380CC4-5D6E-409C-BE32-E72D297353CC}">
              <c16:uniqueId val="{00000004-7870-4136-B593-694DBFB18F48}"/>
            </c:ext>
          </c:extLst>
        </c:ser>
        <c:dLbls>
          <c:showLegendKey val="0"/>
          <c:showVal val="0"/>
          <c:showCatName val="0"/>
          <c:showSerName val="0"/>
          <c:showPercent val="0"/>
          <c:showBubbleSize val="0"/>
        </c:dLbls>
        <c:gapWidth val="80"/>
        <c:axId val="211845256"/>
        <c:axId val="211846040"/>
      </c:barChart>
      <c:catAx>
        <c:axId val="211845256"/>
        <c:scaling>
          <c:orientation val="minMax"/>
        </c:scaling>
        <c:delete val="0"/>
        <c:axPos val="b"/>
        <c:numFmt formatCode="General" sourceLinked="1"/>
        <c:majorTickMark val="none"/>
        <c:minorTickMark val="none"/>
        <c:tickLblPos val="none"/>
        <c:spPr>
          <a:ln w="3175">
            <a:solidFill>
              <a:srgbClr val="000000"/>
            </a:solidFill>
            <a:prstDash val="solid"/>
          </a:ln>
        </c:spPr>
        <c:crossAx val="211846040"/>
        <c:crossesAt val="0"/>
        <c:auto val="1"/>
        <c:lblAlgn val="ctr"/>
        <c:lblOffset val="100"/>
        <c:tickMarkSkip val="1"/>
        <c:noMultiLvlLbl val="0"/>
      </c:catAx>
      <c:valAx>
        <c:axId val="21184604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18452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horizontalDpi="-3" verticalDpi="-3"/>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80884319827424E-2"/>
          <c:y val="8.5308254286355578E-2"/>
          <c:w val="0.90786058025507776"/>
          <c:h val="0.72985950889437634"/>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603-4E36-ADD6-FDE1B697CF7C}"/>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603-4E36-ADD6-FDE1B697CF7C}"/>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603-4E36-ADD6-FDE1B697CF7C}"/>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A603-4E36-ADD6-FDE1B697CF7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結果!$R$58:$R$60</c:f>
              <c:strCache>
                <c:ptCount val="3"/>
                <c:pt idx="0">
                  <c:v>総合的な省エネ</c:v>
                </c:pt>
                <c:pt idx="1">
                  <c:v>水の節約</c:v>
                </c:pt>
                <c:pt idx="2">
                  <c:v>維持管理と運用の工夫</c:v>
                </c:pt>
              </c:strCache>
            </c:strRef>
          </c:cat>
          <c:val>
            <c:numRef>
              <c:f>結果!$S$58:$S$60</c:f>
              <c:numCache>
                <c:formatCode>#,##0.0;[Red]\-#,##0.0</c:formatCode>
                <c:ptCount val="3"/>
                <c:pt idx="0">
                  <c:v>4.8</c:v>
                </c:pt>
                <c:pt idx="1">
                  <c:v>3</c:v>
                </c:pt>
                <c:pt idx="2">
                  <c:v>3</c:v>
                </c:pt>
              </c:numCache>
            </c:numRef>
          </c:val>
          <c:extLst>
            <c:ext xmlns:c16="http://schemas.microsoft.com/office/drawing/2014/chart" uri="{C3380CC4-5D6E-409C-BE32-E72D297353CC}">
              <c16:uniqueId val="{00000004-86E6-4AE6-9CE5-39B1067D58F6}"/>
            </c:ext>
          </c:extLst>
        </c:ser>
        <c:dLbls>
          <c:showLegendKey val="0"/>
          <c:showVal val="0"/>
          <c:showCatName val="0"/>
          <c:showSerName val="0"/>
          <c:showPercent val="0"/>
          <c:showBubbleSize val="0"/>
        </c:dLbls>
        <c:gapWidth val="80"/>
        <c:axId val="298824256"/>
        <c:axId val="298829352"/>
      </c:barChart>
      <c:catAx>
        <c:axId val="298824256"/>
        <c:scaling>
          <c:orientation val="minMax"/>
        </c:scaling>
        <c:delete val="0"/>
        <c:axPos val="b"/>
        <c:numFmt formatCode="General" sourceLinked="1"/>
        <c:majorTickMark val="none"/>
        <c:minorTickMark val="none"/>
        <c:tickLblPos val="none"/>
        <c:spPr>
          <a:ln w="3175">
            <a:solidFill>
              <a:srgbClr val="000000"/>
            </a:solidFill>
            <a:prstDash val="solid"/>
          </a:ln>
        </c:spPr>
        <c:crossAx val="298829352"/>
        <c:crossesAt val="0"/>
        <c:auto val="1"/>
        <c:lblAlgn val="ctr"/>
        <c:lblOffset val="100"/>
        <c:tickMarkSkip val="1"/>
        <c:noMultiLvlLbl val="0"/>
      </c:catAx>
      <c:valAx>
        <c:axId val="29882935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8242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08636112007146E-2"/>
          <c:y val="8.415846669925918E-2"/>
          <c:w val="0.88709997627495862"/>
          <c:h val="0.77227769441673055"/>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6A49-4210-B8A5-72829BB60CA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6A49-4210-B8A5-72829BB60CA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6A49-4210-B8A5-72829BB60CAB}"/>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6A49-4210-B8A5-72829BB60CA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結果!$R$48:$R$51</c:f>
              <c:strCache>
                <c:ptCount val="4"/>
                <c:pt idx="0">
                  <c:v>暑さ・寒さ</c:v>
                </c:pt>
                <c:pt idx="1">
                  <c:v>健康と安全・安心</c:v>
                </c:pt>
                <c:pt idx="2">
                  <c:v>明るさ</c:v>
                </c:pt>
                <c:pt idx="3">
                  <c:v>静かさ</c:v>
                </c:pt>
              </c:strCache>
            </c:strRef>
          </c:cat>
          <c:val>
            <c:numRef>
              <c:f>結果!$S$48:$S$51</c:f>
              <c:numCache>
                <c:formatCode>0.0;_Ā</c:formatCode>
                <c:ptCount val="4"/>
                <c:pt idx="0">
                  <c:v>3</c:v>
                </c:pt>
                <c:pt idx="1">
                  <c:v>3</c:v>
                </c:pt>
                <c:pt idx="2">
                  <c:v>3</c:v>
                </c:pt>
                <c:pt idx="3">
                  <c:v>3</c:v>
                </c:pt>
              </c:numCache>
            </c:numRef>
          </c:val>
          <c:extLst>
            <c:ext xmlns:c16="http://schemas.microsoft.com/office/drawing/2014/chart" uri="{C3380CC4-5D6E-409C-BE32-E72D297353CC}">
              <c16:uniqueId val="{00000004-C3F6-4B52-963F-929C40453F37}"/>
            </c:ext>
          </c:extLst>
        </c:ser>
        <c:dLbls>
          <c:showLegendKey val="0"/>
          <c:showVal val="0"/>
          <c:showCatName val="0"/>
          <c:showSerName val="0"/>
          <c:showPercent val="0"/>
          <c:showBubbleSize val="0"/>
        </c:dLbls>
        <c:gapWidth val="40"/>
        <c:axId val="298827000"/>
        <c:axId val="298824648"/>
      </c:barChart>
      <c:catAx>
        <c:axId val="298827000"/>
        <c:scaling>
          <c:orientation val="minMax"/>
        </c:scaling>
        <c:delete val="0"/>
        <c:axPos val="b"/>
        <c:numFmt formatCode="General" sourceLinked="1"/>
        <c:majorTickMark val="none"/>
        <c:minorTickMark val="none"/>
        <c:tickLblPos val="none"/>
        <c:spPr>
          <a:ln w="3175">
            <a:solidFill>
              <a:srgbClr val="000000"/>
            </a:solidFill>
            <a:prstDash val="solid"/>
          </a:ln>
        </c:spPr>
        <c:crossAx val="298824648"/>
        <c:crossesAt val="0"/>
        <c:auto val="1"/>
        <c:lblAlgn val="ctr"/>
        <c:lblOffset val="100"/>
        <c:tickMarkSkip val="1"/>
        <c:noMultiLvlLbl val="0"/>
      </c:catAx>
      <c:valAx>
        <c:axId val="29882464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82700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71921606278969E-2"/>
          <c:y val="7.8704326409555908E-2"/>
          <c:w val="0.90027220773204142"/>
          <c:h val="0.73148726898293115"/>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A4B-4FBC-A3EC-8C709BFADD6A}"/>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A4B-4FBC-A3EC-8C709BFADD6A}"/>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A4B-4FBC-A3EC-8C709BFADD6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結果!$X$48:$X$51</c:f>
              <c:strCache>
                <c:ptCount val="4"/>
                <c:pt idx="0">
                  <c:v>まちなみ・景観への配慮</c:v>
                </c:pt>
                <c:pt idx="1">
                  <c:v>生物資源の保全と創出</c:v>
                </c:pt>
                <c:pt idx="2">
                  <c:v>地域の安全・安心</c:v>
                </c:pt>
                <c:pt idx="3">
                  <c:v>地域の資源・文化を守る</c:v>
                </c:pt>
              </c:strCache>
            </c:strRef>
          </c:cat>
          <c:val>
            <c:numRef>
              <c:f>結果!$Y$48:$Y$51</c:f>
              <c:numCache>
                <c:formatCode>0.0_ </c:formatCode>
                <c:ptCount val="4"/>
                <c:pt idx="0">
                  <c:v>3</c:v>
                </c:pt>
                <c:pt idx="1">
                  <c:v>3</c:v>
                </c:pt>
                <c:pt idx="2">
                  <c:v>3</c:v>
                </c:pt>
                <c:pt idx="3">
                  <c:v>3</c:v>
                </c:pt>
              </c:numCache>
            </c:numRef>
          </c:val>
          <c:extLst>
            <c:ext xmlns:c16="http://schemas.microsoft.com/office/drawing/2014/chart" uri="{C3380CC4-5D6E-409C-BE32-E72D297353CC}">
              <c16:uniqueId val="{00000003-85A4-4FFC-9C10-5E9FE9356CA0}"/>
            </c:ext>
          </c:extLst>
        </c:ser>
        <c:dLbls>
          <c:showLegendKey val="0"/>
          <c:showVal val="0"/>
          <c:showCatName val="0"/>
          <c:showSerName val="0"/>
          <c:showPercent val="0"/>
          <c:showBubbleSize val="0"/>
        </c:dLbls>
        <c:gapWidth val="40"/>
        <c:axId val="298828568"/>
        <c:axId val="298829744"/>
      </c:barChart>
      <c:catAx>
        <c:axId val="298828568"/>
        <c:scaling>
          <c:orientation val="minMax"/>
        </c:scaling>
        <c:delete val="0"/>
        <c:axPos val="b"/>
        <c:numFmt formatCode="General" sourceLinked="1"/>
        <c:majorTickMark val="none"/>
        <c:minorTickMark val="none"/>
        <c:tickLblPos val="none"/>
        <c:spPr>
          <a:ln w="3175">
            <a:solidFill>
              <a:srgbClr val="000000"/>
            </a:solidFill>
            <a:prstDash val="solid"/>
          </a:ln>
        </c:spPr>
        <c:crossAx val="298829744"/>
        <c:crossesAt val="0"/>
        <c:auto val="1"/>
        <c:lblAlgn val="ctr"/>
        <c:lblOffset val="100"/>
        <c:tickMarkSkip val="1"/>
        <c:noMultiLvlLbl val="0"/>
      </c:catAx>
      <c:valAx>
        <c:axId val="29882974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8285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horizontalDpi="-3" verticalDpi="-3"/>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70836265591569E-2"/>
          <c:y val="8.0188956283706189E-2"/>
          <c:w val="0.9098403139422957"/>
          <c:h val="0.735851598838716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F8A-4199-BB1C-DF08E2AC1A3C}"/>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F8A-4199-BB1C-DF08E2AC1A3C}"/>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F8A-4199-BB1C-DF08E2AC1A3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結果!$U$48:$U$50</c:f>
              <c:strCache>
                <c:ptCount val="3"/>
                <c:pt idx="0">
                  <c:v>長寿命に対する基本性能</c:v>
                </c:pt>
                <c:pt idx="1">
                  <c:v>維持管理</c:v>
                </c:pt>
                <c:pt idx="2">
                  <c:v>機能性</c:v>
                </c:pt>
              </c:strCache>
            </c:strRef>
          </c:cat>
          <c:val>
            <c:numRef>
              <c:f>結果!$V$48:$V$50</c:f>
              <c:numCache>
                <c:formatCode>0.0_ </c:formatCode>
                <c:ptCount val="3"/>
                <c:pt idx="0">
                  <c:v>3</c:v>
                </c:pt>
                <c:pt idx="1">
                  <c:v>3</c:v>
                </c:pt>
                <c:pt idx="2">
                  <c:v>3</c:v>
                </c:pt>
              </c:numCache>
            </c:numRef>
          </c:val>
          <c:extLst>
            <c:ext xmlns:c16="http://schemas.microsoft.com/office/drawing/2014/chart" uri="{C3380CC4-5D6E-409C-BE32-E72D297353CC}">
              <c16:uniqueId val="{00000003-5471-448A-A2B0-925B8FEABF23}"/>
            </c:ext>
          </c:extLst>
        </c:ser>
        <c:dLbls>
          <c:showLegendKey val="0"/>
          <c:showVal val="0"/>
          <c:showCatName val="0"/>
          <c:showSerName val="0"/>
          <c:showPercent val="0"/>
          <c:showBubbleSize val="0"/>
        </c:dLbls>
        <c:gapWidth val="80"/>
        <c:axId val="298827784"/>
        <c:axId val="298828960"/>
      </c:barChart>
      <c:catAx>
        <c:axId val="298827784"/>
        <c:scaling>
          <c:orientation val="minMax"/>
        </c:scaling>
        <c:delete val="0"/>
        <c:axPos val="b"/>
        <c:numFmt formatCode="General" sourceLinked="1"/>
        <c:majorTickMark val="none"/>
        <c:minorTickMark val="none"/>
        <c:tickLblPos val="none"/>
        <c:spPr>
          <a:ln w="3175">
            <a:solidFill>
              <a:srgbClr val="000000"/>
            </a:solidFill>
            <a:prstDash val="solid"/>
          </a:ln>
        </c:spPr>
        <c:crossAx val="298828960"/>
        <c:crossesAt val="0"/>
        <c:auto val="1"/>
        <c:lblAlgn val="ctr"/>
        <c:lblOffset val="100"/>
        <c:tickMarkSkip val="1"/>
        <c:noMultiLvlLbl val="0"/>
      </c:catAx>
      <c:valAx>
        <c:axId val="2988289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82778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12195121951209"/>
          <c:y val="9.7276264591439704E-2"/>
          <c:w val="0.70383275261324063"/>
          <c:h val="0.7042801556420234"/>
        </c:manualLayout>
      </c:layout>
      <c:areaChart>
        <c:grouping val="standard"/>
        <c:varyColors val="0"/>
        <c:ser>
          <c:idx val="4"/>
          <c:order val="2"/>
          <c:tx>
            <c:strRef>
              <c:f>結果!$S$28</c:f>
              <c:strCache>
                <c:ptCount val="1"/>
                <c:pt idx="0">
                  <c:v>S</c:v>
                </c:pt>
              </c:strCache>
            </c:strRef>
          </c:tx>
          <c:spPr>
            <a:pattFill prst="pct70">
              <a:fgClr>
                <a:srgbClr val="339966"/>
              </a:fgClr>
              <a:bgClr>
                <a:srgbClr val="FFFFFF"/>
              </a:bgClr>
            </a:pattFill>
            <a:ln w="12700">
              <a:solidFill>
                <a:srgbClr val="000000"/>
              </a:solidFill>
              <a:prstDash val="solid"/>
            </a:ln>
          </c:spPr>
          <c:cat>
            <c:numRef>
              <c:f>結果!$T$22:$U$22</c:f>
              <c:numCache>
                <c:formatCode>General</c:formatCode>
                <c:ptCount val="2"/>
                <c:pt idx="0" formatCode="#,##0_);[Red]\(#,##0\)">
                  <c:v>0</c:v>
                </c:pt>
                <c:pt idx="1">
                  <c:v>0</c:v>
                </c:pt>
              </c:numCache>
            </c:numRef>
          </c:cat>
          <c:val>
            <c:numRef>
              <c:f>結果!$T$28:$Z$28</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F7FB-4985-BB3A-1611CEAAB10C}"/>
            </c:ext>
          </c:extLst>
        </c:ser>
        <c:ser>
          <c:idx val="3"/>
          <c:order val="3"/>
          <c:tx>
            <c:strRef>
              <c:f>結果!$S$29</c:f>
              <c:strCache>
                <c:ptCount val="1"/>
                <c:pt idx="0">
                  <c:v>A</c:v>
                </c:pt>
              </c:strCache>
            </c:strRef>
          </c:tx>
          <c:spPr>
            <a:pattFill prst="pct90">
              <a:fgClr>
                <a:srgbClr val="CCFFCC"/>
              </a:fgClr>
              <a:bgClr>
                <a:srgbClr val="FFFFFF"/>
              </a:bgClr>
            </a:pattFill>
            <a:ln w="12700">
              <a:solidFill>
                <a:srgbClr val="000000"/>
              </a:solidFill>
              <a:prstDash val="solid"/>
            </a:ln>
          </c:spPr>
          <c:cat>
            <c:numRef>
              <c:f>結果!$T$22:$U$22</c:f>
              <c:numCache>
                <c:formatCode>General</c:formatCode>
                <c:ptCount val="2"/>
                <c:pt idx="0" formatCode="#,##0_);[Red]\(#,##0\)">
                  <c:v>0</c:v>
                </c:pt>
                <c:pt idx="1">
                  <c:v>0</c:v>
                </c:pt>
              </c:numCache>
            </c:numRef>
          </c:cat>
          <c:val>
            <c:numRef>
              <c:f>結果!$T$29:$Z$29</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F7FB-4985-BB3A-1611CEAAB10C}"/>
            </c:ext>
          </c:extLst>
        </c:ser>
        <c:ser>
          <c:idx val="2"/>
          <c:order val="4"/>
          <c:tx>
            <c:strRef>
              <c:f>結果!$S$30</c:f>
              <c:strCache>
                <c:ptCount val="1"/>
                <c:pt idx="0">
                  <c:v>B+</c:v>
                </c:pt>
              </c:strCache>
            </c:strRef>
          </c:tx>
          <c:spPr>
            <a:solidFill>
              <a:srgbClr val="FFFFCC"/>
            </a:solidFill>
            <a:ln w="12700">
              <a:solidFill>
                <a:srgbClr val="000000"/>
              </a:solidFill>
              <a:prstDash val="solid"/>
            </a:ln>
          </c:spPr>
          <c:cat>
            <c:numRef>
              <c:f>結果!$T$22:$U$22</c:f>
              <c:numCache>
                <c:formatCode>General</c:formatCode>
                <c:ptCount val="2"/>
                <c:pt idx="0" formatCode="#,##0_);[Red]\(#,##0\)">
                  <c:v>0</c:v>
                </c:pt>
                <c:pt idx="1">
                  <c:v>0</c:v>
                </c:pt>
              </c:numCache>
            </c:numRef>
          </c:cat>
          <c:val>
            <c:numRef>
              <c:f>結果!$T$30:$Z$30</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F7FB-4985-BB3A-1611CEAAB10C}"/>
            </c:ext>
          </c:extLst>
        </c:ser>
        <c:ser>
          <c:idx val="1"/>
          <c:order val="5"/>
          <c:tx>
            <c:strRef>
              <c:f>結果!$S$32</c:f>
              <c:strCache>
                <c:ptCount val="1"/>
                <c:pt idx="0">
                  <c:v>B-</c:v>
                </c:pt>
              </c:strCache>
            </c:strRef>
          </c:tx>
          <c:spPr>
            <a:solidFill>
              <a:srgbClr val="FFFFFF"/>
            </a:solidFill>
            <a:ln w="12700">
              <a:solidFill>
                <a:srgbClr val="000000"/>
              </a:solidFill>
              <a:prstDash val="solid"/>
            </a:ln>
          </c:spPr>
          <c:cat>
            <c:numRef>
              <c:f>結果!$T$22:$U$22</c:f>
              <c:numCache>
                <c:formatCode>General</c:formatCode>
                <c:ptCount val="2"/>
                <c:pt idx="0" formatCode="#,##0_);[Red]\(#,##0\)">
                  <c:v>0</c:v>
                </c:pt>
                <c:pt idx="1">
                  <c:v>0</c:v>
                </c:pt>
              </c:numCache>
            </c:numRef>
          </c:cat>
          <c:val>
            <c:numRef>
              <c:f>結果!$T$32:$Z$32</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F7FB-4985-BB3A-1611CEAAB10C}"/>
            </c:ext>
          </c:extLst>
        </c:ser>
        <c:ser>
          <c:idx val="0"/>
          <c:order val="7"/>
          <c:tx>
            <c:strRef>
              <c:f>結果!$S$31</c:f>
              <c:strCache>
                <c:ptCount val="1"/>
                <c:pt idx="0">
                  <c:v>B</c:v>
                </c:pt>
              </c:strCache>
            </c:strRef>
          </c:tx>
          <c:spPr>
            <a:noFill/>
            <a:ln w="12700">
              <a:solidFill>
                <a:srgbClr val="000000"/>
              </a:solidFill>
              <a:prstDash val="solid"/>
            </a:ln>
          </c:spPr>
          <c:cat>
            <c:numRef>
              <c:f>結果!$T$22:$U$22</c:f>
              <c:numCache>
                <c:formatCode>General</c:formatCode>
                <c:ptCount val="2"/>
                <c:pt idx="0" formatCode="#,##0_);[Red]\(#,##0\)">
                  <c:v>0</c:v>
                </c:pt>
                <c:pt idx="1">
                  <c:v>0</c:v>
                </c:pt>
              </c:numCache>
            </c:numRef>
          </c:cat>
          <c:val>
            <c:numRef>
              <c:f>結果!$T$31:$Z$31</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F7FB-4985-BB3A-1611CEAAB10C}"/>
            </c:ext>
          </c:extLst>
        </c:ser>
        <c:dLbls>
          <c:showLegendKey val="0"/>
          <c:showVal val="0"/>
          <c:showCatName val="0"/>
          <c:showSerName val="0"/>
          <c:showPercent val="0"/>
          <c:showBubbleSize val="0"/>
        </c:dLbls>
        <c:axId val="298826608"/>
        <c:axId val="298825432"/>
      </c:areaChart>
      <c:scatterChart>
        <c:scatterStyle val="lineMarker"/>
        <c:varyColors val="0"/>
        <c:ser>
          <c:idx val="7"/>
          <c:order val="0"/>
          <c:spPr>
            <a:ln w="25400">
              <a:solidFill>
                <a:srgbClr val="008000"/>
              </a:solidFill>
              <a:prstDash val="sysDash"/>
            </a:ln>
          </c:spPr>
          <c:marker>
            <c:symbol val="none"/>
          </c:marker>
          <c:dPt>
            <c:idx val="1"/>
            <c:bubble3D val="0"/>
            <c:spPr>
              <a:ln w="28575">
                <a:noFill/>
              </a:ln>
            </c:spPr>
            <c:extLst>
              <c:ext xmlns:c16="http://schemas.microsoft.com/office/drawing/2014/chart" uri="{C3380CC4-5D6E-409C-BE32-E72D297353CC}">
                <c16:uniqueId val="{00000006-F7FB-4985-BB3A-1611CEAAB10C}"/>
              </c:ext>
            </c:extLst>
          </c:dPt>
          <c:dLbls>
            <c:dLbl>
              <c:idx val="2"/>
              <c:layout>
                <c:manualLayout>
                  <c:x val="-4.9675036199420524E-3"/>
                  <c:y val="0.28735736334297823"/>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7FB-4985-BB3A-1611CEAAB10C}"/>
                </c:ext>
              </c:extLst>
            </c:dLbl>
            <c:dLbl>
              <c:idx val="3"/>
              <c:layout>
                <c:manualLayout>
                  <c:x val="-7.3840383222824966E-3"/>
                  <c:y val="-3.552788476683830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7FB-4985-BB3A-1611CEAAB1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結果!$R$24:$U$24</c:f>
              <c:numCache>
                <c:formatCode>General</c:formatCode>
                <c:ptCount val="4"/>
                <c:pt idx="0">
                  <c:v>0</c:v>
                </c:pt>
                <c:pt idx="1">
                  <c:v>0</c:v>
                </c:pt>
                <c:pt idx="2" formatCode="#,##0_);[Red]\(#,##0\)">
                  <c:v>0</c:v>
                </c:pt>
                <c:pt idx="3">
                  <c:v>0.1</c:v>
                </c:pt>
              </c:numCache>
            </c:numRef>
          </c:xVal>
          <c:yVal>
            <c:numRef>
              <c:f>結果!$R$25:$U$25</c:f>
              <c:numCache>
                <c:formatCode>General</c:formatCode>
                <c:ptCount val="4"/>
                <c:pt idx="0">
                  <c:v>0</c:v>
                </c:pt>
                <c:pt idx="1">
                  <c:v>0</c:v>
                </c:pt>
                <c:pt idx="2">
                  <c:v>50</c:v>
                </c:pt>
                <c:pt idx="3" formatCode="#,##0_);[Red]\(#,##0\)">
                  <c:v>50</c:v>
                </c:pt>
              </c:numCache>
            </c:numRef>
          </c:yVal>
          <c:smooth val="0"/>
          <c:extLst>
            <c:ext xmlns:c16="http://schemas.microsoft.com/office/drawing/2014/chart" uri="{C3380CC4-5D6E-409C-BE32-E72D297353CC}">
              <c16:uniqueId val="{00000009-F7FB-4985-BB3A-1611CEAAB10C}"/>
            </c:ext>
          </c:extLst>
        </c:ser>
        <c:ser>
          <c:idx val="8"/>
          <c:order val="1"/>
          <c:spPr>
            <a:ln w="28575">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A-F7FB-4985-BB3A-1611CEAAB10C}"/>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B-F7FB-4985-BB3A-1611CEAAB10C}"/>
              </c:ext>
            </c:extLst>
          </c:dPt>
          <c:xVal>
            <c:numRef>
              <c:f>結果!$R$24:$U$24</c:f>
              <c:numCache>
                <c:formatCode>General</c:formatCode>
                <c:ptCount val="4"/>
                <c:pt idx="0">
                  <c:v>0</c:v>
                </c:pt>
                <c:pt idx="1">
                  <c:v>0</c:v>
                </c:pt>
                <c:pt idx="2" formatCode="#,##0_);[Red]\(#,##0\)">
                  <c:v>0</c:v>
                </c:pt>
                <c:pt idx="3">
                  <c:v>0.1</c:v>
                </c:pt>
              </c:numCache>
            </c:numRef>
          </c:xVal>
          <c:yVal>
            <c:numRef>
              <c:f>結果!$R$25:$U$25</c:f>
              <c:numCache>
                <c:formatCode>General</c:formatCode>
                <c:ptCount val="4"/>
                <c:pt idx="0">
                  <c:v>0</c:v>
                </c:pt>
                <c:pt idx="1">
                  <c:v>0</c:v>
                </c:pt>
                <c:pt idx="2">
                  <c:v>50</c:v>
                </c:pt>
                <c:pt idx="3" formatCode="#,##0_);[Red]\(#,##0\)">
                  <c:v>50</c:v>
                </c:pt>
              </c:numCache>
            </c:numRef>
          </c:yVal>
          <c:smooth val="0"/>
          <c:extLst>
            <c:ext xmlns:c16="http://schemas.microsoft.com/office/drawing/2014/chart" uri="{C3380CC4-5D6E-409C-BE32-E72D297353CC}">
              <c16:uniqueId val="{0000000C-F7FB-4985-BB3A-1611CEAAB10C}"/>
            </c:ext>
          </c:extLst>
        </c:ser>
        <c:ser>
          <c:idx val="5"/>
          <c:order val="6"/>
          <c:tx>
            <c:strRef>
              <c:f>結果!$S$13</c:f>
              <c:strCache>
                <c:ptCount val="1"/>
                <c:pt idx="0">
                  <c:v>#VALUE!</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D-F7FB-4985-BB3A-1611CEAAB10C}"/>
              </c:ext>
            </c:extLst>
          </c:dPt>
          <c:dPt>
            <c:idx val="1"/>
            <c:marker>
              <c:symbol val="triangle"/>
              <c:size val="20"/>
              <c:spPr>
                <a:solidFill>
                  <a:srgbClr val="339966"/>
                </a:solidFill>
                <a:ln>
                  <a:solidFill>
                    <a:srgbClr val="000000"/>
                  </a:solidFill>
                  <a:prstDash val="solid"/>
                </a:ln>
              </c:spPr>
            </c:marker>
            <c:bubble3D val="0"/>
            <c:spPr>
              <a:ln w="28575">
                <a:noFill/>
              </a:ln>
            </c:spPr>
            <c:extLst>
              <c:ext xmlns:c16="http://schemas.microsoft.com/office/drawing/2014/chart" uri="{C3380CC4-5D6E-409C-BE32-E72D297353CC}">
                <c16:uniqueId val="{0000000F-F7FB-4985-BB3A-1611CEAAB10C}"/>
              </c:ext>
            </c:extLst>
          </c:dPt>
          <c:dPt>
            <c:idx val="2"/>
            <c:bubble3D val="0"/>
            <c:spPr>
              <a:ln w="38100">
                <a:solidFill>
                  <a:srgbClr val="008000"/>
                </a:solidFill>
                <a:prstDash val="solid"/>
              </a:ln>
            </c:spPr>
            <c:extLst>
              <c:ext xmlns:c16="http://schemas.microsoft.com/office/drawing/2014/chart" uri="{C3380CC4-5D6E-409C-BE32-E72D297353CC}">
                <c16:uniqueId val="{00000011-F7FB-4985-BB3A-1611CEAAB10C}"/>
              </c:ext>
            </c:extLst>
          </c:dPt>
          <c:xVal>
            <c:numRef>
              <c:f>結果!$S$22:$U$22</c:f>
              <c:numCache>
                <c:formatCode>#,##0_);[Red]\(#,##0\)</c:formatCode>
                <c:ptCount val="3"/>
                <c:pt idx="1">
                  <c:v>0</c:v>
                </c:pt>
                <c:pt idx="2" formatCode="General">
                  <c:v>0</c:v>
                </c:pt>
              </c:numCache>
            </c:numRef>
          </c:xVal>
          <c:yVal>
            <c:numRef>
              <c:f>結果!$S$23:$U$23</c:f>
              <c:numCache>
                <c:formatCode>#,##0_);[Red]\(#,##0\)</c:formatCode>
                <c:ptCount val="3"/>
                <c:pt idx="1">
                  <c:v>50</c:v>
                </c:pt>
                <c:pt idx="2" formatCode="General">
                  <c:v>0</c:v>
                </c:pt>
              </c:numCache>
            </c:numRef>
          </c:yVal>
          <c:smooth val="0"/>
          <c:extLst>
            <c:ext xmlns:c16="http://schemas.microsoft.com/office/drawing/2014/chart" uri="{C3380CC4-5D6E-409C-BE32-E72D297353CC}">
              <c16:uniqueId val="{00000012-F7FB-4985-BB3A-1611CEAAB10C}"/>
            </c:ext>
          </c:extLst>
        </c:ser>
        <c:dLbls>
          <c:showLegendKey val="0"/>
          <c:showVal val="0"/>
          <c:showCatName val="0"/>
          <c:showSerName val="0"/>
          <c:showPercent val="0"/>
          <c:showBubbleSize val="0"/>
        </c:dLbls>
        <c:axId val="298825824"/>
        <c:axId val="298830528"/>
      </c:scatterChart>
      <c:catAx>
        <c:axId val="298826608"/>
        <c:scaling>
          <c:orientation val="minMax"/>
        </c:scaling>
        <c:delete val="0"/>
        <c:axPos val="b"/>
        <c:numFmt formatCode="#,##0_);[Red]\(#,##0\)" sourceLinked="1"/>
        <c:majorTickMark val="none"/>
        <c:minorTickMark val="none"/>
        <c:tickLblPos val="none"/>
        <c:spPr>
          <a:ln w="3175">
            <a:solidFill>
              <a:srgbClr val="000000"/>
            </a:solidFill>
            <a:prstDash val="solid"/>
          </a:ln>
        </c:spPr>
        <c:crossAx val="298825432"/>
        <c:crosses val="autoZero"/>
        <c:auto val="0"/>
        <c:lblAlgn val="ctr"/>
        <c:lblOffset val="100"/>
        <c:tickLblSkip val="50"/>
        <c:tickMarkSkip val="50"/>
        <c:noMultiLvlLbl val="0"/>
      </c:catAx>
      <c:valAx>
        <c:axId val="298825432"/>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98826608"/>
        <c:crosses val="autoZero"/>
        <c:crossBetween val="midCat"/>
        <c:majorUnit val="50"/>
      </c:valAx>
      <c:valAx>
        <c:axId val="298825824"/>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98830528"/>
        <c:crosses val="max"/>
        <c:crossBetween val="midCat"/>
        <c:majorUnit val="50"/>
      </c:valAx>
      <c:valAx>
        <c:axId val="298830528"/>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298825824"/>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9266483032377E-2"/>
          <c:y val="7.7784224340378558E-2"/>
          <c:w val="0.93266299933909191"/>
          <c:h val="0.89156626506024006"/>
        </c:manualLayout>
      </c:layout>
      <c:barChart>
        <c:barDir val="bar"/>
        <c:grouping val="percentStacked"/>
        <c:varyColors val="0"/>
        <c:ser>
          <c:idx val="0"/>
          <c:order val="0"/>
          <c:tx>
            <c:strRef>
              <c:f>結果!$S$15</c:f>
              <c:strCache>
                <c:ptCount val="1"/>
                <c:pt idx="0">
                  <c:v>#VALUE!</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結果!$R$15</c:f>
              <c:strCache>
                <c:ptCount val="1"/>
                <c:pt idx="0">
                  <c:v>Rank(red star)</c:v>
                </c:pt>
              </c:strCache>
            </c:strRef>
          </c:cat>
          <c:val>
            <c:numRef>
              <c:f>結果!$S$15</c:f>
              <c:numCache>
                <c:formatCode>#,##0.0;[Red]\-#,##0.0</c:formatCode>
                <c:ptCount val="1"/>
                <c:pt idx="0">
                  <c:v>0</c:v>
                </c:pt>
              </c:numCache>
            </c:numRef>
          </c:val>
          <c:extLst>
            <c:ext xmlns:c16="http://schemas.microsoft.com/office/drawing/2014/chart" uri="{C3380CC4-5D6E-409C-BE32-E72D297353CC}">
              <c16:uniqueId val="{00000000-5CA2-4C2A-882E-8D0B94C045FD}"/>
            </c:ext>
          </c:extLst>
        </c:ser>
        <c:ser>
          <c:idx val="1"/>
          <c:order val="1"/>
          <c:tx>
            <c:strRef>
              <c:f>結果!$S$16</c:f>
              <c:strCache>
                <c:ptCount val="1"/>
                <c:pt idx="0">
                  <c:v>#VALUE!</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3"/>
                <a:srcRect/>
                <a:stretch>
                  <a:fillRect/>
                </a:stretch>
              </a:blipFill>
              <a:ln w="25400">
                <a:noFill/>
              </a:ln>
            </c:spPr>
            <c:pictureOptions>
              <c:pictureFormat val="stackScale"/>
              <c:pictureStackUnit val="20"/>
            </c:pictureOptions>
            <c:extLst>
              <c:ext xmlns:c16="http://schemas.microsoft.com/office/drawing/2014/chart" uri="{C3380CC4-5D6E-409C-BE32-E72D297353CC}">
                <c16:uniqueId val="{00000002-5CA2-4C2A-882E-8D0B94C045FD}"/>
              </c:ext>
            </c:extLst>
          </c:dPt>
          <c:cat>
            <c:strRef>
              <c:f>結果!$R$15</c:f>
              <c:strCache>
                <c:ptCount val="1"/>
                <c:pt idx="0">
                  <c:v>Rank(red star)</c:v>
                </c:pt>
              </c:strCache>
            </c:strRef>
          </c:cat>
          <c:val>
            <c:numRef>
              <c:f>結果!$S$16</c:f>
              <c:numCache>
                <c:formatCode>#,##0.0;[Red]\-#,##0.0</c:formatCode>
                <c:ptCount val="1"/>
                <c:pt idx="0">
                  <c:v>0</c:v>
                </c:pt>
              </c:numCache>
            </c:numRef>
          </c:val>
          <c:extLst>
            <c:ext xmlns:c16="http://schemas.microsoft.com/office/drawing/2014/chart" uri="{C3380CC4-5D6E-409C-BE32-E72D297353CC}">
              <c16:uniqueId val="{00000003-5CA2-4C2A-882E-8D0B94C045FD}"/>
            </c:ext>
          </c:extLst>
        </c:ser>
        <c:dLbls>
          <c:showLegendKey val="0"/>
          <c:showVal val="0"/>
          <c:showCatName val="0"/>
          <c:showSerName val="0"/>
          <c:showPercent val="0"/>
          <c:showBubbleSize val="0"/>
        </c:dLbls>
        <c:gapWidth val="50"/>
        <c:overlap val="100"/>
        <c:axId val="298823472"/>
        <c:axId val="298827392"/>
      </c:barChart>
      <c:catAx>
        <c:axId val="298823472"/>
        <c:scaling>
          <c:orientation val="minMax"/>
        </c:scaling>
        <c:delete val="1"/>
        <c:axPos val="l"/>
        <c:numFmt formatCode="General" sourceLinked="1"/>
        <c:majorTickMark val="out"/>
        <c:minorTickMark val="none"/>
        <c:tickLblPos val="none"/>
        <c:crossAx val="298827392"/>
        <c:crosses val="autoZero"/>
        <c:auto val="1"/>
        <c:lblAlgn val="ctr"/>
        <c:lblOffset val="100"/>
        <c:noMultiLvlLbl val="0"/>
      </c:catAx>
      <c:valAx>
        <c:axId val="298827392"/>
        <c:scaling>
          <c:orientation val="minMax"/>
          <c:max val="1"/>
        </c:scaling>
        <c:delete val="1"/>
        <c:axPos val="b"/>
        <c:numFmt formatCode="0%" sourceLinked="1"/>
        <c:majorTickMark val="out"/>
        <c:minorTickMark val="none"/>
        <c:tickLblPos val="none"/>
        <c:crossAx val="298823472"/>
        <c:crosses val="autoZero"/>
        <c:crossBetween val="between"/>
        <c:majorUnit val="0.2"/>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93140826113364"/>
          <c:y val="0.17316950144475432"/>
          <c:w val="0.51726342334466846"/>
          <c:h val="0.63059837318561485"/>
        </c:manualLayout>
      </c:layout>
      <c:radarChart>
        <c:radarStyle val="filled"/>
        <c:varyColors val="0"/>
        <c:ser>
          <c:idx val="0"/>
          <c:order val="0"/>
          <c:spPr>
            <a:blipFill dpi="0" rotWithShape="0">
              <a:blip xmlns:r="http://schemas.openxmlformats.org/officeDocument/2006/relationships" r:embed="rId1"/>
              <a:srcRect/>
              <a:stretch>
                <a:fillRect/>
              </a:stretch>
            </a:blip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結果!$W$9:$W$14</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0-7CD8-42CA-8C1B-9FBBBFEAF02F}"/>
            </c:ext>
          </c:extLst>
        </c:ser>
        <c:ser>
          <c:idx val="1"/>
          <c:order val="1"/>
          <c:spPr>
            <a:no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結果!$X$9:$X$14</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7CD8-42CA-8C1B-9FBBBFEAF02F}"/>
            </c:ext>
          </c:extLst>
        </c:ser>
        <c:ser>
          <c:idx val="2"/>
          <c:order val="2"/>
          <c:spPr>
            <a:no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結果!$Y$9:$Y$14</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2-7CD8-42CA-8C1B-9FBBBFEAF02F}"/>
            </c:ext>
          </c:extLst>
        </c:ser>
        <c:ser>
          <c:idx val="3"/>
          <c:order val="3"/>
          <c:spPr>
            <a:pattFill prst="pct50">
              <a:fgClr>
                <a:srgbClr val="CCCCFF"/>
              </a:fgClr>
              <a:bgClr>
                <a:srgbClr val="FFFFFF"/>
              </a:bgClr>
            </a:patt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結果!$Z$9:$Z$14</c:f>
              <c:numCache>
                <c:formatCode>General</c:formatCode>
                <c:ptCount val="6"/>
                <c:pt idx="0">
                  <c:v>3</c:v>
                </c:pt>
                <c:pt idx="1">
                  <c:v>3</c:v>
                </c:pt>
                <c:pt idx="2">
                  <c:v>0</c:v>
                </c:pt>
                <c:pt idx="3">
                  <c:v>3</c:v>
                </c:pt>
                <c:pt idx="4">
                  <c:v>4.3</c:v>
                </c:pt>
                <c:pt idx="5">
                  <c:v>3</c:v>
                </c:pt>
              </c:numCache>
            </c:numRef>
          </c:val>
          <c:extLst>
            <c:ext xmlns:c16="http://schemas.microsoft.com/office/drawing/2014/chart" uri="{C3380CC4-5D6E-409C-BE32-E72D297353CC}">
              <c16:uniqueId val="{00000003-7CD8-42CA-8C1B-9FBBBFEAF02F}"/>
            </c:ext>
          </c:extLst>
        </c:ser>
        <c:ser>
          <c:idx val="4"/>
          <c:order val="4"/>
          <c:spPr>
            <a:noFill/>
            <a:ln w="12700">
              <a:solidFill>
                <a:srgbClr val="FF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結果!$AA$9:$AA$14</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4-7CD8-42CA-8C1B-9FBBBFEAF02F}"/>
            </c:ext>
          </c:extLst>
        </c:ser>
        <c:dLbls>
          <c:showLegendKey val="0"/>
          <c:showVal val="0"/>
          <c:showCatName val="0"/>
          <c:showSerName val="0"/>
          <c:showPercent val="0"/>
          <c:showBubbleSize val="0"/>
        </c:dLbls>
        <c:axId val="299135680"/>
        <c:axId val="299132152"/>
      </c:radarChart>
      <c:catAx>
        <c:axId val="2991356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1" i="0" u="none" strike="noStrike" baseline="0">
                <a:solidFill>
                  <a:srgbClr val="000000"/>
                </a:solidFill>
                <a:latin typeface="ＭＳ Ｐゴシック"/>
                <a:ea typeface="ＭＳ Ｐゴシック"/>
                <a:cs typeface="ＭＳ Ｐゴシック"/>
              </a:defRPr>
            </a:pPr>
            <a:endParaRPr lang="ja-JP"/>
          </a:p>
        </c:txPr>
        <c:crossAx val="299132152"/>
        <c:crosses val="autoZero"/>
        <c:auto val="0"/>
        <c:lblAlgn val="ctr"/>
        <c:lblOffset val="100"/>
        <c:noMultiLvlLbl val="0"/>
      </c:catAx>
      <c:valAx>
        <c:axId val="299132152"/>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135680"/>
        <c:crosses val="autoZero"/>
        <c:crossBetween val="between"/>
        <c:majorUnit val="1"/>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7</xdr:col>
      <xdr:colOff>300990</xdr:colOff>
      <xdr:row>0</xdr:row>
      <xdr:rowOff>106680</xdr:rowOff>
    </xdr:from>
    <xdr:to>
      <xdr:col>18</xdr:col>
      <xdr:colOff>118</xdr:colOff>
      <xdr:row>35</xdr:row>
      <xdr:rowOff>160020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4034790" y="106680"/>
          <a:ext cx="6404728"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CASBEE-</a:t>
          </a:r>
          <a:r>
            <a:rPr lang="ja-JP" altLang="en-US" sz="1100" b="0" i="0" u="none" strike="noStrike" baseline="0">
              <a:solidFill>
                <a:sysClr val="windowText" lastClr="000000"/>
              </a:solidFill>
              <a:latin typeface="ＭＳ Ｐゴシック"/>
              <a:ea typeface="ＭＳ Ｐゴシック"/>
            </a:rPr>
            <a:t>戸建（新築）</a:t>
          </a:r>
          <a:r>
            <a:rPr lang="en-US" altLang="ja-JP" sz="1100" b="0" i="0" u="none" strike="noStrike" baseline="0">
              <a:solidFill>
                <a:sysClr val="windowText" lastClr="000000"/>
              </a:solidFill>
              <a:latin typeface="ＭＳ Ｐゴシック"/>
              <a:ea typeface="ＭＳ Ｐゴシック"/>
            </a:rPr>
            <a:t>2018</a:t>
          </a:r>
          <a:r>
            <a:rPr lang="ja-JP" altLang="en-US" sz="1100" b="0" i="0" u="none" strike="noStrike" baseline="0">
              <a:solidFill>
                <a:sysClr val="windowText" lastClr="000000"/>
              </a:solidFill>
              <a:latin typeface="ＭＳ Ｐゴシック"/>
              <a:ea typeface="ＭＳ Ｐゴシック"/>
            </a:rPr>
            <a:t>年版に基づく</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a:t>
          </a:r>
          <a:r>
            <a:rPr lang="ja-JP" altLang="en-US" sz="1100" b="0" i="0" u="none" strike="noStrike" baseline="0">
              <a:solidFill>
                <a:sysClr val="windowText" lastClr="000000"/>
              </a:solidFill>
              <a:latin typeface="ＭＳ Ｐゴシック"/>
              <a:ea typeface="ＭＳ Ｐゴシック"/>
            </a:rPr>
            <a:t>住宅部門の基本要件（</a:t>
          </a:r>
          <a:r>
            <a:rPr lang="en-US" altLang="ja-JP" sz="1100" b="0" i="0" u="none" strike="noStrike" baseline="0">
              <a:solidFill>
                <a:sysClr val="windowText" lastClr="000000"/>
              </a:solidFill>
              <a:latin typeface="ＭＳ Ｐゴシック"/>
              <a:ea typeface="ＭＳ Ｐゴシック"/>
            </a:rPr>
            <a:t>LCCO</a:t>
          </a:r>
          <a:r>
            <a:rPr lang="en-US" altLang="ja-JP" sz="1100" b="0" i="0" u="none" strike="noStrike" baseline="-2500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）適合判定ツール</a:t>
          </a:r>
          <a:r>
            <a:rPr lang="en-US" altLang="ja-JP" sz="1100" b="0" i="0" u="none" strike="noStrike" baseline="0">
              <a:solidFill>
                <a:sysClr val="windowText" lastClr="000000"/>
              </a:solidFill>
              <a:latin typeface="ＭＳ Ｐゴシック"/>
              <a:ea typeface="ＭＳ Ｐゴシック"/>
            </a:rPr>
            <a:t>ver.1.0</a:t>
          </a: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Microsoft Excel 20</a:t>
          </a:r>
          <a:r>
            <a:rPr lang="en-US" altLang="ja-JP" sz="1100" b="0" i="0" u="none" strike="noStrike" baseline="0">
              <a:solidFill>
                <a:sysClr val="windowText" lastClr="000000"/>
              </a:solidFill>
              <a:latin typeface="ＭＳ Ｐゴシック"/>
              <a:ea typeface="ＭＳ Ｐゴシック"/>
            </a:rPr>
            <a:t>13</a:t>
          </a:r>
          <a:r>
            <a:rPr lang="ja-JP" altLang="en-US" sz="1100" b="0" i="0" u="none" strike="noStrike" baseline="0">
              <a:solidFill>
                <a:sysClr val="windowText" lastClr="000000"/>
              </a:solidFill>
              <a:latin typeface="ＭＳ Ｐゴシック"/>
              <a:ea typeface="ＭＳ Ｐゴシック"/>
            </a:rPr>
            <a:t> 版</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LCCM_2018v1.0</a:t>
          </a: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201</a:t>
          </a:r>
          <a:r>
            <a:rPr lang="en-US" altLang="ja-JP" sz="1100" b="0" i="0" u="none" strike="noStrike" baseline="0">
              <a:solidFill>
                <a:sysClr val="windowText" lastClr="000000"/>
              </a:solidFill>
              <a:latin typeface="ＭＳ Ｐゴシック"/>
              <a:ea typeface="ＭＳ Ｐゴシック"/>
            </a:rPr>
            <a:t>8</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4</a:t>
          </a:r>
          <a:r>
            <a:rPr lang="ja-JP" altLang="en-US" sz="1100" b="0" i="0" u="none" strike="noStrike" baseline="0">
              <a:solidFill>
                <a:sysClr val="windowText" lastClr="000000"/>
              </a:solidFill>
              <a:latin typeface="ＭＳ Ｐゴシック"/>
              <a:ea typeface="ＭＳ Ｐゴシック"/>
            </a:rPr>
            <a:t>月発行</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a:t>
          </a: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また、Microsoft Windows、Microsoft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一般財団法人　建築環境・省エネルギー機構</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　E-Mail  </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URL　</a:t>
          </a:r>
          <a:r>
            <a:rPr lang="en-US" altLang="ja-JP" sz="1100" b="0" i="0" u="none" strike="noStrike" baseline="0">
              <a:solidFill>
                <a:srgbClr val="FF0000"/>
              </a:solidFill>
              <a:latin typeface="ＭＳ Ｐゴシック"/>
              <a:ea typeface="ＭＳ Ｐゴシック"/>
            </a:rPr>
            <a:t>http://www.ibec.or.jp/rating/lccm.html</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 Japan Sustainable Building Consortium (JSBC)</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34290</xdr:colOff>
      <xdr:row>0</xdr:row>
      <xdr:rowOff>106680</xdr:rowOff>
    </xdr:from>
    <xdr:to>
      <xdr:col>7</xdr:col>
      <xdr:colOff>167681</xdr:colOff>
      <xdr:row>35</xdr:row>
      <xdr:rowOff>160020</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110490" y="106680"/>
          <a:ext cx="3790991"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 「</a:t>
          </a:r>
          <a:r>
            <a:rPr lang="en-US" altLang="ja-JP" sz="1100" b="0" i="0" u="none" strike="noStrike" baseline="0">
              <a:solidFill>
                <a:srgbClr val="000000"/>
              </a:solidFill>
              <a:latin typeface="ＭＳ Ｐゴシック"/>
              <a:ea typeface="ＭＳ Ｐゴシック"/>
            </a:rPr>
            <a:t>LCCM</a:t>
          </a:r>
          <a:r>
            <a:rPr lang="ja-JP" altLang="en-US" sz="1100" b="0" i="0" u="none" strike="noStrike" baseline="0">
              <a:solidFill>
                <a:srgbClr val="000000"/>
              </a:solidFill>
              <a:latin typeface="ＭＳ Ｐゴシック"/>
              <a:ea typeface="ＭＳ Ｐゴシック"/>
            </a:rPr>
            <a:t>住宅部門の基本要件（</a:t>
          </a:r>
          <a:r>
            <a:rPr lang="en-US" altLang="ja-JP" sz="1100" b="0" i="0" u="none" strike="noStrike" baseline="0">
              <a:solidFill>
                <a:srgbClr val="000000"/>
              </a:solidFill>
              <a:latin typeface="ＭＳ Ｐゴシック"/>
              <a:ea typeface="ＭＳ Ｐゴシック"/>
            </a:rPr>
            <a:t>LCCO</a:t>
          </a:r>
          <a:r>
            <a:rPr lang="en-US" altLang="ja-JP" sz="1100" b="0" i="0" u="none" strike="noStrike" baseline="-2500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）適合判定ツール</a:t>
          </a:r>
        </a:p>
        <a:p>
          <a:pPr algn="l" rtl="0">
            <a:lnSpc>
              <a:spcPts val="1300"/>
            </a:lnSpc>
            <a:defRPr sz="1000"/>
          </a:pPr>
          <a:r>
            <a:rPr lang="ja-JP" altLang="en-US" sz="1100" b="0" i="0" u="none" strike="noStrike" baseline="0">
              <a:solidFill>
                <a:srgbClr val="000000"/>
              </a:solidFill>
              <a:latin typeface="ＭＳ Ｐゴシック"/>
              <a:ea typeface="ＭＳ Ｐゴシック"/>
            </a:rPr>
            <a:t>」は、Microsoft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0.00218</cdr:x>
      <cdr:y>0.14304</cdr:y>
    </cdr:from>
    <cdr:to>
      <cdr:x>0.00218</cdr:x>
      <cdr:y>0.14639</cdr:y>
    </cdr:to>
    <cdr:sp macro="" textlink="">
      <cdr:nvSpPr>
        <cdr:cNvPr id="256001" name="Text Box 1"/>
        <cdr:cNvSpPr txBox="1">
          <a:spLocks xmlns:a="http://schemas.openxmlformats.org/drawingml/2006/main" noChangeArrowheads="1"/>
        </cdr:cNvSpPr>
      </cdr:nvSpPr>
      <cdr:spPr bwMode="auto">
        <a:xfrm xmlns:a="http://schemas.openxmlformats.org/drawingml/2006/main">
          <a:off x="0" y="388740"/>
          <a:ext cx="293326" cy="14518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22860" rIns="36576" bIns="22860"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0.21264</cdr:x>
      <cdr:y>0.90498</cdr:y>
    </cdr:from>
    <cdr:to>
      <cdr:x>0.86122</cdr:x>
      <cdr:y>0.99365</cdr:y>
    </cdr:to>
    <cdr:sp macro="" textlink="">
      <cdr:nvSpPr>
        <cdr:cNvPr id="256002" name="Text Box 2"/>
        <cdr:cNvSpPr txBox="1">
          <a:spLocks xmlns:a="http://schemas.openxmlformats.org/drawingml/2006/main" noChangeArrowheads="1"/>
        </cdr:cNvSpPr>
      </cdr:nvSpPr>
      <cdr:spPr bwMode="auto">
        <a:xfrm xmlns:a="http://schemas.openxmlformats.org/drawingml/2006/main">
          <a:off x="557058" y="2201810"/>
          <a:ext cx="1772374" cy="23056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0.20426</cdr:x>
      <cdr:y>0.11775</cdr:y>
    </cdr:from>
    <cdr:to>
      <cdr:x>0.4337</cdr:x>
      <cdr:y>0.23252</cdr:y>
    </cdr:to>
    <cdr:sp macro="" textlink="">
      <cdr:nvSpPr>
        <cdr:cNvPr id="256003" name="Text Box 3"/>
        <cdr:cNvSpPr txBox="1">
          <a:spLocks xmlns:a="http://schemas.openxmlformats.org/drawingml/2006/main" noChangeArrowheads="1"/>
        </cdr:cNvSpPr>
      </cdr:nvSpPr>
      <cdr:spPr bwMode="auto">
        <a:xfrm xmlns:a="http://schemas.openxmlformats.org/drawingml/2006/main">
          <a:off x="535255" y="273479"/>
          <a:ext cx="502703" cy="274560"/>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S</a:t>
          </a:r>
        </a:p>
      </cdr:txBody>
    </cdr:sp>
  </cdr:relSizeAnchor>
  <cdr:relSizeAnchor xmlns:cdr="http://schemas.openxmlformats.org/drawingml/2006/chartDrawing">
    <cdr:from>
      <cdr:x>0.45576</cdr:x>
      <cdr:y>0.10962</cdr:y>
    </cdr:from>
    <cdr:to>
      <cdr:x>0.65748</cdr:x>
      <cdr:y>0.23442</cdr:y>
    </cdr:to>
    <cdr:sp macro="" textlink="">
      <cdr:nvSpPr>
        <cdr:cNvPr id="256004" name="Text Box 4"/>
        <cdr:cNvSpPr txBox="1">
          <a:spLocks xmlns:a="http://schemas.openxmlformats.org/drawingml/2006/main" noChangeArrowheads="1"/>
        </cdr:cNvSpPr>
      </cdr:nvSpPr>
      <cdr:spPr bwMode="auto">
        <a:xfrm xmlns:a="http://schemas.openxmlformats.org/drawingml/2006/main">
          <a:off x="1090936" y="252494"/>
          <a:ext cx="442072" cy="304872"/>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A</a:t>
          </a:r>
        </a:p>
      </cdr:txBody>
    </cdr:sp>
  </cdr:relSizeAnchor>
  <cdr:relSizeAnchor xmlns:cdr="http://schemas.openxmlformats.org/drawingml/2006/chartDrawing">
    <cdr:from>
      <cdr:x>0.70416</cdr:x>
      <cdr:y>0.10962</cdr:y>
    </cdr:from>
    <cdr:to>
      <cdr:x>0.89722</cdr:x>
      <cdr:y>0.23227</cdr:y>
    </cdr:to>
    <cdr:sp macro="" textlink="">
      <cdr:nvSpPr>
        <cdr:cNvPr id="256005" name="Text Box 5"/>
        <cdr:cNvSpPr txBox="1">
          <a:spLocks xmlns:a="http://schemas.openxmlformats.org/drawingml/2006/main" noChangeArrowheads="1"/>
        </cdr:cNvSpPr>
      </cdr:nvSpPr>
      <cdr:spPr bwMode="auto">
        <a:xfrm xmlns:a="http://schemas.openxmlformats.org/drawingml/2006/main">
          <a:off x="1637198" y="252494"/>
          <a:ext cx="426768" cy="297294"/>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B</a:t>
          </a:r>
          <a:r>
            <a:rPr lang="en-US" altLang="ja-JP" sz="1025" b="1" i="0" strike="noStrike" baseline="30000">
              <a:solidFill>
                <a:srgbClr val="000000"/>
              </a:solidFill>
              <a:latin typeface="Arial"/>
              <a:cs typeface="Arial"/>
            </a:rPr>
            <a:t>+</a:t>
          </a:r>
        </a:p>
      </cdr:txBody>
    </cdr:sp>
  </cdr:relSizeAnchor>
  <cdr:relSizeAnchor xmlns:cdr="http://schemas.openxmlformats.org/drawingml/2006/chartDrawing">
    <cdr:from>
      <cdr:x>0.80118</cdr:x>
      <cdr:y>0.30854</cdr:y>
    </cdr:from>
    <cdr:to>
      <cdr:x>0.9211</cdr:x>
      <cdr:y>0.42162</cdr:y>
    </cdr:to>
    <cdr:sp macro="" textlink="">
      <cdr:nvSpPr>
        <cdr:cNvPr id="256006" name="Text Box 6"/>
        <cdr:cNvSpPr txBox="1">
          <a:spLocks xmlns:a="http://schemas.openxmlformats.org/drawingml/2006/main" noChangeArrowheads="1"/>
        </cdr:cNvSpPr>
      </cdr:nvSpPr>
      <cdr:spPr bwMode="auto">
        <a:xfrm xmlns:a="http://schemas.openxmlformats.org/drawingml/2006/main">
          <a:off x="1852642" y="731079"/>
          <a:ext cx="297266" cy="274560"/>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B</a:t>
          </a:r>
          <a:r>
            <a:rPr lang="en-US" altLang="ja-JP" sz="1025" b="1" i="0" strike="noStrike" baseline="30000">
              <a:solidFill>
                <a:srgbClr val="000000"/>
              </a:solidFill>
              <a:latin typeface="Arial"/>
              <a:cs typeface="Arial"/>
            </a:rPr>
            <a:t>-</a:t>
          </a:r>
        </a:p>
      </cdr:txBody>
    </cdr:sp>
  </cdr:relSizeAnchor>
  <cdr:relSizeAnchor xmlns:cdr="http://schemas.openxmlformats.org/drawingml/2006/chartDrawing">
    <cdr:from>
      <cdr:x>0.80118</cdr:x>
      <cdr:y>0.68408</cdr:y>
    </cdr:from>
    <cdr:to>
      <cdr:x>0.91705</cdr:x>
      <cdr:y>0.79954</cdr:y>
    </cdr:to>
    <cdr:sp macro="" textlink="">
      <cdr:nvSpPr>
        <cdr:cNvPr id="256007" name="Text Box 7"/>
        <cdr:cNvSpPr txBox="1">
          <a:spLocks xmlns:a="http://schemas.openxmlformats.org/drawingml/2006/main" noChangeArrowheads="1"/>
        </cdr:cNvSpPr>
      </cdr:nvSpPr>
      <cdr:spPr bwMode="auto">
        <a:xfrm xmlns:a="http://schemas.openxmlformats.org/drawingml/2006/main">
          <a:off x="1852642" y="1634621"/>
          <a:ext cx="281961" cy="2821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C</a:t>
          </a:r>
        </a:p>
      </cdr:txBody>
    </cdr:sp>
  </cdr:relSizeAnchor>
  <cdr:relSizeAnchor xmlns:cdr="http://schemas.openxmlformats.org/drawingml/2006/chartDrawing">
    <cdr:from>
      <cdr:x>0.40977</cdr:x>
      <cdr:y>0.024</cdr:y>
    </cdr:from>
    <cdr:to>
      <cdr:x>0.53218</cdr:x>
      <cdr:y>0.1091</cdr:y>
    </cdr:to>
    <cdr:sp macro="" textlink="">
      <cdr:nvSpPr>
        <cdr:cNvPr id="256008" name="Text Box 8"/>
        <cdr:cNvSpPr txBox="1">
          <a:spLocks xmlns:a="http://schemas.openxmlformats.org/drawingml/2006/main" noChangeArrowheads="1"/>
        </cdr:cNvSpPr>
      </cdr:nvSpPr>
      <cdr:spPr bwMode="auto">
        <a:xfrm xmlns:a="http://schemas.openxmlformats.org/drawingml/2006/main">
          <a:off x="1003009" y="56400"/>
          <a:ext cx="275953" cy="21030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0.86417</cdr:x>
      <cdr:y>0.41204</cdr:y>
    </cdr:from>
    <cdr:to>
      <cdr:x>0.98095</cdr:x>
      <cdr:y>0.49687</cdr:y>
    </cdr:to>
    <cdr:sp macro="" textlink="">
      <cdr:nvSpPr>
        <cdr:cNvPr id="5173257" name="Text Box 9"/>
        <cdr:cNvSpPr txBox="1">
          <a:spLocks xmlns:a="http://schemas.openxmlformats.org/drawingml/2006/main" noChangeArrowheads="1"/>
        </cdr:cNvSpPr>
      </cdr:nvSpPr>
      <cdr:spPr bwMode="auto">
        <a:xfrm xmlns:a="http://schemas.openxmlformats.org/drawingml/2006/main">
          <a:off x="2356502" y="1012215"/>
          <a:ext cx="338276" cy="2084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0" tIns="22860" rIns="36576" bIns="22860" anchor="ctr"/>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ＭＳ Ｐゴシック"/>
              <a:ea typeface="ＭＳ Ｐゴシック"/>
            </a:rPr>
            <a:t>0.5</a:t>
          </a:r>
        </a:p>
      </cdr:txBody>
    </cdr:sp>
  </cdr:relSizeAnchor>
  <cdr:relSizeAnchor xmlns:cdr="http://schemas.openxmlformats.org/drawingml/2006/chartDrawing">
    <cdr:from>
      <cdr:x>0.64634</cdr:x>
      <cdr:y>0.01958</cdr:y>
    </cdr:from>
    <cdr:to>
      <cdr:x>0.72869</cdr:x>
      <cdr:y>0.11335</cdr:y>
    </cdr:to>
    <cdr:sp macro="" textlink="">
      <cdr:nvSpPr>
        <cdr:cNvPr id="256010" name="Text Box 10"/>
        <cdr:cNvSpPr txBox="1">
          <a:spLocks xmlns:a="http://schemas.openxmlformats.org/drawingml/2006/main" noChangeArrowheads="1"/>
        </cdr:cNvSpPr>
      </cdr:nvSpPr>
      <cdr:spPr bwMode="auto">
        <a:xfrm xmlns:a="http://schemas.openxmlformats.org/drawingml/2006/main">
          <a:off x="1766882" y="47928"/>
          <a:ext cx="225125" cy="2295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22860" rIns="27432" bIns="22860"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0.77117</cdr:x>
      <cdr:y>0.01958</cdr:y>
    </cdr:from>
    <cdr:to>
      <cdr:x>0.97064</cdr:x>
      <cdr:y>0.11335</cdr:y>
    </cdr:to>
    <cdr:sp macro="" textlink="">
      <cdr:nvSpPr>
        <cdr:cNvPr id="256011" name="Text Box 11"/>
        <cdr:cNvSpPr txBox="1">
          <a:spLocks xmlns:a="http://schemas.openxmlformats.org/drawingml/2006/main" noChangeArrowheads="1"/>
        </cdr:cNvSpPr>
      </cdr:nvSpPr>
      <cdr:spPr bwMode="auto">
        <a:xfrm xmlns:a="http://schemas.openxmlformats.org/drawingml/2006/main">
          <a:off x="2108137" y="47928"/>
          <a:ext cx="545277" cy="2295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22860" rIns="27432" bIns="22860"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11.xml><?xml version="1.0" encoding="utf-8"?>
<c:userShapes xmlns:c="http://schemas.openxmlformats.org/drawingml/2006/chart">
  <cdr:relSizeAnchor xmlns:cdr="http://schemas.openxmlformats.org/drawingml/2006/chartDrawing">
    <cdr:from>
      <cdr:x>0.62973</cdr:x>
      <cdr:y>0.17997</cdr:y>
    </cdr:from>
    <cdr:to>
      <cdr:x>0.96966</cdr:x>
      <cdr:y>0.299</cdr:y>
    </cdr:to>
    <cdr:sp macro="" textlink="結果!$AB$39">
      <cdr:nvSpPr>
        <cdr:cNvPr id="5337089" name="Text Box 1"/>
        <cdr:cNvSpPr txBox="1">
          <a:spLocks xmlns:a="http://schemas.openxmlformats.org/drawingml/2006/main" noChangeArrowheads="1"/>
        </cdr:cNvSpPr>
      </cdr:nvSpPr>
      <cdr:spPr bwMode="auto">
        <a:xfrm xmlns:a="http://schemas.openxmlformats.org/drawingml/2006/main">
          <a:off x="1538700" y="313440"/>
          <a:ext cx="828890" cy="2052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D773FA06-EEFC-4BDD-B0E0-68AD589D13B2}" type="TxLink">
            <a:rPr lang="ja-JP" altLang="en-US" sz="900" b="1" i="0" u="none" strike="noStrike" baseline="0">
              <a:solidFill>
                <a:srgbClr val="000000"/>
              </a:solidFill>
              <a:latin typeface="Arial"/>
              <a:cs typeface="Arial"/>
            </a:rPr>
            <a:pPr algn="r" rtl="0">
              <a:defRPr sz="1000"/>
            </a:pPr>
            <a:t>100%</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0.62973</cdr:x>
      <cdr:y>0.33656</cdr:y>
    </cdr:from>
    <cdr:to>
      <cdr:x>0.96485</cdr:x>
      <cdr:y>0.44709</cdr:y>
    </cdr:to>
    <cdr:sp macro="" textlink="結果!$AB$40">
      <cdr:nvSpPr>
        <cdr:cNvPr id="5337090" name="Text Box 2"/>
        <cdr:cNvSpPr txBox="1">
          <a:spLocks xmlns:a="http://schemas.openxmlformats.org/drawingml/2006/main" noChangeArrowheads="1" noTextEdit="1"/>
        </cdr:cNvSpPr>
      </cdr:nvSpPr>
      <cdr:spPr bwMode="auto">
        <a:xfrm xmlns:a="http://schemas.openxmlformats.org/drawingml/2006/main">
          <a:off x="1538700" y="583409"/>
          <a:ext cx="817174" cy="1905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B29AD7BD-D384-441D-9FF7-D111089FF3A7}"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0.62877</cdr:x>
      <cdr:y>0.5085</cdr:y>
    </cdr:from>
    <cdr:to>
      <cdr:x>0.96605</cdr:x>
      <cdr:y>0.61762</cdr:y>
    </cdr:to>
    <cdr:sp macro="" textlink="結果!$AB$41">
      <cdr:nvSpPr>
        <cdr:cNvPr id="5337091" name="Text Box 3"/>
        <cdr:cNvSpPr txBox="1">
          <a:spLocks xmlns:a="http://schemas.openxmlformats.org/drawingml/2006/main" noChangeArrowheads="1" noTextEdit="1"/>
        </cdr:cNvSpPr>
      </cdr:nvSpPr>
      <cdr:spPr bwMode="auto">
        <a:xfrm xmlns:a="http://schemas.openxmlformats.org/drawingml/2006/main">
          <a:off x="1536357" y="879846"/>
          <a:ext cx="822446" cy="1881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A7DCF399-CEBE-4D1E-86EB-1CF247254C67}"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0.60234</cdr:x>
      <cdr:y>0.64809</cdr:y>
    </cdr:from>
    <cdr:to>
      <cdr:x>0.96654</cdr:x>
      <cdr:y>0.78579</cdr:y>
    </cdr:to>
    <cdr:sp macro="" textlink="結果!$AB$42">
      <cdr:nvSpPr>
        <cdr:cNvPr id="5337092" name="Text Box 4"/>
        <cdr:cNvSpPr txBox="1">
          <a:spLocks xmlns:a="http://schemas.openxmlformats.org/drawingml/2006/main" noChangeArrowheads="1" noTextEdit="1"/>
        </cdr:cNvSpPr>
      </cdr:nvSpPr>
      <cdr:spPr bwMode="auto">
        <a:xfrm xmlns:a="http://schemas.openxmlformats.org/drawingml/2006/main">
          <a:off x="1471920" y="1120498"/>
          <a:ext cx="888054" cy="237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8BA5D0F3-E74C-4B1D-A292-373515CAAEA6}"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8</xdr:col>
      <xdr:colOff>457200</xdr:colOff>
      <xdr:row>55</xdr:row>
      <xdr:rowOff>0</xdr:rowOff>
    </xdr:from>
    <xdr:to>
      <xdr:col>8</xdr:col>
      <xdr:colOff>542925</xdr:colOff>
      <xdr:row>56</xdr:row>
      <xdr:rowOff>19050</xdr:rowOff>
    </xdr:to>
    <xdr:sp macro="" textlink="">
      <xdr:nvSpPr>
        <xdr:cNvPr id="34614" name="Text Box 278">
          <a:extLst>
            <a:ext uri="{FF2B5EF4-FFF2-40B4-BE49-F238E27FC236}">
              <a16:creationId xmlns:a16="http://schemas.microsoft.com/office/drawing/2014/main" id="{00000000-0008-0000-0D00-000036870000}"/>
            </a:ext>
          </a:extLst>
        </xdr:cNvPr>
        <xdr:cNvSpPr txBox="1">
          <a:spLocks noChangeArrowheads="1"/>
        </xdr:cNvSpPr>
      </xdr:nvSpPr>
      <xdr:spPr bwMode="auto">
        <a:xfrm>
          <a:off x="5457825" y="1101090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457200</xdr:colOff>
      <xdr:row>55</xdr:row>
      <xdr:rowOff>0</xdr:rowOff>
    </xdr:from>
    <xdr:to>
      <xdr:col>8</xdr:col>
      <xdr:colOff>542925</xdr:colOff>
      <xdr:row>55</xdr:row>
      <xdr:rowOff>200025</xdr:rowOff>
    </xdr:to>
    <xdr:sp macro="" textlink="">
      <xdr:nvSpPr>
        <xdr:cNvPr id="5075249" name="Text Box 340">
          <a:extLst>
            <a:ext uri="{FF2B5EF4-FFF2-40B4-BE49-F238E27FC236}">
              <a16:creationId xmlns:a16="http://schemas.microsoft.com/office/drawing/2014/main" id="{00000000-0008-0000-0E00-000031714D00}"/>
            </a:ext>
          </a:extLst>
        </xdr:cNvPr>
        <xdr:cNvSpPr txBox="1">
          <a:spLocks noChangeArrowheads="1"/>
        </xdr:cNvSpPr>
      </xdr:nvSpPr>
      <xdr:spPr bwMode="auto">
        <a:xfrm>
          <a:off x="5448300" y="7210425"/>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55</xdr:row>
      <xdr:rowOff>0</xdr:rowOff>
    </xdr:from>
    <xdr:to>
      <xdr:col>9</xdr:col>
      <xdr:colOff>542925</xdr:colOff>
      <xdr:row>55</xdr:row>
      <xdr:rowOff>200025</xdr:rowOff>
    </xdr:to>
    <xdr:sp macro="" textlink="">
      <xdr:nvSpPr>
        <xdr:cNvPr id="5075250" name="Text Box 341">
          <a:extLst>
            <a:ext uri="{FF2B5EF4-FFF2-40B4-BE49-F238E27FC236}">
              <a16:creationId xmlns:a16="http://schemas.microsoft.com/office/drawing/2014/main" id="{00000000-0008-0000-0E00-000032714D00}"/>
            </a:ext>
          </a:extLst>
        </xdr:cNvPr>
        <xdr:cNvSpPr txBox="1">
          <a:spLocks noChangeArrowheads="1"/>
        </xdr:cNvSpPr>
      </xdr:nvSpPr>
      <xdr:spPr bwMode="auto">
        <a:xfrm>
          <a:off x="6334125" y="7210425"/>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300990</xdr:colOff>
      <xdr:row>0</xdr:row>
      <xdr:rowOff>106680</xdr:rowOff>
    </xdr:from>
    <xdr:to>
      <xdr:col>18</xdr:col>
      <xdr:colOff>118</xdr:colOff>
      <xdr:row>35</xdr:row>
      <xdr:rowOff>160020</xdr:rowOff>
    </xdr:to>
    <xdr:sp macro="" textlink="">
      <xdr:nvSpPr>
        <xdr:cNvPr id="4098" name="Text Box 2">
          <a:extLst>
            <a:ext uri="{FF2B5EF4-FFF2-40B4-BE49-F238E27FC236}">
              <a16:creationId xmlns:a16="http://schemas.microsoft.com/office/drawing/2014/main" id="{00000000-0008-0000-1300-000002100000}"/>
            </a:ext>
          </a:extLst>
        </xdr:cNvPr>
        <xdr:cNvSpPr txBox="1">
          <a:spLocks noChangeArrowheads="1"/>
        </xdr:cNvSpPr>
      </xdr:nvSpPr>
      <xdr:spPr bwMode="auto">
        <a:xfrm>
          <a:off x="3970020" y="106680"/>
          <a:ext cx="6332220" cy="5996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戸建（新築）　評価ソフト</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版</a:t>
          </a:r>
        </a:p>
        <a:p>
          <a:pPr algn="l" rtl="0">
            <a:defRPr sz="1000"/>
          </a:pPr>
          <a:r>
            <a:rPr lang="ja-JP" altLang="en-US" sz="1100" b="0" i="0" u="none" strike="noStrike" baseline="0">
              <a:solidFill>
                <a:srgbClr val="000000"/>
              </a:solidFill>
              <a:latin typeface="ＭＳ Ｐゴシック"/>
              <a:ea typeface="ＭＳ Ｐゴシック"/>
            </a:rPr>
            <a:t>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DH</a:t>
          </a:r>
          <a:r>
            <a:rPr lang="en-US" altLang="ja-JP" sz="1100" b="0" i="0" u="none" strike="noStrike" baseline="0">
              <a:solidFill>
                <a:srgbClr val="000000"/>
              </a:solidFill>
              <a:latin typeface="ＭＳ Ｐゴシック"/>
              <a:ea typeface="ＭＳ Ｐゴシック"/>
            </a:rPr>
            <a:t>_</a:t>
          </a:r>
          <a:r>
            <a:rPr lang="ja-JP" altLang="en-US" sz="1100" b="0" i="0" u="none" strike="noStrike" baseline="0">
              <a:solidFill>
                <a:srgbClr val="000000"/>
              </a:solidFill>
              <a:latin typeface="ＭＳ Ｐゴシック"/>
              <a:ea typeface="ＭＳ Ｐゴシック"/>
            </a:rPr>
            <a:t>NC_201</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v</a:t>
          </a:r>
          <a:r>
            <a:rPr lang="en-US" altLang="ja-JP" sz="1100" b="0" i="0" u="none" strike="noStrike" baseline="0">
              <a:solidFill>
                <a:srgbClr val="000000"/>
              </a:solidFill>
              <a:latin typeface="ＭＳ Ｐゴシック"/>
              <a:ea typeface="ＭＳ Ｐゴシック"/>
            </a:rPr>
            <a:t>1.0</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201</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月発行</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a:t>
          </a: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また、Microsoft Windows、Microsoft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一般財団法人　建築環境・省エネルギー機構</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casbee-info@jsbc.or.jp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 Japan Sustainable Building Consortium (JSBC)</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34290</xdr:colOff>
      <xdr:row>0</xdr:row>
      <xdr:rowOff>106680</xdr:rowOff>
    </xdr:from>
    <xdr:to>
      <xdr:col>7</xdr:col>
      <xdr:colOff>167681</xdr:colOff>
      <xdr:row>35</xdr:row>
      <xdr:rowOff>160020</xdr:rowOff>
    </xdr:to>
    <xdr:sp macro="" textlink="">
      <xdr:nvSpPr>
        <xdr:cNvPr id="4099" name="Text Box 3">
          <a:extLst>
            <a:ext uri="{FF2B5EF4-FFF2-40B4-BE49-F238E27FC236}">
              <a16:creationId xmlns:a16="http://schemas.microsoft.com/office/drawing/2014/main" id="{00000000-0008-0000-1300-000003100000}"/>
            </a:ext>
          </a:extLst>
        </xdr:cNvPr>
        <xdr:cNvSpPr txBox="1">
          <a:spLocks noChangeArrowheads="1"/>
        </xdr:cNvSpPr>
      </xdr:nvSpPr>
      <xdr:spPr bwMode="auto">
        <a:xfrm>
          <a:off x="99060" y="106680"/>
          <a:ext cx="3749040" cy="5996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戸建（新築）評価ソフト」は、Microsoft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105894</xdr:rowOff>
    </xdr:from>
    <xdr:to>
      <xdr:col>4</xdr:col>
      <xdr:colOff>1216025</xdr:colOff>
      <xdr:row>2</xdr:row>
      <xdr:rowOff>344883</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05894"/>
          <a:ext cx="5915025" cy="6009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1066800</xdr:colOff>
      <xdr:row>50</xdr:row>
      <xdr:rowOff>133350</xdr:rowOff>
    </xdr:from>
    <xdr:to>
      <xdr:col>14</xdr:col>
      <xdr:colOff>647700</xdr:colOff>
      <xdr:row>58</xdr:row>
      <xdr:rowOff>161925</xdr:rowOff>
    </xdr:to>
    <xdr:graphicFrame macro="">
      <xdr:nvGraphicFramePr>
        <xdr:cNvPr id="5925892" name="Chart 1">
          <a:extLst>
            <a:ext uri="{FF2B5EF4-FFF2-40B4-BE49-F238E27FC236}">
              <a16:creationId xmlns:a16="http://schemas.microsoft.com/office/drawing/2014/main" id="{00000000-0008-0000-0600-000004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50</xdr:row>
      <xdr:rowOff>133350</xdr:rowOff>
    </xdr:from>
    <xdr:to>
      <xdr:col>10</xdr:col>
      <xdr:colOff>885825</xdr:colOff>
      <xdr:row>58</xdr:row>
      <xdr:rowOff>190500</xdr:rowOff>
    </xdr:to>
    <xdr:graphicFrame macro="">
      <xdr:nvGraphicFramePr>
        <xdr:cNvPr id="5925893" name="Chart 2">
          <a:extLst>
            <a:ext uri="{FF2B5EF4-FFF2-40B4-BE49-F238E27FC236}">
              <a16:creationId xmlns:a16="http://schemas.microsoft.com/office/drawing/2014/main" id="{00000000-0008-0000-0600-000005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50</xdr:row>
      <xdr:rowOff>114300</xdr:rowOff>
    </xdr:from>
    <xdr:to>
      <xdr:col>6</xdr:col>
      <xdr:colOff>466725</xdr:colOff>
      <xdr:row>58</xdr:row>
      <xdr:rowOff>180975</xdr:rowOff>
    </xdr:to>
    <xdr:graphicFrame macro="">
      <xdr:nvGraphicFramePr>
        <xdr:cNvPr id="5925894" name="Chart 3">
          <a:extLst>
            <a:ext uri="{FF2B5EF4-FFF2-40B4-BE49-F238E27FC236}">
              <a16:creationId xmlns:a16="http://schemas.microsoft.com/office/drawing/2014/main" id="{00000000-0008-0000-0600-000006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39</xdr:row>
      <xdr:rowOff>114300</xdr:rowOff>
    </xdr:from>
    <xdr:to>
      <xdr:col>6</xdr:col>
      <xdr:colOff>447675</xdr:colOff>
      <xdr:row>47</xdr:row>
      <xdr:rowOff>133350</xdr:rowOff>
    </xdr:to>
    <xdr:graphicFrame macro="">
      <xdr:nvGraphicFramePr>
        <xdr:cNvPr id="5925895" name="Chart 4">
          <a:extLst>
            <a:ext uri="{FF2B5EF4-FFF2-40B4-BE49-F238E27FC236}">
              <a16:creationId xmlns:a16="http://schemas.microsoft.com/office/drawing/2014/main" id="{00000000-0008-0000-0600-000007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1076325</xdr:colOff>
      <xdr:row>39</xdr:row>
      <xdr:rowOff>104775</xdr:rowOff>
    </xdr:from>
    <xdr:to>
      <xdr:col>14</xdr:col>
      <xdr:colOff>647700</xdr:colOff>
      <xdr:row>48</xdr:row>
      <xdr:rowOff>38100</xdr:rowOff>
    </xdr:to>
    <xdr:graphicFrame macro="">
      <xdr:nvGraphicFramePr>
        <xdr:cNvPr id="5925896" name="Chart 5">
          <a:extLst>
            <a:ext uri="{FF2B5EF4-FFF2-40B4-BE49-F238E27FC236}">
              <a16:creationId xmlns:a16="http://schemas.microsoft.com/office/drawing/2014/main" id="{00000000-0008-0000-0600-000008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28575</xdr:colOff>
      <xdr:row>39</xdr:row>
      <xdr:rowOff>95250</xdr:rowOff>
    </xdr:from>
    <xdr:to>
      <xdr:col>10</xdr:col>
      <xdr:colOff>866775</xdr:colOff>
      <xdr:row>48</xdr:row>
      <xdr:rowOff>0</xdr:rowOff>
    </xdr:to>
    <xdr:graphicFrame macro="">
      <xdr:nvGraphicFramePr>
        <xdr:cNvPr id="5925897" name="Chart 7">
          <a:extLst>
            <a:ext uri="{FF2B5EF4-FFF2-40B4-BE49-F238E27FC236}">
              <a16:creationId xmlns:a16="http://schemas.microsoft.com/office/drawing/2014/main" id="{00000000-0008-0000-0600-000009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absolute">
    <xdr:from>
      <xdr:col>2</xdr:col>
      <xdr:colOff>85725</xdr:colOff>
      <xdr:row>24</xdr:row>
      <xdr:rowOff>0</xdr:rowOff>
    </xdr:from>
    <xdr:to>
      <xdr:col>6</xdr:col>
      <xdr:colOff>247650</xdr:colOff>
      <xdr:row>36</xdr:row>
      <xdr:rowOff>278</xdr:rowOff>
    </xdr:to>
    <xdr:graphicFrame macro="">
      <xdr:nvGraphicFramePr>
        <xdr:cNvPr id="5925898" name="Chart 9">
          <a:extLst>
            <a:ext uri="{FF2B5EF4-FFF2-40B4-BE49-F238E27FC236}">
              <a16:creationId xmlns:a16="http://schemas.microsoft.com/office/drawing/2014/main" id="{00000000-0008-0000-0600-00000A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45720</xdr:colOff>
      <xdr:row>22</xdr:row>
      <xdr:rowOff>152400</xdr:rowOff>
    </xdr:from>
    <xdr:to>
      <xdr:col>7</xdr:col>
      <xdr:colOff>7640</xdr:colOff>
      <xdr:row>23</xdr:row>
      <xdr:rowOff>182880</xdr:rowOff>
    </xdr:to>
    <xdr:sp macro="" textlink="">
      <xdr:nvSpPr>
        <xdr:cNvPr id="247856" name="Text Box 48">
          <a:extLst>
            <a:ext uri="{FF2B5EF4-FFF2-40B4-BE49-F238E27FC236}">
              <a16:creationId xmlns:a16="http://schemas.microsoft.com/office/drawing/2014/main" id="{00000000-0008-0000-0600-000030C80300}"/>
            </a:ext>
          </a:extLst>
        </xdr:cNvPr>
        <xdr:cNvSpPr txBox="1">
          <a:spLocks noChangeArrowheads="1"/>
        </xdr:cNvSpPr>
      </xdr:nvSpPr>
      <xdr:spPr bwMode="auto">
        <a:xfrm>
          <a:off x="106680" y="4358640"/>
          <a:ext cx="2979420" cy="220980"/>
        </a:xfrm>
        <a:prstGeom prst="rect">
          <a:avLst/>
        </a:prstGeom>
        <a:noFill/>
        <a:ln w="9525">
          <a:noFill/>
          <a:miter lim="800000"/>
          <a:headEnd/>
          <a:tailEnd/>
        </a:ln>
      </xdr:spPr>
      <xdr:txBody>
        <a:bodyPr vertOverflow="clip" wrap="square" lIns="36576" tIns="18288" rIns="0" bIns="0" anchor="t" upright="1"/>
        <a:lstStyle/>
        <a:p>
          <a:pPr algn="l" rtl="0">
            <a:defRPr sz="1000"/>
          </a:pPr>
          <a:r>
            <a:rPr lang="en-US" altLang="ja-JP" sz="1000" b="0" i="0" strike="noStrike">
              <a:solidFill>
                <a:srgbClr val="000000"/>
              </a:solidFill>
              <a:latin typeface="ＭＳ Ｐゴシック"/>
              <a:ea typeface="ＭＳ Ｐゴシック"/>
            </a:rPr>
            <a:t>S: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A: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B</a:t>
          </a:r>
          <a:r>
            <a:rPr lang="en-US" altLang="ja-JP" sz="1000" b="0" i="0" strike="noStrike" baseline="30000">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B</a:t>
          </a:r>
          <a:r>
            <a:rPr lang="en-US" altLang="ja-JP" sz="1000" b="0" i="0" strike="noStrike" baseline="30000">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C: </a:t>
          </a:r>
          <a:r>
            <a:rPr lang="en-US" altLang="ja-JP" sz="1000" b="0" i="0" strike="noStrike">
              <a:solidFill>
                <a:srgbClr val="333333"/>
              </a:solidFill>
              <a:latin typeface="ＭＳ Ｐゴシック"/>
              <a:ea typeface="ＭＳ Ｐゴシック"/>
            </a:rPr>
            <a:t>★</a:t>
          </a:r>
        </a:p>
      </xdr:txBody>
    </xdr:sp>
    <xdr:clientData/>
  </xdr:twoCellAnchor>
  <xdr:twoCellAnchor>
    <xdr:from>
      <xdr:col>2</xdr:col>
      <xdr:colOff>581024</xdr:colOff>
      <xdr:row>19</xdr:row>
      <xdr:rowOff>161926</xdr:rowOff>
    </xdr:from>
    <xdr:to>
      <xdr:col>7</xdr:col>
      <xdr:colOff>66674</xdr:colOff>
      <xdr:row>23</xdr:row>
      <xdr:rowOff>66676</xdr:rowOff>
    </xdr:to>
    <xdr:graphicFrame macro="">
      <xdr:nvGraphicFramePr>
        <xdr:cNvPr id="5925900" name="Chart 49">
          <a:extLst>
            <a:ext uri="{FF2B5EF4-FFF2-40B4-BE49-F238E27FC236}">
              <a16:creationId xmlns:a16="http://schemas.microsoft.com/office/drawing/2014/main" id="{00000000-0008-0000-0600-00000C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428625</xdr:colOff>
      <xdr:row>1</xdr:row>
      <xdr:rowOff>57150</xdr:rowOff>
    </xdr:from>
    <xdr:to>
      <xdr:col>14</xdr:col>
      <xdr:colOff>733425</xdr:colOff>
      <xdr:row>3</xdr:row>
      <xdr:rowOff>114300</xdr:rowOff>
    </xdr:to>
    <xdr:pic>
      <xdr:nvPicPr>
        <xdr:cNvPr id="5925901" name="Picture 70">
          <a:extLst>
            <a:ext uri="{FF2B5EF4-FFF2-40B4-BE49-F238E27FC236}">
              <a16:creationId xmlns:a16="http://schemas.microsoft.com/office/drawing/2014/main" id="{00000000-0008-0000-0600-00000D6C5A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69884" t="27533" b="27725"/>
        <a:stretch>
          <a:fillRect/>
        </a:stretch>
      </xdr:blipFill>
      <xdr:spPr bwMode="auto">
        <a:xfrm>
          <a:off x="7219950" y="133350"/>
          <a:ext cx="27622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87630</xdr:colOff>
      <xdr:row>50</xdr:row>
      <xdr:rowOff>0</xdr:rowOff>
    </xdr:from>
    <xdr:ext cx="845040" cy="206467"/>
    <xdr:sp macro="" textlink="">
      <xdr:nvSpPr>
        <xdr:cNvPr id="247886" name="Text Box 78">
          <a:extLst>
            <a:ext uri="{FF2B5EF4-FFF2-40B4-BE49-F238E27FC236}">
              <a16:creationId xmlns:a16="http://schemas.microsoft.com/office/drawing/2014/main" id="{00000000-0008-0000-0600-00004EC80300}"/>
            </a:ext>
          </a:extLst>
        </xdr:cNvPr>
        <xdr:cNvSpPr txBox="1">
          <a:spLocks noChangeArrowheads="1"/>
        </xdr:cNvSpPr>
      </xdr:nvSpPr>
      <xdr:spPr bwMode="auto">
        <a:xfrm>
          <a:off x="8517255" y="9829800"/>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13</xdr:col>
      <xdr:colOff>179070</xdr:colOff>
      <xdr:row>39</xdr:row>
      <xdr:rowOff>0</xdr:rowOff>
    </xdr:from>
    <xdr:ext cx="779957" cy="206467"/>
    <xdr:sp macro="" textlink="">
      <xdr:nvSpPr>
        <xdr:cNvPr id="247887" name="Text Box 79">
          <a:extLst>
            <a:ext uri="{FF2B5EF4-FFF2-40B4-BE49-F238E27FC236}">
              <a16:creationId xmlns:a16="http://schemas.microsoft.com/office/drawing/2014/main" id="{00000000-0008-0000-0600-00004FC80300}"/>
            </a:ext>
          </a:extLst>
        </xdr:cNvPr>
        <xdr:cNvSpPr txBox="1">
          <a:spLocks noChangeArrowheads="1"/>
        </xdr:cNvSpPr>
      </xdr:nvSpPr>
      <xdr:spPr bwMode="auto">
        <a:xfrm>
          <a:off x="8608695" y="769620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558165</xdr:colOff>
      <xdr:row>39</xdr:row>
      <xdr:rowOff>0</xdr:rowOff>
    </xdr:from>
    <xdr:ext cx="779957" cy="206467"/>
    <xdr:sp macro="" textlink="">
      <xdr:nvSpPr>
        <xdr:cNvPr id="247888" name="Text Box 80">
          <a:extLst>
            <a:ext uri="{FF2B5EF4-FFF2-40B4-BE49-F238E27FC236}">
              <a16:creationId xmlns:a16="http://schemas.microsoft.com/office/drawing/2014/main" id="{00000000-0008-0000-0600-000050C80300}"/>
            </a:ext>
          </a:extLst>
        </xdr:cNvPr>
        <xdr:cNvSpPr txBox="1">
          <a:spLocks noChangeArrowheads="1"/>
        </xdr:cNvSpPr>
      </xdr:nvSpPr>
      <xdr:spPr bwMode="auto">
        <a:xfrm>
          <a:off x="5187315" y="769620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560070</xdr:colOff>
      <xdr:row>49</xdr:row>
      <xdr:rowOff>173355</xdr:rowOff>
    </xdr:from>
    <xdr:ext cx="845040" cy="206467"/>
    <xdr:sp macro="" textlink="">
      <xdr:nvSpPr>
        <xdr:cNvPr id="247889" name="Text Box 81">
          <a:extLst>
            <a:ext uri="{FF2B5EF4-FFF2-40B4-BE49-F238E27FC236}">
              <a16:creationId xmlns:a16="http://schemas.microsoft.com/office/drawing/2014/main" id="{00000000-0008-0000-0600-000051C80300}"/>
            </a:ext>
          </a:extLst>
        </xdr:cNvPr>
        <xdr:cNvSpPr txBox="1">
          <a:spLocks noChangeArrowheads="1"/>
        </xdr:cNvSpPr>
      </xdr:nvSpPr>
      <xdr:spPr bwMode="auto">
        <a:xfrm>
          <a:off x="5189220" y="9812655"/>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297180</xdr:colOff>
      <xdr:row>39</xdr:row>
      <xdr:rowOff>7620</xdr:rowOff>
    </xdr:from>
    <xdr:ext cx="779957" cy="206467"/>
    <xdr:sp macro="" textlink="">
      <xdr:nvSpPr>
        <xdr:cNvPr id="247890" name="Text Box 82">
          <a:extLst>
            <a:ext uri="{FF2B5EF4-FFF2-40B4-BE49-F238E27FC236}">
              <a16:creationId xmlns:a16="http://schemas.microsoft.com/office/drawing/2014/main" id="{00000000-0008-0000-0600-000052C80300}"/>
            </a:ext>
          </a:extLst>
        </xdr:cNvPr>
        <xdr:cNvSpPr txBox="1">
          <a:spLocks noChangeArrowheads="1"/>
        </xdr:cNvSpPr>
      </xdr:nvSpPr>
      <xdr:spPr bwMode="auto">
        <a:xfrm>
          <a:off x="1945005" y="770382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179070</xdr:colOff>
      <xdr:row>49</xdr:row>
      <xdr:rowOff>173355</xdr:rowOff>
    </xdr:from>
    <xdr:ext cx="845040" cy="206467"/>
    <xdr:sp macro="" textlink="">
      <xdr:nvSpPr>
        <xdr:cNvPr id="247891" name="Text Box 83">
          <a:extLst>
            <a:ext uri="{FF2B5EF4-FFF2-40B4-BE49-F238E27FC236}">
              <a16:creationId xmlns:a16="http://schemas.microsoft.com/office/drawing/2014/main" id="{00000000-0008-0000-0600-000053C80300}"/>
            </a:ext>
          </a:extLst>
        </xdr:cNvPr>
        <xdr:cNvSpPr txBox="1">
          <a:spLocks noChangeArrowheads="1"/>
        </xdr:cNvSpPr>
      </xdr:nvSpPr>
      <xdr:spPr bwMode="auto">
        <a:xfrm>
          <a:off x="1826895" y="9812655"/>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xdr:from>
      <xdr:col>1</xdr:col>
      <xdr:colOff>7620</xdr:colOff>
      <xdr:row>68</xdr:row>
      <xdr:rowOff>7620</xdr:rowOff>
    </xdr:from>
    <xdr:to>
      <xdr:col>16</xdr:col>
      <xdr:colOff>7620</xdr:colOff>
      <xdr:row>74</xdr:row>
      <xdr:rowOff>7676</xdr:rowOff>
    </xdr:to>
    <xdr:sp macro="" textlink="">
      <xdr:nvSpPr>
        <xdr:cNvPr id="247892" name="Text Box 84">
          <a:extLst>
            <a:ext uri="{FF2B5EF4-FFF2-40B4-BE49-F238E27FC236}">
              <a16:creationId xmlns:a16="http://schemas.microsoft.com/office/drawing/2014/main" id="{00000000-0008-0000-0600-000054C80300}"/>
            </a:ext>
          </a:extLst>
        </xdr:cNvPr>
        <xdr:cNvSpPr txBox="1">
          <a:spLocks noChangeArrowheads="1"/>
        </xdr:cNvSpPr>
      </xdr:nvSpPr>
      <xdr:spPr bwMode="auto">
        <a:xfrm>
          <a:off x="68580" y="14424660"/>
          <a:ext cx="9098280" cy="104394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900" b="1" i="0" strike="noStrike">
              <a:solidFill>
                <a:srgbClr val="000000"/>
              </a:solidFill>
              <a:latin typeface="ＭＳ Ｐゴシック"/>
              <a:ea typeface="ＭＳ Ｐゴシック"/>
            </a:rPr>
            <a:t>■CASBEE: Comprehensive Assessment System for Buil</a:t>
          </a:r>
          <a:r>
            <a:rPr lang="ja-JP" altLang="en-US" sz="900" b="1" i="0" strike="noStrike">
              <a:solidFill>
                <a:srgbClr val="000000"/>
              </a:solidFill>
              <a:latin typeface="ＭＳ Ｐゴシック"/>
              <a:ea typeface="ＭＳ Ｐゴシック"/>
            </a:rPr>
            <a:t>ｔ </a:t>
          </a:r>
          <a:r>
            <a:rPr lang="en-US" altLang="ja-JP" sz="900" b="1" i="0" strike="noStrike">
              <a:solidFill>
                <a:srgbClr val="000000"/>
              </a:solidFill>
              <a:latin typeface="ＭＳ Ｐゴシック"/>
              <a:ea typeface="ＭＳ Ｐゴシック"/>
            </a:rPr>
            <a:t>Environment Efficiency</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（建築環境総合性能評価システム）</a:t>
          </a:r>
        </a:p>
        <a:p>
          <a:pPr algn="l" rtl="0">
            <a:defRPr sz="1000"/>
          </a:pPr>
          <a:r>
            <a:rPr lang="ja-JP" altLang="en-US" sz="900" b="0" i="0" strike="noStrike">
              <a:solidFill>
                <a:srgbClr val="000000"/>
              </a:solidFill>
              <a:latin typeface="ＭＳ Ｐゴシック"/>
              <a:ea typeface="ＭＳ Ｐゴシック"/>
            </a:rPr>
            <a:t>■</a:t>
          </a:r>
          <a:r>
            <a:rPr lang="en-US" altLang="ja-JP" sz="900" b="1" i="0" strike="noStrike">
              <a:solidFill>
                <a:srgbClr val="000000"/>
              </a:solidFill>
              <a:latin typeface="ＭＳ Ｐゴシック"/>
              <a:ea typeface="ＭＳ Ｐゴシック"/>
            </a:rPr>
            <a:t>Q: Quality</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（環境品質）、</a:t>
          </a:r>
          <a:r>
            <a:rPr lang="en-US" altLang="ja-JP" sz="900" b="1" i="0" strike="noStrike">
              <a:solidFill>
                <a:srgbClr val="000000"/>
              </a:solidFill>
              <a:latin typeface="ＭＳ Ｐゴシック"/>
              <a:ea typeface="ＭＳ Ｐゴシック"/>
            </a:rPr>
            <a:t>L: Load </a:t>
          </a:r>
          <a:r>
            <a:rPr lang="ja-JP" altLang="en-US" sz="900" b="0" i="0" strike="noStrike">
              <a:solidFill>
                <a:srgbClr val="000000"/>
              </a:solidFill>
              <a:latin typeface="ＭＳ Ｐゴシック"/>
              <a:ea typeface="ＭＳ Ｐゴシック"/>
            </a:rPr>
            <a:t>（環境負荷）、</a:t>
          </a:r>
          <a:r>
            <a:rPr lang="en-US" altLang="ja-JP" sz="900" b="1" i="0" strike="noStrike">
              <a:solidFill>
                <a:srgbClr val="000000"/>
              </a:solidFill>
              <a:latin typeface="ＭＳ Ｐゴシック"/>
              <a:ea typeface="ＭＳ Ｐゴシック"/>
            </a:rPr>
            <a:t>LR: Load Reduction </a:t>
          </a:r>
          <a:r>
            <a:rPr lang="ja-JP" altLang="en-US" sz="900" b="0" i="0" strike="noStrike">
              <a:solidFill>
                <a:srgbClr val="000000"/>
              </a:solidFill>
              <a:latin typeface="ＭＳ Ｐゴシック"/>
              <a:ea typeface="ＭＳ Ｐゴシック"/>
            </a:rPr>
            <a:t>（環境負荷低減性）、</a:t>
          </a:r>
          <a:r>
            <a:rPr lang="en-US" altLang="ja-JP" sz="900" b="1" i="0" strike="noStrike">
              <a:solidFill>
                <a:srgbClr val="000000"/>
              </a:solidFill>
              <a:latin typeface="ＭＳ Ｐゴシック"/>
              <a:ea typeface="ＭＳ Ｐゴシック"/>
            </a:rPr>
            <a:t>BEE: Buil</a:t>
          </a:r>
          <a:r>
            <a:rPr lang="ja-JP" altLang="en-US" sz="900" b="1" i="0" strike="noStrike">
              <a:solidFill>
                <a:srgbClr val="000000"/>
              </a:solidFill>
              <a:latin typeface="ＭＳ Ｐゴシック"/>
              <a:ea typeface="ＭＳ Ｐゴシック"/>
            </a:rPr>
            <a:t>ｔ</a:t>
          </a:r>
          <a:r>
            <a:rPr lang="en-US" altLang="ja-JP" sz="900" b="1" i="0" strike="noStrike">
              <a:solidFill>
                <a:srgbClr val="000000"/>
              </a:solidFill>
              <a:latin typeface="ＭＳ Ｐゴシック"/>
              <a:ea typeface="ＭＳ Ｐゴシック"/>
            </a:rPr>
            <a:t> Environment Efficiency </a:t>
          </a:r>
          <a:r>
            <a:rPr lang="ja-JP" altLang="en-US" sz="900" b="0" i="0" strike="noStrike">
              <a:solidFill>
                <a:srgbClr val="000000"/>
              </a:solidFill>
              <a:latin typeface="ＭＳ Ｐゴシック"/>
              <a:ea typeface="ＭＳ Ｐゴシック"/>
            </a:rPr>
            <a:t>（環境効率）</a:t>
          </a:r>
        </a:p>
        <a:p>
          <a:pPr algn="l" rtl="0">
            <a:defRPr sz="1000"/>
          </a:pP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CASBEE</a:t>
          </a:r>
          <a:r>
            <a:rPr lang="ja-JP" altLang="en-US" sz="900" b="0" i="0" strike="noStrike">
              <a:solidFill>
                <a:srgbClr val="000000"/>
              </a:solidFill>
              <a:latin typeface="ＭＳ Ｐゴシック"/>
              <a:ea typeface="ＭＳ Ｐゴシック"/>
            </a:rPr>
            <a:t>全体の表記ルールに従えば、</a:t>
          </a:r>
          <a:r>
            <a:rPr lang="en-US" altLang="ja-JP" sz="900" b="0" i="0" strike="noStrike">
              <a:solidFill>
                <a:srgbClr val="000000"/>
              </a:solidFill>
              <a:latin typeface="ＭＳ Ｐゴシック"/>
              <a:ea typeface="ＭＳ Ｐゴシック"/>
            </a:rPr>
            <a:t>CASBEE-</a:t>
          </a:r>
          <a:r>
            <a:rPr lang="ja-JP" altLang="en-US" sz="900" b="0" i="0" strike="noStrike">
              <a:solidFill>
                <a:srgbClr val="000000"/>
              </a:solidFill>
              <a:latin typeface="ＭＳ Ｐゴシック"/>
              <a:ea typeface="ＭＳ Ｐゴシック"/>
            </a:rPr>
            <a:t>戸建</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新築</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の場合、</a:t>
          </a:r>
          <a:r>
            <a:rPr lang="en-US" altLang="ja-JP" sz="900" b="0" i="0" strike="noStrike">
              <a:solidFill>
                <a:srgbClr val="000000"/>
              </a:solidFill>
              <a:latin typeface="ＭＳ Ｐゴシック"/>
              <a:ea typeface="ＭＳ Ｐゴシック"/>
            </a:rPr>
            <a:t>BEE</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Q</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LR</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などとすべきであるが、本シート上では簡略化のため</a:t>
          </a:r>
          <a:r>
            <a:rPr lang="en-US" altLang="ja-JP" sz="900" b="0" i="0" strike="noStrike">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を省略した</a:t>
          </a:r>
        </a:p>
        <a:p>
          <a:pPr algn="l" rtl="0">
            <a:defRPr sz="1000"/>
          </a:pPr>
          <a:r>
            <a:rPr lang="ja-JP" altLang="en-US" sz="900" b="0" i="0" strike="noStrike">
              <a:solidFill>
                <a:srgbClr val="000000"/>
              </a:solidFill>
              <a:latin typeface="ＭＳ Ｐゴシック"/>
              <a:ea typeface="ＭＳ Ｐゴシック"/>
            </a:rPr>
            <a:t>■「ライフサイクル</a:t>
          </a:r>
          <a:r>
            <a:rPr lang="en-US" altLang="ja-JP" sz="900" b="0" i="0" strike="noStrike">
              <a:solidFill>
                <a:srgbClr val="000000"/>
              </a:solidFill>
              <a:latin typeface="ＭＳ Ｐゴシック"/>
              <a:ea typeface="ＭＳ Ｐゴシック"/>
            </a:rPr>
            <a:t>CO</a:t>
          </a:r>
          <a:r>
            <a:rPr lang="en-US" altLang="ja-JP" sz="900" b="0" i="0" strike="noStrike" baseline="-25000">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」とは住宅の部材生産・建設から居住、改修、解体廃棄に至る一生の間の二酸化炭素排出量であり、ここでは住宅の寿命年数と延床面積で除した値を示す</a:t>
          </a:r>
        </a:p>
        <a:p>
          <a:pPr algn="l" rtl="0">
            <a:defRPr sz="1000"/>
          </a:pPr>
          <a:r>
            <a:rPr lang="ja-JP" altLang="en-US" sz="900" b="0" i="0" strike="noStrike">
              <a:solidFill>
                <a:srgbClr val="000000"/>
              </a:solidFill>
              <a:latin typeface="ＭＳ Ｐゴシック"/>
              <a:ea typeface="ＭＳ Ｐゴシック"/>
            </a:rPr>
            <a:t>■評価対象のライフサイクル</a:t>
          </a:r>
          <a:r>
            <a:rPr lang="en-US" altLang="ja-JP" sz="900" b="0" i="0" strike="noStrike">
              <a:solidFill>
                <a:srgbClr val="000000"/>
              </a:solidFill>
              <a:latin typeface="ＭＳ Ｐゴシック"/>
              <a:ea typeface="ＭＳ Ｐゴシック"/>
            </a:rPr>
            <a:t>CO</a:t>
          </a:r>
          <a:r>
            <a:rPr lang="en-US" altLang="ja-JP" sz="6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排出量は、</a:t>
          </a:r>
          <a:r>
            <a:rPr lang="en-US" altLang="ja-JP" sz="900" b="0" i="0" strike="noStrike">
              <a:solidFill>
                <a:srgbClr val="000000"/>
              </a:solidFill>
              <a:latin typeface="ＭＳ Ｐゴシック"/>
              <a:ea typeface="ＭＳ Ｐゴシック"/>
            </a:rPr>
            <a:t>Q</a:t>
          </a:r>
          <a:r>
            <a:rPr lang="en-US" altLang="ja-JP" sz="900" b="0" i="0" strike="noStrike" baseline="-25000">
              <a:solidFill>
                <a:srgbClr val="000000"/>
              </a:solidFill>
              <a:latin typeface="ＭＳ Ｐゴシック"/>
              <a:ea typeface="ＭＳ Ｐゴシック"/>
            </a:rPr>
            <a:t>H</a:t>
          </a:r>
          <a:r>
            <a:rPr lang="en-US" altLang="ja-JP" sz="9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LR</a:t>
          </a:r>
          <a:r>
            <a:rPr lang="en-US" altLang="ja-JP" sz="900" b="0" i="0" strike="noStrike" baseline="-25000">
              <a:solidFill>
                <a:srgbClr val="000000"/>
              </a:solidFill>
              <a:latin typeface="ＭＳ Ｐゴシック"/>
              <a:ea typeface="ＭＳ Ｐゴシック"/>
            </a:rPr>
            <a:t>H</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中の住宅の寿命、省エネルギーなどの項目の評価結果から自動的に算出される（「戸建標準計算」の場合）</a:t>
          </a:r>
        </a:p>
        <a:p>
          <a:pPr algn="l" rtl="0">
            <a:defRPr sz="1000"/>
          </a:pPr>
          <a:r>
            <a:rPr lang="ja-JP" altLang="en-US" sz="900" b="0" i="0" strike="noStrike">
              <a:solidFill>
                <a:srgbClr val="000000"/>
              </a:solidFill>
              <a:latin typeface="ＭＳ Ｐゴシック"/>
              <a:ea typeface="ＭＳ Ｐゴシック"/>
            </a:rPr>
            <a:t>■ライフサイクル</a:t>
          </a:r>
          <a:r>
            <a:rPr lang="en-US" altLang="ja-JP" sz="900" b="0" i="0" strike="noStrike">
              <a:solidFill>
                <a:srgbClr val="000000"/>
              </a:solidFill>
              <a:latin typeface="ＭＳ Ｐゴシック"/>
              <a:ea typeface="ＭＳ Ｐゴシック"/>
            </a:rPr>
            <a:t>CO</a:t>
          </a:r>
          <a:r>
            <a:rPr lang="en-US" altLang="ja-JP" sz="900" b="0" i="0" strike="noStrike" baseline="-25000">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の算定条件等については、マニュアルおよび「</a:t>
          </a:r>
          <a:r>
            <a:rPr lang="en-US" altLang="ja-JP" sz="900" b="0" i="0" strike="noStrike">
              <a:solidFill>
                <a:srgbClr val="000000"/>
              </a:solidFill>
              <a:latin typeface="ＭＳ Ｐゴシック"/>
              <a:ea typeface="ＭＳ Ｐゴシック"/>
            </a:rPr>
            <a:t>CO2</a:t>
          </a:r>
          <a:r>
            <a:rPr lang="ja-JP" altLang="en-US" sz="900" b="0" i="0" strike="noStrike">
              <a:solidFill>
                <a:srgbClr val="000000"/>
              </a:solidFill>
              <a:latin typeface="ＭＳ Ｐゴシック"/>
              <a:ea typeface="ＭＳ Ｐゴシック"/>
            </a:rPr>
            <a:t>計算」シートを参照されたい</a:t>
          </a:r>
        </a:p>
      </xdr:txBody>
    </xdr:sp>
    <xdr:clientData/>
  </xdr:twoCellAnchor>
  <xdr:oneCellAnchor>
    <xdr:from>
      <xdr:col>10</xdr:col>
      <xdr:colOff>146193</xdr:colOff>
      <xdr:row>46</xdr:row>
      <xdr:rowOff>119818</xdr:rowOff>
    </xdr:from>
    <xdr:ext cx="378515" cy="135181"/>
    <xdr:sp macro="" textlink="">
      <xdr:nvSpPr>
        <xdr:cNvPr id="247893" name="Text Box 85">
          <a:extLst>
            <a:ext uri="{FF2B5EF4-FFF2-40B4-BE49-F238E27FC236}">
              <a16:creationId xmlns:a16="http://schemas.microsoft.com/office/drawing/2014/main" id="{00000000-0008-0000-0600-000055C80300}"/>
            </a:ext>
          </a:extLst>
        </xdr:cNvPr>
        <xdr:cNvSpPr txBox="1">
          <a:spLocks noChangeArrowheads="1"/>
        </xdr:cNvSpPr>
      </xdr:nvSpPr>
      <xdr:spPr bwMode="auto">
        <a:xfrm>
          <a:off x="5834917" y="9132439"/>
          <a:ext cx="378515" cy="135181"/>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　機能性</a:t>
          </a:r>
        </a:p>
      </xdr:txBody>
    </xdr:sp>
    <xdr:clientData/>
  </xdr:oneCellAnchor>
  <xdr:twoCellAnchor editAs="oneCell">
    <xdr:from>
      <xdr:col>7</xdr:col>
      <xdr:colOff>285750</xdr:colOff>
      <xdr:row>46</xdr:row>
      <xdr:rowOff>86973</xdr:rowOff>
    </xdr:from>
    <xdr:to>
      <xdr:col>8</xdr:col>
      <xdr:colOff>388303</xdr:colOff>
      <xdr:row>48</xdr:row>
      <xdr:rowOff>15573</xdr:rowOff>
    </xdr:to>
    <xdr:sp macro="" textlink="">
      <xdr:nvSpPr>
        <xdr:cNvPr id="247894" name="Text Box 86">
          <a:extLst>
            <a:ext uri="{FF2B5EF4-FFF2-40B4-BE49-F238E27FC236}">
              <a16:creationId xmlns:a16="http://schemas.microsoft.com/office/drawing/2014/main" id="{00000000-0008-0000-0600-000056C80300}"/>
            </a:ext>
          </a:extLst>
        </xdr:cNvPr>
        <xdr:cNvSpPr txBox="1">
          <a:spLocks noChangeArrowheads="1"/>
        </xdr:cNvSpPr>
      </xdr:nvSpPr>
      <xdr:spPr bwMode="auto">
        <a:xfrm>
          <a:off x="3714750" y="9099594"/>
          <a:ext cx="838277"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長寿命に対する</a:t>
          </a:r>
        </a:p>
        <a:p>
          <a:pPr algn="ctr" rtl="0">
            <a:defRPr sz="1000"/>
          </a:pPr>
          <a:r>
            <a:rPr lang="ja-JP" altLang="en-US" sz="800" b="0" i="0" strike="noStrike">
              <a:solidFill>
                <a:srgbClr val="000000"/>
              </a:solidFill>
              <a:latin typeface="ＭＳ Ｐゴシック"/>
              <a:ea typeface="ＭＳ Ｐゴシック"/>
            </a:rPr>
            <a:t>基本性能</a:t>
          </a:r>
        </a:p>
      </xdr:txBody>
    </xdr:sp>
    <xdr:clientData/>
  </xdr:twoCellAnchor>
  <xdr:oneCellAnchor>
    <xdr:from>
      <xdr:col>9</xdr:col>
      <xdr:colOff>297180</xdr:colOff>
      <xdr:row>46</xdr:row>
      <xdr:rowOff>119818</xdr:rowOff>
    </xdr:from>
    <xdr:ext cx="478529" cy="133370"/>
    <xdr:sp macro="" textlink="">
      <xdr:nvSpPr>
        <xdr:cNvPr id="247895" name="Text Box 87">
          <a:extLst>
            <a:ext uri="{FF2B5EF4-FFF2-40B4-BE49-F238E27FC236}">
              <a16:creationId xmlns:a16="http://schemas.microsoft.com/office/drawing/2014/main" id="{00000000-0008-0000-0600-000057C80300}"/>
            </a:ext>
          </a:extLst>
        </xdr:cNvPr>
        <xdr:cNvSpPr txBox="1">
          <a:spLocks noChangeArrowheads="1"/>
        </xdr:cNvSpPr>
      </xdr:nvSpPr>
      <xdr:spPr bwMode="auto">
        <a:xfrm>
          <a:off x="4928301" y="9132439"/>
          <a:ext cx="478529" cy="133370"/>
        </a:xfrm>
        <a:prstGeom prst="rect">
          <a:avLst/>
        </a:prstGeom>
        <a:noFill/>
        <a:ln w="9525">
          <a:noFill/>
          <a:miter lim="800000"/>
          <a:headEnd/>
          <a:tailEnd/>
        </a:ln>
      </xdr:spPr>
      <xdr:txBody>
        <a:bodyPr wrap="none" lIns="0" tIns="0" rIns="0" bIns="0" anchor="ctr" upright="1">
          <a:spAutoFit/>
        </a:bodyPr>
        <a:lstStyle/>
        <a:p>
          <a:pPr algn="l" rtl="0">
            <a:defRPr sz="1000"/>
          </a:pPr>
          <a:r>
            <a:rPr lang="ja-JP" altLang="en-US" sz="800" b="0" i="0" strike="noStrike">
              <a:solidFill>
                <a:srgbClr val="000000"/>
              </a:solidFill>
              <a:latin typeface="ＭＳ Ｐゴシック"/>
              <a:ea typeface="ＭＳ Ｐゴシック"/>
            </a:rPr>
            <a:t>維持管理　</a:t>
          </a:r>
        </a:p>
      </xdr:txBody>
    </xdr:sp>
    <xdr:clientData/>
  </xdr:oneCellAnchor>
  <xdr:twoCellAnchor editAs="oneCell">
    <xdr:from>
      <xdr:col>2</xdr:col>
      <xdr:colOff>125730</xdr:colOff>
      <xdr:row>46</xdr:row>
      <xdr:rowOff>113249</xdr:rowOff>
    </xdr:from>
    <xdr:to>
      <xdr:col>2</xdr:col>
      <xdr:colOff>762413</xdr:colOff>
      <xdr:row>47</xdr:row>
      <xdr:rowOff>67529</xdr:rowOff>
    </xdr:to>
    <xdr:sp macro="" textlink="">
      <xdr:nvSpPr>
        <xdr:cNvPr id="247896" name="Text Box 88">
          <a:extLst>
            <a:ext uri="{FF2B5EF4-FFF2-40B4-BE49-F238E27FC236}">
              <a16:creationId xmlns:a16="http://schemas.microsoft.com/office/drawing/2014/main" id="{00000000-0008-0000-0600-000058C80300}"/>
            </a:ext>
          </a:extLst>
        </xdr:cNvPr>
        <xdr:cNvSpPr txBox="1">
          <a:spLocks noChangeArrowheads="1"/>
        </xdr:cNvSpPr>
      </xdr:nvSpPr>
      <xdr:spPr bwMode="auto">
        <a:xfrm>
          <a:off x="349075" y="9125870"/>
          <a:ext cx="636683"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暑さ・寒さ　</a:t>
          </a:r>
        </a:p>
      </xdr:txBody>
    </xdr:sp>
    <xdr:clientData/>
  </xdr:twoCellAnchor>
  <xdr:twoCellAnchor editAs="oneCell">
    <xdr:from>
      <xdr:col>2</xdr:col>
      <xdr:colOff>754380</xdr:colOff>
      <xdr:row>46</xdr:row>
      <xdr:rowOff>113249</xdr:rowOff>
    </xdr:from>
    <xdr:to>
      <xdr:col>4</xdr:col>
      <xdr:colOff>206539</xdr:colOff>
      <xdr:row>47</xdr:row>
      <xdr:rowOff>83100</xdr:rowOff>
    </xdr:to>
    <xdr:sp macro="" textlink="">
      <xdr:nvSpPr>
        <xdr:cNvPr id="247897" name="Text Box 89">
          <a:extLst>
            <a:ext uri="{FF2B5EF4-FFF2-40B4-BE49-F238E27FC236}">
              <a16:creationId xmlns:a16="http://schemas.microsoft.com/office/drawing/2014/main" id="{00000000-0008-0000-0600-000059C80300}"/>
            </a:ext>
          </a:extLst>
        </xdr:cNvPr>
        <xdr:cNvSpPr txBox="1">
          <a:spLocks noChangeArrowheads="1"/>
        </xdr:cNvSpPr>
      </xdr:nvSpPr>
      <xdr:spPr bwMode="auto">
        <a:xfrm>
          <a:off x="977725" y="9125870"/>
          <a:ext cx="877624" cy="1603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健康と安全・安心　</a:t>
          </a:r>
        </a:p>
      </xdr:txBody>
    </xdr:sp>
    <xdr:clientData/>
  </xdr:twoCellAnchor>
  <xdr:twoCellAnchor editAs="oneCell">
    <xdr:from>
      <xdr:col>4</xdr:col>
      <xdr:colOff>167640</xdr:colOff>
      <xdr:row>46</xdr:row>
      <xdr:rowOff>113249</xdr:rowOff>
    </xdr:from>
    <xdr:to>
      <xdr:col>5</xdr:col>
      <xdr:colOff>247974</xdr:colOff>
      <xdr:row>47</xdr:row>
      <xdr:rowOff>67529</xdr:rowOff>
    </xdr:to>
    <xdr:sp macro="" textlink="">
      <xdr:nvSpPr>
        <xdr:cNvPr id="247898" name="Text Box 90">
          <a:extLst>
            <a:ext uri="{FF2B5EF4-FFF2-40B4-BE49-F238E27FC236}">
              <a16:creationId xmlns:a16="http://schemas.microsoft.com/office/drawing/2014/main" id="{00000000-0008-0000-0600-00005AC80300}"/>
            </a:ext>
          </a:extLst>
        </xdr:cNvPr>
        <xdr:cNvSpPr txBox="1">
          <a:spLocks noChangeArrowheads="1"/>
        </xdr:cNvSpPr>
      </xdr:nvSpPr>
      <xdr:spPr bwMode="auto">
        <a:xfrm>
          <a:off x="1816450" y="9125870"/>
          <a:ext cx="592714"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明るさ　</a:t>
          </a:r>
        </a:p>
      </xdr:txBody>
    </xdr:sp>
    <xdr:clientData/>
  </xdr:twoCellAnchor>
  <xdr:twoCellAnchor editAs="oneCell">
    <xdr:from>
      <xdr:col>5</xdr:col>
      <xdr:colOff>381000</xdr:colOff>
      <xdr:row>46</xdr:row>
      <xdr:rowOff>113249</xdr:rowOff>
    </xdr:from>
    <xdr:to>
      <xdr:col>6</xdr:col>
      <xdr:colOff>335280</xdr:colOff>
      <xdr:row>47</xdr:row>
      <xdr:rowOff>67529</xdr:rowOff>
    </xdr:to>
    <xdr:sp macro="" textlink="">
      <xdr:nvSpPr>
        <xdr:cNvPr id="247899" name="Text Box 91">
          <a:extLst>
            <a:ext uri="{FF2B5EF4-FFF2-40B4-BE49-F238E27FC236}">
              <a16:creationId xmlns:a16="http://schemas.microsoft.com/office/drawing/2014/main" id="{00000000-0008-0000-0600-00005BC80300}"/>
            </a:ext>
          </a:extLst>
        </xdr:cNvPr>
        <xdr:cNvSpPr txBox="1">
          <a:spLocks noChangeArrowheads="1"/>
        </xdr:cNvSpPr>
      </xdr:nvSpPr>
      <xdr:spPr bwMode="auto">
        <a:xfrm>
          <a:off x="2542190" y="9125870"/>
          <a:ext cx="584900"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静かさ　</a:t>
          </a:r>
        </a:p>
      </xdr:txBody>
    </xdr:sp>
    <xdr:clientData/>
  </xdr:twoCellAnchor>
  <xdr:twoCellAnchor editAs="oneCell">
    <xdr:from>
      <xdr:col>12</xdr:col>
      <xdr:colOff>125730</xdr:colOff>
      <xdr:row>46</xdr:row>
      <xdr:rowOff>86973</xdr:rowOff>
    </xdr:from>
    <xdr:to>
      <xdr:col>12</xdr:col>
      <xdr:colOff>735561</xdr:colOff>
      <xdr:row>48</xdr:row>
      <xdr:rowOff>15573</xdr:rowOff>
    </xdr:to>
    <xdr:sp macro="" textlink="">
      <xdr:nvSpPr>
        <xdr:cNvPr id="247900" name="Text Box 92">
          <a:extLst>
            <a:ext uri="{FF2B5EF4-FFF2-40B4-BE49-F238E27FC236}">
              <a16:creationId xmlns:a16="http://schemas.microsoft.com/office/drawing/2014/main" id="{00000000-0008-0000-0600-00005CC80300}"/>
            </a:ext>
          </a:extLst>
        </xdr:cNvPr>
        <xdr:cNvSpPr txBox="1">
          <a:spLocks noChangeArrowheads="1"/>
        </xdr:cNvSpPr>
      </xdr:nvSpPr>
      <xdr:spPr bwMode="auto">
        <a:xfrm>
          <a:off x="7739161" y="9099594"/>
          <a:ext cx="609831"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生物環境の保全と創出</a:t>
          </a:r>
        </a:p>
      </xdr:txBody>
    </xdr:sp>
    <xdr:clientData/>
  </xdr:twoCellAnchor>
  <xdr:twoCellAnchor editAs="oneCell">
    <xdr:from>
      <xdr:col>11</xdr:col>
      <xdr:colOff>167640</xdr:colOff>
      <xdr:row>46</xdr:row>
      <xdr:rowOff>86973</xdr:rowOff>
    </xdr:from>
    <xdr:to>
      <xdr:col>12</xdr:col>
      <xdr:colOff>38206</xdr:colOff>
      <xdr:row>48</xdr:row>
      <xdr:rowOff>15573</xdr:rowOff>
    </xdr:to>
    <xdr:sp macro="" textlink="">
      <xdr:nvSpPr>
        <xdr:cNvPr id="247901" name="Text Box 93">
          <a:extLst>
            <a:ext uri="{FF2B5EF4-FFF2-40B4-BE49-F238E27FC236}">
              <a16:creationId xmlns:a16="http://schemas.microsoft.com/office/drawing/2014/main" id="{00000000-0008-0000-0600-00005DC80300}"/>
            </a:ext>
          </a:extLst>
        </xdr:cNvPr>
        <xdr:cNvSpPr txBox="1">
          <a:spLocks noChangeArrowheads="1"/>
        </xdr:cNvSpPr>
      </xdr:nvSpPr>
      <xdr:spPr bwMode="auto">
        <a:xfrm>
          <a:off x="6959950" y="9099594"/>
          <a:ext cx="691687"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まちなみ・景観への配慮</a:t>
          </a:r>
        </a:p>
      </xdr:txBody>
    </xdr:sp>
    <xdr:clientData/>
  </xdr:twoCellAnchor>
  <xdr:twoCellAnchor editAs="oneCell">
    <xdr:from>
      <xdr:col>13</xdr:col>
      <xdr:colOff>38100</xdr:colOff>
      <xdr:row>46</xdr:row>
      <xdr:rowOff>86973</xdr:rowOff>
    </xdr:from>
    <xdr:to>
      <xdr:col>13</xdr:col>
      <xdr:colOff>586673</xdr:colOff>
      <xdr:row>48</xdr:row>
      <xdr:rowOff>15573</xdr:rowOff>
    </xdr:to>
    <xdr:sp macro="" textlink="">
      <xdr:nvSpPr>
        <xdr:cNvPr id="247902" name="Text Box 94">
          <a:extLst>
            <a:ext uri="{FF2B5EF4-FFF2-40B4-BE49-F238E27FC236}">
              <a16:creationId xmlns:a16="http://schemas.microsoft.com/office/drawing/2014/main" id="{00000000-0008-0000-0600-00005EC80300}"/>
            </a:ext>
          </a:extLst>
        </xdr:cNvPr>
        <xdr:cNvSpPr txBox="1">
          <a:spLocks noChangeArrowheads="1"/>
        </xdr:cNvSpPr>
      </xdr:nvSpPr>
      <xdr:spPr bwMode="auto">
        <a:xfrm>
          <a:off x="8472652" y="9099594"/>
          <a:ext cx="548573"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地域の</a:t>
          </a:r>
        </a:p>
        <a:p>
          <a:pPr algn="ctr" rtl="0">
            <a:defRPr sz="1000"/>
          </a:pPr>
          <a:r>
            <a:rPr lang="ja-JP" altLang="en-US" sz="800" b="0" i="0" strike="noStrike">
              <a:solidFill>
                <a:srgbClr val="000000"/>
              </a:solidFill>
              <a:latin typeface="ＭＳ Ｐゴシック"/>
              <a:ea typeface="ＭＳ Ｐゴシック"/>
            </a:rPr>
            <a:t>安全・安心　　　　　　　　　</a:t>
          </a:r>
        </a:p>
      </xdr:txBody>
    </xdr:sp>
    <xdr:clientData/>
  </xdr:twoCellAnchor>
  <xdr:twoCellAnchor editAs="oneCell">
    <xdr:from>
      <xdr:col>13</xdr:col>
      <xdr:colOff>628650</xdr:colOff>
      <xdr:row>46</xdr:row>
      <xdr:rowOff>86973</xdr:rowOff>
    </xdr:from>
    <xdr:to>
      <xdr:col>15</xdr:col>
      <xdr:colOff>1222</xdr:colOff>
      <xdr:row>48</xdr:row>
      <xdr:rowOff>15573</xdr:rowOff>
    </xdr:to>
    <xdr:sp macro="" textlink="">
      <xdr:nvSpPr>
        <xdr:cNvPr id="247903" name="Text Box 95">
          <a:extLst>
            <a:ext uri="{FF2B5EF4-FFF2-40B4-BE49-F238E27FC236}">
              <a16:creationId xmlns:a16="http://schemas.microsoft.com/office/drawing/2014/main" id="{00000000-0008-0000-0600-00005FC80300}"/>
            </a:ext>
          </a:extLst>
        </xdr:cNvPr>
        <xdr:cNvSpPr txBox="1">
          <a:spLocks noChangeArrowheads="1"/>
        </xdr:cNvSpPr>
      </xdr:nvSpPr>
      <xdr:spPr bwMode="auto">
        <a:xfrm>
          <a:off x="9063202" y="9099594"/>
          <a:ext cx="1014813"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地域の資源の活用</a:t>
          </a:r>
        </a:p>
        <a:p>
          <a:pPr algn="ctr" rtl="0">
            <a:defRPr sz="1000"/>
          </a:pPr>
          <a:r>
            <a:rPr lang="ja-JP" altLang="en-US" sz="800" b="0" i="0" strike="noStrike">
              <a:solidFill>
                <a:srgbClr val="000000"/>
              </a:solidFill>
              <a:latin typeface="ＭＳ Ｐゴシック"/>
              <a:ea typeface="ＭＳ Ｐゴシック"/>
            </a:rPr>
            <a:t>と住文化の継承　　　　</a:t>
          </a:r>
        </a:p>
      </xdr:txBody>
    </xdr:sp>
    <xdr:clientData/>
  </xdr:twoCellAnchor>
  <xdr:oneCellAnchor>
    <xdr:from>
      <xdr:col>2</xdr:col>
      <xdr:colOff>414481</xdr:colOff>
      <xdr:row>57</xdr:row>
      <xdr:rowOff>119696</xdr:rowOff>
    </xdr:from>
    <xdr:ext cx="409899" cy="266740"/>
    <xdr:sp macro="" textlink="">
      <xdr:nvSpPr>
        <xdr:cNvPr id="247904" name="Text Box 96">
          <a:extLst>
            <a:ext uri="{FF2B5EF4-FFF2-40B4-BE49-F238E27FC236}">
              <a16:creationId xmlns:a16="http://schemas.microsoft.com/office/drawing/2014/main" id="{00000000-0008-0000-0600-000060C80300}"/>
            </a:ext>
          </a:extLst>
        </xdr:cNvPr>
        <xdr:cNvSpPr txBox="1">
          <a:spLocks noChangeArrowheads="1"/>
        </xdr:cNvSpPr>
      </xdr:nvSpPr>
      <xdr:spPr bwMode="auto">
        <a:xfrm>
          <a:off x="633556" y="11321096"/>
          <a:ext cx="400366" cy="26674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総合的な</a:t>
          </a:r>
        </a:p>
        <a:p>
          <a:pPr algn="ctr" rtl="0">
            <a:defRPr sz="1000"/>
          </a:pPr>
          <a:r>
            <a:rPr lang="ja-JP" altLang="en-US" sz="800" b="0" i="0" strike="noStrike">
              <a:solidFill>
                <a:srgbClr val="000000"/>
              </a:solidFill>
              <a:latin typeface="ＭＳ Ｐゴシック"/>
              <a:ea typeface="ＭＳ Ｐゴシック"/>
            </a:rPr>
            <a:t>省エネ</a:t>
          </a:r>
        </a:p>
      </xdr:txBody>
    </xdr:sp>
    <xdr:clientData/>
  </xdr:oneCellAnchor>
  <xdr:oneCellAnchor>
    <xdr:from>
      <xdr:col>10</xdr:col>
      <xdr:colOff>45720</xdr:colOff>
      <xdr:row>57</xdr:row>
      <xdr:rowOff>106680</xdr:rowOff>
    </xdr:from>
    <xdr:ext cx="723900" cy="266740"/>
    <xdr:sp macro="" textlink="">
      <xdr:nvSpPr>
        <xdr:cNvPr id="247905" name="Text Box 97">
          <a:extLst>
            <a:ext uri="{FF2B5EF4-FFF2-40B4-BE49-F238E27FC236}">
              <a16:creationId xmlns:a16="http://schemas.microsoft.com/office/drawing/2014/main" id="{00000000-0008-0000-0600-000061C80300}"/>
            </a:ext>
          </a:extLst>
        </xdr:cNvPr>
        <xdr:cNvSpPr txBox="1">
          <a:spLocks noChangeArrowheads="1"/>
        </xdr:cNvSpPr>
      </xdr:nvSpPr>
      <xdr:spPr bwMode="auto">
        <a:xfrm>
          <a:off x="5732145" y="11308080"/>
          <a:ext cx="723900" cy="266740"/>
        </a:xfrm>
        <a:prstGeom prst="rect">
          <a:avLst/>
        </a:prstGeom>
        <a:noFill/>
        <a:ln w="9525">
          <a:noFill/>
          <a:miter lim="800000"/>
          <a:headEnd/>
          <a:tailEnd/>
        </a:ln>
      </xdr:spPr>
      <xdr:txBody>
        <a:bodyPr wrap="square" lIns="0" tIns="0" rIns="0" bIns="0" anchor="t" upright="1">
          <a:spAutoFit/>
        </a:bodyPr>
        <a:lstStyle/>
        <a:p>
          <a:pPr algn="ctr" rtl="0">
            <a:defRPr sz="1000"/>
          </a:pPr>
          <a:r>
            <a:rPr lang="ja-JP" altLang="en-US" sz="800" b="0" i="0" strike="noStrike">
              <a:solidFill>
                <a:srgbClr val="000000"/>
              </a:solidFill>
              <a:latin typeface="ＭＳ Ｐゴシック"/>
              <a:ea typeface="ＭＳ Ｐゴシック"/>
            </a:rPr>
            <a:t>リサイクルの</a:t>
          </a:r>
        </a:p>
        <a:p>
          <a:pPr algn="ctr" rtl="0">
            <a:defRPr sz="1000"/>
          </a:pPr>
          <a:r>
            <a:rPr lang="ja-JP" altLang="en-US" sz="800" b="0" i="0" strike="noStrike">
              <a:solidFill>
                <a:srgbClr val="000000"/>
              </a:solidFill>
              <a:latin typeface="ＭＳ Ｐゴシック"/>
              <a:ea typeface="ＭＳ Ｐゴシック"/>
            </a:rPr>
            <a:t>促進</a:t>
          </a:r>
        </a:p>
      </xdr:txBody>
    </xdr:sp>
    <xdr:clientData/>
  </xdr:oneCellAnchor>
  <xdr:twoCellAnchor editAs="oneCell">
    <xdr:from>
      <xdr:col>11</xdr:col>
      <xdr:colOff>251460</xdr:colOff>
      <xdr:row>57</xdr:row>
      <xdr:rowOff>92490</xdr:rowOff>
    </xdr:from>
    <xdr:to>
      <xdr:col>12</xdr:col>
      <xdr:colOff>331513</xdr:colOff>
      <xdr:row>59</xdr:row>
      <xdr:rowOff>7952</xdr:rowOff>
    </xdr:to>
    <xdr:sp macro="" textlink="">
      <xdr:nvSpPr>
        <xdr:cNvPr id="247906" name="Text Box 98">
          <a:extLst>
            <a:ext uri="{FF2B5EF4-FFF2-40B4-BE49-F238E27FC236}">
              <a16:creationId xmlns:a16="http://schemas.microsoft.com/office/drawing/2014/main" id="{00000000-0008-0000-0600-000062C80300}"/>
            </a:ext>
          </a:extLst>
        </xdr:cNvPr>
        <xdr:cNvSpPr txBox="1">
          <a:spLocks noChangeArrowheads="1"/>
        </xdr:cNvSpPr>
      </xdr:nvSpPr>
      <xdr:spPr bwMode="auto">
        <a:xfrm>
          <a:off x="7043770" y="11266300"/>
          <a:ext cx="901174" cy="309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地球温暖化</a:t>
          </a:r>
        </a:p>
        <a:p>
          <a:pPr algn="ctr" rtl="0">
            <a:defRPr sz="1000"/>
          </a:pPr>
          <a:r>
            <a:rPr lang="ja-JP" altLang="en-US" sz="800" b="0" i="0" strike="noStrike">
              <a:solidFill>
                <a:srgbClr val="000000"/>
              </a:solidFill>
              <a:latin typeface="ＭＳ Ｐゴシック"/>
              <a:ea typeface="ＭＳ Ｐゴシック"/>
            </a:rPr>
            <a:t>への配慮</a:t>
          </a:r>
        </a:p>
      </xdr:txBody>
    </xdr:sp>
    <xdr:clientData/>
  </xdr:twoCellAnchor>
  <xdr:twoCellAnchor editAs="oneCell">
    <xdr:from>
      <xdr:col>12</xdr:col>
      <xdr:colOff>468630</xdr:colOff>
      <xdr:row>57</xdr:row>
      <xdr:rowOff>92490</xdr:rowOff>
    </xdr:from>
    <xdr:to>
      <xdr:col>13</xdr:col>
      <xdr:colOff>373398</xdr:colOff>
      <xdr:row>59</xdr:row>
      <xdr:rowOff>7952</xdr:rowOff>
    </xdr:to>
    <xdr:sp macro="" textlink="">
      <xdr:nvSpPr>
        <xdr:cNvPr id="247907" name="Text Box 99">
          <a:extLst>
            <a:ext uri="{FF2B5EF4-FFF2-40B4-BE49-F238E27FC236}">
              <a16:creationId xmlns:a16="http://schemas.microsoft.com/office/drawing/2014/main" id="{00000000-0008-0000-0600-000063C80300}"/>
            </a:ext>
          </a:extLst>
        </xdr:cNvPr>
        <xdr:cNvSpPr txBox="1">
          <a:spLocks noChangeArrowheads="1"/>
        </xdr:cNvSpPr>
      </xdr:nvSpPr>
      <xdr:spPr bwMode="auto">
        <a:xfrm>
          <a:off x="8082061" y="11266300"/>
          <a:ext cx="725889" cy="3096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地域環境へ</a:t>
          </a:r>
        </a:p>
        <a:p>
          <a:pPr algn="ctr" rtl="0">
            <a:defRPr sz="1000"/>
          </a:pPr>
          <a:r>
            <a:rPr lang="ja-JP" altLang="en-US" sz="800" b="0" i="0" strike="noStrike">
              <a:solidFill>
                <a:srgbClr val="000000"/>
              </a:solidFill>
              <a:latin typeface="ＭＳ Ｐゴシック"/>
              <a:ea typeface="ＭＳ Ｐゴシック"/>
            </a:rPr>
            <a:t>の配慮</a:t>
          </a:r>
        </a:p>
      </xdr:txBody>
    </xdr:sp>
    <xdr:clientData/>
  </xdr:twoCellAnchor>
  <xdr:twoCellAnchor editAs="oneCell">
    <xdr:from>
      <xdr:col>13</xdr:col>
      <xdr:colOff>548640</xdr:colOff>
      <xdr:row>57</xdr:row>
      <xdr:rowOff>92490</xdr:rowOff>
    </xdr:from>
    <xdr:to>
      <xdr:col>14</xdr:col>
      <xdr:colOff>506952</xdr:colOff>
      <xdr:row>59</xdr:row>
      <xdr:rowOff>7952</xdr:rowOff>
    </xdr:to>
    <xdr:sp macro="" textlink="">
      <xdr:nvSpPr>
        <xdr:cNvPr id="247908" name="Text Box 100">
          <a:extLst>
            <a:ext uri="{FF2B5EF4-FFF2-40B4-BE49-F238E27FC236}">
              <a16:creationId xmlns:a16="http://schemas.microsoft.com/office/drawing/2014/main" id="{00000000-0008-0000-0600-000064C80300}"/>
            </a:ext>
          </a:extLst>
        </xdr:cNvPr>
        <xdr:cNvSpPr txBox="1">
          <a:spLocks noChangeArrowheads="1"/>
        </xdr:cNvSpPr>
      </xdr:nvSpPr>
      <xdr:spPr bwMode="auto">
        <a:xfrm>
          <a:off x="8983192" y="11266300"/>
          <a:ext cx="779432" cy="3096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  周辺環境へ</a:t>
          </a:r>
        </a:p>
        <a:p>
          <a:pPr algn="ctr" rtl="0">
            <a:defRPr sz="1000"/>
          </a:pPr>
          <a:r>
            <a:rPr lang="ja-JP" altLang="en-US" sz="800" b="0" i="0" strike="noStrike">
              <a:solidFill>
                <a:srgbClr val="000000"/>
              </a:solidFill>
              <a:latin typeface="ＭＳ Ｐゴシック"/>
              <a:ea typeface="ＭＳ Ｐゴシック"/>
            </a:rPr>
            <a:t>の配慮</a:t>
          </a:r>
        </a:p>
        <a:p>
          <a:pPr algn="ctr" rtl="0">
            <a:defRPr sz="1000"/>
          </a:pPr>
          <a:endParaRPr lang="ja-JP" altLang="en-US" sz="800" b="0" i="0" strike="noStrike">
            <a:solidFill>
              <a:srgbClr val="000000"/>
            </a:solidFill>
            <a:latin typeface="ＭＳ Ｐゴシック"/>
            <a:ea typeface="ＭＳ Ｐゴシック"/>
          </a:endParaRPr>
        </a:p>
      </xdr:txBody>
    </xdr:sp>
    <xdr:clientData/>
  </xdr:twoCellAnchor>
  <xdr:oneCellAnchor>
    <xdr:from>
      <xdr:col>3</xdr:col>
      <xdr:colOff>310715</xdr:colOff>
      <xdr:row>57</xdr:row>
      <xdr:rowOff>123748</xdr:rowOff>
    </xdr:from>
    <xdr:ext cx="419913" cy="133370"/>
    <xdr:sp macro="" textlink="">
      <xdr:nvSpPr>
        <xdr:cNvPr id="247910" name="Text Box 102">
          <a:extLst>
            <a:ext uri="{FF2B5EF4-FFF2-40B4-BE49-F238E27FC236}">
              <a16:creationId xmlns:a16="http://schemas.microsoft.com/office/drawing/2014/main" id="{00000000-0008-0000-0600-000066C80300}"/>
            </a:ext>
          </a:extLst>
        </xdr:cNvPr>
        <xdr:cNvSpPr txBox="1">
          <a:spLocks noChangeArrowheads="1"/>
        </xdr:cNvSpPr>
      </xdr:nvSpPr>
      <xdr:spPr bwMode="auto">
        <a:xfrm>
          <a:off x="1548965" y="11325148"/>
          <a:ext cx="41991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水の節約</a:t>
          </a:r>
        </a:p>
      </xdr:txBody>
    </xdr:sp>
    <xdr:clientData/>
  </xdr:oneCellAnchor>
  <xdr:oneCellAnchor>
    <xdr:from>
      <xdr:col>5</xdr:col>
      <xdr:colOff>419130</xdr:colOff>
      <xdr:row>57</xdr:row>
      <xdr:rowOff>110171</xdr:rowOff>
    </xdr:from>
    <xdr:ext cx="522460" cy="266740"/>
    <xdr:sp macro="" textlink="">
      <xdr:nvSpPr>
        <xdr:cNvPr id="247911" name="Text Box 103">
          <a:extLst>
            <a:ext uri="{FF2B5EF4-FFF2-40B4-BE49-F238E27FC236}">
              <a16:creationId xmlns:a16="http://schemas.microsoft.com/office/drawing/2014/main" id="{00000000-0008-0000-0600-000067C80300}"/>
            </a:ext>
          </a:extLst>
        </xdr:cNvPr>
        <xdr:cNvSpPr txBox="1">
          <a:spLocks noChangeArrowheads="1"/>
        </xdr:cNvSpPr>
      </xdr:nvSpPr>
      <xdr:spPr bwMode="auto">
        <a:xfrm>
          <a:off x="2581305" y="11311571"/>
          <a:ext cx="512961" cy="26674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維持管理と</a:t>
          </a:r>
        </a:p>
        <a:p>
          <a:pPr algn="ctr" rtl="0">
            <a:defRPr sz="1000"/>
          </a:pPr>
          <a:r>
            <a:rPr lang="ja-JP" altLang="en-US" sz="800" b="0" i="0" strike="noStrike">
              <a:solidFill>
                <a:srgbClr val="000000"/>
              </a:solidFill>
              <a:latin typeface="ＭＳ Ｐゴシック"/>
              <a:ea typeface="ＭＳ Ｐゴシック"/>
            </a:rPr>
            <a:t>運用の工夫</a:t>
          </a:r>
        </a:p>
      </xdr:txBody>
    </xdr:sp>
    <xdr:clientData/>
  </xdr:oneCellAnchor>
  <xdr:twoCellAnchor editAs="oneCell">
    <xdr:from>
      <xdr:col>9</xdr:col>
      <xdr:colOff>0</xdr:colOff>
      <xdr:row>57</xdr:row>
      <xdr:rowOff>45720</xdr:rowOff>
    </xdr:from>
    <xdr:to>
      <xdr:col>9</xdr:col>
      <xdr:colOff>948860</xdr:colOff>
      <xdr:row>59</xdr:row>
      <xdr:rowOff>38100</xdr:rowOff>
    </xdr:to>
    <xdr:sp macro="" textlink="">
      <xdr:nvSpPr>
        <xdr:cNvPr id="247912" name="Text Box 104">
          <a:extLst>
            <a:ext uri="{FF2B5EF4-FFF2-40B4-BE49-F238E27FC236}">
              <a16:creationId xmlns:a16="http://schemas.microsoft.com/office/drawing/2014/main" id="{00000000-0008-0000-0600-000068C80300}"/>
            </a:ext>
          </a:extLst>
        </xdr:cNvPr>
        <xdr:cNvSpPr txBox="1">
          <a:spLocks noChangeArrowheads="1"/>
        </xdr:cNvSpPr>
      </xdr:nvSpPr>
      <xdr:spPr bwMode="auto">
        <a:xfrm>
          <a:off x="4160520" y="11155680"/>
          <a:ext cx="922020" cy="38862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生産・施工段階に</a:t>
          </a:r>
        </a:p>
        <a:p>
          <a:pPr algn="ctr" rtl="0">
            <a:defRPr sz="1000"/>
          </a:pPr>
          <a:r>
            <a:rPr lang="ja-JP" altLang="en-US" sz="800" b="0" i="0" strike="noStrike">
              <a:solidFill>
                <a:srgbClr val="000000"/>
              </a:solidFill>
              <a:latin typeface="ＭＳ Ｐゴシック"/>
              <a:ea typeface="ＭＳ Ｐゴシック"/>
            </a:rPr>
            <a:t>おける廃棄物削減　　　</a:t>
          </a:r>
        </a:p>
      </xdr:txBody>
    </xdr:sp>
    <xdr:clientData/>
  </xdr:twoCellAnchor>
  <xdr:twoCellAnchor editAs="oneCell">
    <xdr:from>
      <xdr:col>7</xdr:col>
      <xdr:colOff>167640</xdr:colOff>
      <xdr:row>57</xdr:row>
      <xdr:rowOff>76200</xdr:rowOff>
    </xdr:from>
    <xdr:to>
      <xdr:col>9</xdr:col>
      <xdr:colOff>45999</xdr:colOff>
      <xdr:row>59</xdr:row>
      <xdr:rowOff>0</xdr:rowOff>
    </xdr:to>
    <xdr:sp macro="" textlink="">
      <xdr:nvSpPr>
        <xdr:cNvPr id="247913" name="Text Box 105">
          <a:extLst>
            <a:ext uri="{FF2B5EF4-FFF2-40B4-BE49-F238E27FC236}">
              <a16:creationId xmlns:a16="http://schemas.microsoft.com/office/drawing/2014/main" id="{00000000-0008-0000-0600-000069C80300}"/>
            </a:ext>
          </a:extLst>
        </xdr:cNvPr>
        <xdr:cNvSpPr txBox="1">
          <a:spLocks noChangeArrowheads="1"/>
        </xdr:cNvSpPr>
      </xdr:nvSpPr>
      <xdr:spPr bwMode="auto">
        <a:xfrm>
          <a:off x="3230880" y="11186160"/>
          <a:ext cx="982980" cy="3200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省資源、廃棄物抑制</a:t>
          </a:r>
        </a:p>
        <a:p>
          <a:pPr algn="ctr" rtl="0">
            <a:defRPr sz="1000"/>
          </a:pPr>
          <a:r>
            <a:rPr lang="ja-JP" altLang="en-US" sz="800" b="0" i="0" strike="noStrike">
              <a:solidFill>
                <a:srgbClr val="000000"/>
              </a:solidFill>
              <a:latin typeface="ＭＳ Ｐゴシック"/>
              <a:ea typeface="ＭＳ Ｐゴシック"/>
            </a:rPr>
            <a:t>に役立つ材料の採用</a:t>
          </a:r>
        </a:p>
      </xdr:txBody>
    </xdr:sp>
    <xdr:clientData/>
  </xdr:twoCellAnchor>
  <xdr:twoCellAnchor>
    <xdr:from>
      <xdr:col>11</xdr:col>
      <xdr:colOff>219075</xdr:colOff>
      <xdr:row>54</xdr:row>
      <xdr:rowOff>85725</xdr:rowOff>
    </xdr:from>
    <xdr:to>
      <xdr:col>14</xdr:col>
      <xdr:colOff>600075</xdr:colOff>
      <xdr:row>54</xdr:row>
      <xdr:rowOff>85725</xdr:rowOff>
    </xdr:to>
    <xdr:sp macro="" textlink="">
      <xdr:nvSpPr>
        <xdr:cNvPr id="5925929" name="Line 8">
          <a:extLst>
            <a:ext uri="{FF2B5EF4-FFF2-40B4-BE49-F238E27FC236}">
              <a16:creationId xmlns:a16="http://schemas.microsoft.com/office/drawing/2014/main" id="{00000000-0008-0000-0600-0000296C5A00}"/>
            </a:ext>
          </a:extLst>
        </xdr:cNvPr>
        <xdr:cNvSpPr>
          <a:spLocks noChangeShapeType="1"/>
        </xdr:cNvSpPr>
      </xdr:nvSpPr>
      <xdr:spPr bwMode="auto">
        <a:xfrm flipV="1">
          <a:off x="7010400" y="10687050"/>
          <a:ext cx="2838450"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247650</xdr:colOff>
      <xdr:row>54</xdr:row>
      <xdr:rowOff>95250</xdr:rowOff>
    </xdr:from>
    <xdr:to>
      <xdr:col>10</xdr:col>
      <xdr:colOff>819150</xdr:colOff>
      <xdr:row>54</xdr:row>
      <xdr:rowOff>95250</xdr:rowOff>
    </xdr:to>
    <xdr:sp macro="" textlink="">
      <xdr:nvSpPr>
        <xdr:cNvPr id="5925930" name="Line 27">
          <a:extLst>
            <a:ext uri="{FF2B5EF4-FFF2-40B4-BE49-F238E27FC236}">
              <a16:creationId xmlns:a16="http://schemas.microsoft.com/office/drawing/2014/main" id="{00000000-0008-0000-0600-00002A6C5A00}"/>
            </a:ext>
          </a:extLst>
        </xdr:cNvPr>
        <xdr:cNvSpPr>
          <a:spLocks noChangeShapeType="1"/>
        </xdr:cNvSpPr>
      </xdr:nvSpPr>
      <xdr:spPr bwMode="auto">
        <a:xfrm flipV="1">
          <a:off x="3676650" y="10696575"/>
          <a:ext cx="28289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962025</xdr:colOff>
      <xdr:row>20</xdr:row>
      <xdr:rowOff>104775</xdr:rowOff>
    </xdr:from>
    <xdr:to>
      <xdr:col>16</xdr:col>
      <xdr:colOff>28575</xdr:colOff>
      <xdr:row>35</xdr:row>
      <xdr:rowOff>0</xdr:rowOff>
    </xdr:to>
    <xdr:graphicFrame macro="">
      <xdr:nvGraphicFramePr>
        <xdr:cNvPr id="5925931" name="Chart 6">
          <a:extLst>
            <a:ext uri="{FF2B5EF4-FFF2-40B4-BE49-F238E27FC236}">
              <a16:creationId xmlns:a16="http://schemas.microsoft.com/office/drawing/2014/main" id="{00000000-0008-0000-0600-00002B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78105</xdr:colOff>
      <xdr:row>22</xdr:row>
      <xdr:rowOff>123825</xdr:rowOff>
    </xdr:from>
    <xdr:to>
      <xdr:col>12</xdr:col>
      <xdr:colOff>163858</xdr:colOff>
      <xdr:row>23</xdr:row>
      <xdr:rowOff>161925</xdr:rowOff>
    </xdr:to>
    <xdr:sp macro="" textlink="">
      <xdr:nvSpPr>
        <xdr:cNvPr id="247837" name="Text Box 29">
          <a:extLst>
            <a:ext uri="{FF2B5EF4-FFF2-40B4-BE49-F238E27FC236}">
              <a16:creationId xmlns:a16="http://schemas.microsoft.com/office/drawing/2014/main" id="{00000000-0008-0000-0600-00001DC80300}"/>
            </a:ext>
          </a:extLst>
        </xdr:cNvPr>
        <xdr:cNvSpPr txBox="1">
          <a:spLocks noChangeArrowheads="1"/>
        </xdr:cNvSpPr>
      </xdr:nvSpPr>
      <xdr:spPr bwMode="auto">
        <a:xfrm>
          <a:off x="6196965" y="4495800"/>
          <a:ext cx="817227" cy="22860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Q1</a:t>
          </a:r>
        </a:p>
      </xdr:txBody>
    </xdr:sp>
    <xdr:clientData/>
  </xdr:twoCellAnchor>
  <xdr:twoCellAnchor>
    <xdr:from>
      <xdr:col>12</xdr:col>
      <xdr:colOff>251460</xdr:colOff>
      <xdr:row>20</xdr:row>
      <xdr:rowOff>68580</xdr:rowOff>
    </xdr:from>
    <xdr:to>
      <xdr:col>12</xdr:col>
      <xdr:colOff>251460</xdr:colOff>
      <xdr:row>21</xdr:row>
      <xdr:rowOff>22860</xdr:rowOff>
    </xdr:to>
    <xdr:sp macro="" textlink="">
      <xdr:nvSpPr>
        <xdr:cNvPr id="247838" name="Text Box 30">
          <a:extLst>
            <a:ext uri="{FF2B5EF4-FFF2-40B4-BE49-F238E27FC236}">
              <a16:creationId xmlns:a16="http://schemas.microsoft.com/office/drawing/2014/main" id="{00000000-0008-0000-0600-00001EC80300}"/>
            </a:ext>
          </a:extLst>
        </xdr:cNvPr>
        <xdr:cNvSpPr txBox="1">
          <a:spLocks noChangeArrowheads="1"/>
        </xdr:cNvSpPr>
      </xdr:nvSpPr>
      <xdr:spPr bwMode="auto">
        <a:xfrm>
          <a:off x="7086600" y="3893820"/>
          <a:ext cx="0" cy="14478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a:t>
          </a:r>
          <a:r>
            <a:rPr lang="en-US" altLang="ja-JP" sz="1100" b="1" i="0" strike="noStrike" baseline="-25000">
              <a:solidFill>
                <a:srgbClr val="000000"/>
              </a:solidFill>
              <a:latin typeface="Arial"/>
              <a:cs typeface="Arial"/>
            </a:rPr>
            <a:t>H</a:t>
          </a:r>
          <a:r>
            <a:rPr lang="en-US" altLang="ja-JP" sz="1100" b="1" i="0" strike="noStrike">
              <a:solidFill>
                <a:srgbClr val="000000"/>
              </a:solidFill>
              <a:latin typeface="Arial"/>
              <a:cs typeface="Arial"/>
            </a:rPr>
            <a:t>-2</a:t>
          </a:r>
        </a:p>
      </xdr:txBody>
    </xdr:sp>
    <xdr:clientData/>
  </xdr:twoCellAnchor>
  <xdr:twoCellAnchor>
    <xdr:from>
      <xdr:col>13</xdr:col>
      <xdr:colOff>807720</xdr:colOff>
      <xdr:row>22</xdr:row>
      <xdr:rowOff>161925</xdr:rowOff>
    </xdr:from>
    <xdr:to>
      <xdr:col>14</xdr:col>
      <xdr:colOff>549324</xdr:colOff>
      <xdr:row>24</xdr:row>
      <xdr:rowOff>10089</xdr:rowOff>
    </xdr:to>
    <xdr:sp macro="" textlink="">
      <xdr:nvSpPr>
        <xdr:cNvPr id="247839" name="Text Box 31">
          <a:extLst>
            <a:ext uri="{FF2B5EF4-FFF2-40B4-BE49-F238E27FC236}">
              <a16:creationId xmlns:a16="http://schemas.microsoft.com/office/drawing/2014/main" id="{00000000-0008-0000-0600-00001FC80300}"/>
            </a:ext>
          </a:extLst>
        </xdr:cNvPr>
        <xdr:cNvSpPr txBox="1">
          <a:spLocks noChangeArrowheads="1"/>
        </xdr:cNvSpPr>
      </xdr:nvSpPr>
      <xdr:spPr bwMode="auto">
        <a:xfrm>
          <a:off x="8313420" y="4511040"/>
          <a:ext cx="499419" cy="205740"/>
        </a:xfrm>
        <a:prstGeom prst="rect">
          <a:avLst/>
        </a:prstGeom>
        <a:noFill/>
        <a:ln w="9525">
          <a:noFill/>
          <a:miter lim="800000"/>
          <a:headEnd/>
          <a:tailEnd/>
        </a:ln>
      </xdr:spPr>
      <xdr:txBody>
        <a:bodyPr vertOverflow="clip" wrap="square" lIns="36576" tIns="27432" rIns="0" bIns="0" anchor="t" upright="1"/>
        <a:lstStyle/>
        <a:p>
          <a:pPr algn="r" rtl="0">
            <a:defRPr sz="1000"/>
          </a:pPr>
          <a:r>
            <a:rPr lang="en-US" altLang="ja-JP" sz="1100" b="1" i="0" strike="noStrike">
              <a:solidFill>
                <a:srgbClr val="000000"/>
              </a:solidFill>
              <a:latin typeface="Arial"/>
              <a:cs typeface="Arial"/>
            </a:rPr>
            <a:t>Q3</a:t>
          </a:r>
        </a:p>
      </xdr:txBody>
    </xdr:sp>
    <xdr:clientData/>
  </xdr:twoCellAnchor>
  <xdr:twoCellAnchor>
    <xdr:from>
      <xdr:col>11</xdr:col>
      <xdr:colOff>89535</xdr:colOff>
      <xdr:row>28</xdr:row>
      <xdr:rowOff>85725</xdr:rowOff>
    </xdr:from>
    <xdr:to>
      <xdr:col>11</xdr:col>
      <xdr:colOff>648210</xdr:colOff>
      <xdr:row>29</xdr:row>
      <xdr:rowOff>101511</xdr:rowOff>
    </xdr:to>
    <xdr:sp macro="" textlink="">
      <xdr:nvSpPr>
        <xdr:cNvPr id="247840" name="Text Box 32">
          <a:extLst>
            <a:ext uri="{FF2B5EF4-FFF2-40B4-BE49-F238E27FC236}">
              <a16:creationId xmlns:a16="http://schemas.microsoft.com/office/drawing/2014/main" id="{00000000-0008-0000-0600-000020C80300}"/>
            </a:ext>
          </a:extLst>
        </xdr:cNvPr>
        <xdr:cNvSpPr txBox="1">
          <a:spLocks noChangeArrowheads="1"/>
        </xdr:cNvSpPr>
      </xdr:nvSpPr>
      <xdr:spPr bwMode="auto">
        <a:xfrm>
          <a:off x="6168390" y="5821680"/>
          <a:ext cx="518387" cy="206003"/>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LR1</a:t>
          </a:r>
        </a:p>
      </xdr:txBody>
    </xdr:sp>
    <xdr:clientData/>
  </xdr:twoCellAnchor>
  <xdr:twoCellAnchor>
    <xdr:from>
      <xdr:col>11</xdr:col>
      <xdr:colOff>779145</xdr:colOff>
      <xdr:row>33</xdr:row>
      <xdr:rowOff>83820</xdr:rowOff>
    </xdr:from>
    <xdr:to>
      <xdr:col>12</xdr:col>
      <xdr:colOff>704933</xdr:colOff>
      <xdr:row>34</xdr:row>
      <xdr:rowOff>90064</xdr:rowOff>
    </xdr:to>
    <xdr:sp macro="" textlink="">
      <xdr:nvSpPr>
        <xdr:cNvPr id="247841" name="Text Box 33">
          <a:extLst>
            <a:ext uri="{FF2B5EF4-FFF2-40B4-BE49-F238E27FC236}">
              <a16:creationId xmlns:a16="http://schemas.microsoft.com/office/drawing/2014/main" id="{00000000-0008-0000-0600-000021C80300}"/>
            </a:ext>
          </a:extLst>
        </xdr:cNvPr>
        <xdr:cNvSpPr txBox="1">
          <a:spLocks noChangeArrowheads="1"/>
        </xdr:cNvSpPr>
      </xdr:nvSpPr>
      <xdr:spPr bwMode="auto">
        <a:xfrm>
          <a:off x="7101840" y="6438900"/>
          <a:ext cx="655320" cy="19812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LR2</a:t>
          </a:r>
        </a:p>
      </xdr:txBody>
    </xdr:sp>
    <xdr:clientData/>
  </xdr:twoCellAnchor>
  <xdr:twoCellAnchor>
    <xdr:from>
      <xdr:col>14</xdr:col>
      <xdr:colOff>224790</xdr:colOff>
      <xdr:row>28</xdr:row>
      <xdr:rowOff>64770</xdr:rowOff>
    </xdr:from>
    <xdr:to>
      <xdr:col>14</xdr:col>
      <xdr:colOff>691857</xdr:colOff>
      <xdr:row>29</xdr:row>
      <xdr:rowOff>141201</xdr:rowOff>
    </xdr:to>
    <xdr:sp macro="" textlink="">
      <xdr:nvSpPr>
        <xdr:cNvPr id="247842" name="Text Box 34">
          <a:extLst>
            <a:ext uri="{FF2B5EF4-FFF2-40B4-BE49-F238E27FC236}">
              <a16:creationId xmlns:a16="http://schemas.microsoft.com/office/drawing/2014/main" id="{00000000-0008-0000-0600-000022C80300}"/>
            </a:ext>
          </a:extLst>
        </xdr:cNvPr>
        <xdr:cNvSpPr txBox="1">
          <a:spLocks noChangeArrowheads="1"/>
        </xdr:cNvSpPr>
      </xdr:nvSpPr>
      <xdr:spPr bwMode="auto">
        <a:xfrm>
          <a:off x="8456295" y="5829300"/>
          <a:ext cx="429067" cy="266931"/>
        </a:xfrm>
        <a:prstGeom prst="rect">
          <a:avLst/>
        </a:prstGeom>
        <a:noFill/>
        <a:ln w="9525">
          <a:noFill/>
          <a:miter lim="800000"/>
          <a:headEnd/>
          <a:tailEnd/>
        </a:ln>
      </xdr:spPr>
      <xdr:txBody>
        <a:bodyPr vertOverflow="clip" wrap="square" lIns="36576" tIns="27432" rIns="0" bIns="0" anchor="t" upright="1"/>
        <a:lstStyle/>
        <a:p>
          <a:pPr algn="r" rtl="0">
            <a:defRPr sz="1000"/>
          </a:pPr>
          <a:r>
            <a:rPr lang="en-US" altLang="ja-JP" sz="1100" b="1" i="0" strike="noStrike">
              <a:solidFill>
                <a:srgbClr val="000000"/>
              </a:solidFill>
              <a:latin typeface="Arial"/>
              <a:cs typeface="Arial"/>
            </a:rPr>
            <a:t>LR3</a:t>
          </a:r>
        </a:p>
      </xdr:txBody>
    </xdr:sp>
    <xdr:clientData/>
  </xdr:twoCellAnchor>
  <xdr:twoCellAnchor>
    <xdr:from>
      <xdr:col>12</xdr:col>
      <xdr:colOff>137160</xdr:colOff>
      <xdr:row>21</xdr:row>
      <xdr:rowOff>59055</xdr:rowOff>
    </xdr:from>
    <xdr:to>
      <xdr:col>13</xdr:col>
      <xdr:colOff>225027</xdr:colOff>
      <xdr:row>22</xdr:row>
      <xdr:rowOff>59415</xdr:rowOff>
    </xdr:to>
    <xdr:sp macro="" textlink="">
      <xdr:nvSpPr>
        <xdr:cNvPr id="247845" name="Text Box 37">
          <a:extLst>
            <a:ext uri="{FF2B5EF4-FFF2-40B4-BE49-F238E27FC236}">
              <a16:creationId xmlns:a16="http://schemas.microsoft.com/office/drawing/2014/main" id="{00000000-0008-0000-0600-000025C80300}"/>
            </a:ext>
          </a:extLst>
        </xdr:cNvPr>
        <xdr:cNvSpPr txBox="1">
          <a:spLocks noChangeArrowheads="1"/>
        </xdr:cNvSpPr>
      </xdr:nvSpPr>
      <xdr:spPr bwMode="auto">
        <a:xfrm>
          <a:off x="7124700" y="4023360"/>
          <a:ext cx="817227" cy="183226"/>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Q2</a:t>
          </a:r>
        </a:p>
      </xdr:txBody>
    </xdr:sp>
    <xdr:clientData/>
  </xdr:twoCellAnchor>
  <xdr:twoCellAnchor>
    <xdr:from>
      <xdr:col>7</xdr:col>
      <xdr:colOff>87630</xdr:colOff>
      <xdr:row>25</xdr:row>
      <xdr:rowOff>102870</xdr:rowOff>
    </xdr:from>
    <xdr:to>
      <xdr:col>8</xdr:col>
      <xdr:colOff>248371</xdr:colOff>
      <xdr:row>26</xdr:row>
      <xdr:rowOff>140970</xdr:rowOff>
    </xdr:to>
    <xdr:sp macro="" textlink="">
      <xdr:nvSpPr>
        <xdr:cNvPr id="247924" name="Text Box 131">
          <a:extLst>
            <a:ext uri="{FF2B5EF4-FFF2-40B4-BE49-F238E27FC236}">
              <a16:creationId xmlns:a16="http://schemas.microsoft.com/office/drawing/2014/main" id="{00000000-0008-0000-0600-000074C80300}"/>
            </a:ext>
          </a:extLst>
        </xdr:cNvPr>
        <xdr:cNvSpPr txBox="1">
          <a:spLocks noChangeArrowheads="1"/>
        </xdr:cNvSpPr>
      </xdr:nvSpPr>
      <xdr:spPr bwMode="auto">
        <a:xfrm>
          <a:off x="3514725" y="4932045"/>
          <a:ext cx="904875" cy="2286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①参照値</a:t>
          </a:r>
        </a:p>
      </xdr:txBody>
    </xdr:sp>
    <xdr:clientData/>
  </xdr:twoCellAnchor>
  <xdr:twoCellAnchor>
    <xdr:from>
      <xdr:col>7</xdr:col>
      <xdr:colOff>361950</xdr:colOff>
      <xdr:row>19</xdr:row>
      <xdr:rowOff>171450</xdr:rowOff>
    </xdr:from>
    <xdr:to>
      <xdr:col>10</xdr:col>
      <xdr:colOff>866775</xdr:colOff>
      <xdr:row>24</xdr:row>
      <xdr:rowOff>0</xdr:rowOff>
    </xdr:to>
    <xdr:graphicFrame macro="">
      <xdr:nvGraphicFramePr>
        <xdr:cNvPr id="5925940" name="Chart 123">
          <a:extLst>
            <a:ext uri="{FF2B5EF4-FFF2-40B4-BE49-F238E27FC236}">
              <a16:creationId xmlns:a16="http://schemas.microsoft.com/office/drawing/2014/main" id="{00000000-0008-0000-0600-000034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5715</xdr:colOff>
      <xdr:row>23</xdr:row>
      <xdr:rowOff>7620</xdr:rowOff>
    </xdr:from>
    <xdr:to>
      <xdr:col>11</xdr:col>
      <xdr:colOff>85756</xdr:colOff>
      <xdr:row>24</xdr:row>
      <xdr:rowOff>38100</xdr:rowOff>
    </xdr:to>
    <xdr:sp macro="" textlink="">
      <xdr:nvSpPr>
        <xdr:cNvPr id="247927" name="Text Box 129">
          <a:extLst>
            <a:ext uri="{FF2B5EF4-FFF2-40B4-BE49-F238E27FC236}">
              <a16:creationId xmlns:a16="http://schemas.microsoft.com/office/drawing/2014/main" id="{00000000-0008-0000-0600-000077C80300}"/>
            </a:ext>
          </a:extLst>
        </xdr:cNvPr>
        <xdr:cNvSpPr txBox="1">
          <a:spLocks noChangeArrowheads="1"/>
        </xdr:cNvSpPr>
      </xdr:nvSpPr>
      <xdr:spPr bwMode="auto">
        <a:xfrm>
          <a:off x="3084195" y="4343400"/>
          <a:ext cx="3088011" cy="22098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a:t>
          </a:r>
          <a:r>
            <a:rPr lang="en-US" altLang="ja-JP" sz="700" b="0" i="0" strike="noStrike">
              <a:solidFill>
                <a:srgbClr val="000000"/>
              </a:solidFill>
              <a:latin typeface="ＭＳ Ｐゴシック"/>
              <a:ea typeface="ＭＳ Ｐゴシック"/>
            </a:rPr>
            <a:t>0%: </a:t>
          </a:r>
          <a:r>
            <a:rPr lang="en-US" altLang="ja-JP" sz="700" b="0" i="0" strike="noStrike">
              <a:solidFill>
                <a:srgbClr val="333333"/>
              </a:solidFill>
              <a:latin typeface="ＭＳ Ｐゴシック"/>
              <a:ea typeface="ＭＳ Ｐゴシック"/>
            </a:rPr>
            <a:t>☆☆☆☆☆  </a:t>
          </a:r>
          <a:r>
            <a:rPr lang="ja-JP" altLang="en-US" sz="700" b="0" i="0" strike="noStrike">
              <a:solidFill>
                <a:srgbClr val="333333"/>
              </a:solidFill>
              <a:latin typeface="ＭＳ Ｐゴシック"/>
              <a:ea typeface="ＭＳ Ｐゴシック"/>
            </a:rPr>
            <a:t>～</a:t>
          </a:r>
          <a:r>
            <a:rPr lang="en-US" altLang="ja-JP" sz="700" b="0" i="0" strike="noStrike">
              <a:solidFill>
                <a:srgbClr val="333333"/>
              </a:solidFill>
              <a:latin typeface="ＭＳ Ｐゴシック"/>
              <a:ea typeface="ＭＳ Ｐゴシック"/>
            </a:rPr>
            <a:t>50%</a:t>
          </a:r>
          <a:r>
            <a:rPr lang="en-US" altLang="ja-JP"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  </a:t>
          </a:r>
          <a:r>
            <a:rPr lang="ja-JP" altLang="en-US" sz="700" b="0" i="0" strike="noStrike">
              <a:solidFill>
                <a:srgbClr val="333333"/>
              </a:solidFill>
              <a:latin typeface="ＭＳ Ｐゴシック"/>
              <a:ea typeface="ＭＳ Ｐゴシック"/>
            </a:rPr>
            <a:t>～</a:t>
          </a:r>
          <a:r>
            <a:rPr lang="en-US" altLang="ja-JP" sz="700" b="0" i="0" strike="noStrike">
              <a:solidFill>
                <a:srgbClr val="333333"/>
              </a:solidFill>
              <a:latin typeface="ＭＳ Ｐゴシック"/>
              <a:ea typeface="ＭＳ Ｐゴシック"/>
            </a:rPr>
            <a:t>75%</a:t>
          </a:r>
          <a:r>
            <a:rPr lang="en-US" altLang="ja-JP" sz="700" b="0" i="0" strike="noStrike">
              <a:solidFill>
                <a:srgbClr val="000000"/>
              </a:solidFill>
              <a:latin typeface="ＭＳ Ｐゴシック"/>
              <a:ea typeface="ＭＳ Ｐゴシック"/>
            </a:rPr>
            <a:t>: ☆☆☆</a:t>
          </a:r>
          <a:r>
            <a:rPr lang="ja-JP" altLang="en-US"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100%</a:t>
          </a:r>
          <a:r>
            <a:rPr lang="en-US" altLang="ja-JP"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  100%</a:t>
          </a:r>
          <a:r>
            <a:rPr lang="ja-JP" altLang="en-US" sz="700" b="0" i="0" strike="noStrike">
              <a:solidFill>
                <a:srgbClr val="333333"/>
              </a:solidFill>
              <a:latin typeface="ＭＳ Ｐゴシック"/>
              <a:ea typeface="ＭＳ Ｐゴシック"/>
            </a:rPr>
            <a:t>超</a:t>
          </a:r>
          <a:r>
            <a:rPr lang="en-US" altLang="ja-JP" sz="700" b="0" i="0" strike="noStrike">
              <a:solidFill>
                <a:srgbClr val="000000"/>
              </a:solidFill>
              <a:latin typeface="ＭＳ Ｐゴシック"/>
              <a:ea typeface="ＭＳ Ｐゴシック"/>
            </a:rPr>
            <a:t>: ☆</a:t>
          </a:r>
        </a:p>
      </xdr:txBody>
    </xdr:sp>
    <xdr:clientData/>
  </xdr:twoCellAnchor>
  <xdr:twoCellAnchor>
    <xdr:from>
      <xdr:col>7</xdr:col>
      <xdr:colOff>87630</xdr:colOff>
      <xdr:row>26</xdr:row>
      <xdr:rowOff>160020</xdr:rowOff>
    </xdr:from>
    <xdr:to>
      <xdr:col>8</xdr:col>
      <xdr:colOff>328482</xdr:colOff>
      <xdr:row>28</xdr:row>
      <xdr:rowOff>7620</xdr:rowOff>
    </xdr:to>
    <xdr:sp macro="" textlink="">
      <xdr:nvSpPr>
        <xdr:cNvPr id="247930" name="Text Box 131">
          <a:extLst>
            <a:ext uri="{FF2B5EF4-FFF2-40B4-BE49-F238E27FC236}">
              <a16:creationId xmlns:a16="http://schemas.microsoft.com/office/drawing/2014/main" id="{00000000-0008-0000-0600-00007AC80300}"/>
            </a:ext>
          </a:extLst>
        </xdr:cNvPr>
        <xdr:cNvSpPr txBox="1">
          <a:spLocks noChangeArrowheads="1"/>
        </xdr:cNvSpPr>
      </xdr:nvSpPr>
      <xdr:spPr bwMode="auto">
        <a:xfrm>
          <a:off x="3147060" y="5128260"/>
          <a:ext cx="883920" cy="2286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②建築物の取組み</a:t>
          </a:r>
        </a:p>
      </xdr:txBody>
    </xdr:sp>
    <xdr:clientData/>
  </xdr:twoCellAnchor>
  <xdr:twoCellAnchor>
    <xdr:from>
      <xdr:col>7</xdr:col>
      <xdr:colOff>87630</xdr:colOff>
      <xdr:row>28</xdr:row>
      <xdr:rowOff>60960</xdr:rowOff>
    </xdr:from>
    <xdr:to>
      <xdr:col>8</xdr:col>
      <xdr:colOff>328482</xdr:colOff>
      <xdr:row>30</xdr:row>
      <xdr:rowOff>3960</xdr:rowOff>
    </xdr:to>
    <xdr:sp macro="" textlink="">
      <xdr:nvSpPr>
        <xdr:cNvPr id="247931" name="Text Box 131">
          <a:extLst>
            <a:ext uri="{FF2B5EF4-FFF2-40B4-BE49-F238E27FC236}">
              <a16:creationId xmlns:a16="http://schemas.microsoft.com/office/drawing/2014/main" id="{00000000-0008-0000-0600-00007BC80300}"/>
            </a:ext>
          </a:extLst>
        </xdr:cNvPr>
        <xdr:cNvSpPr txBox="1">
          <a:spLocks noChangeArrowheads="1"/>
        </xdr:cNvSpPr>
      </xdr:nvSpPr>
      <xdr:spPr bwMode="auto">
        <a:xfrm>
          <a:off x="3516630" y="5381822"/>
          <a:ext cx="976576" cy="3240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③上記</a:t>
          </a:r>
          <a:r>
            <a:rPr lang="en-US" altLang="ja-JP" sz="800" b="0" i="0" strike="noStrike">
              <a:solidFill>
                <a:srgbClr val="000000"/>
              </a:solidFill>
              <a:latin typeface="ＭＳ ゴシック"/>
              <a:ea typeface="ＭＳ ゴシック"/>
            </a:rPr>
            <a:t>+②</a:t>
          </a:r>
          <a:r>
            <a:rPr lang="ja-JP" altLang="en-US" sz="800" b="0" i="0" strike="noStrike">
              <a:solidFill>
                <a:srgbClr val="000000"/>
              </a:solidFill>
              <a:latin typeface="ＭＳ ゴシック"/>
              <a:ea typeface="ＭＳ ゴシック"/>
            </a:rPr>
            <a:t>以外の</a:t>
          </a:r>
        </a:p>
        <a:p>
          <a:pPr algn="l" rtl="0">
            <a:defRPr sz="1000"/>
          </a:pPr>
          <a:r>
            <a:rPr lang="ja-JP" altLang="en-US" sz="800" b="0" i="0" strike="noStrike">
              <a:solidFill>
                <a:srgbClr val="000000"/>
              </a:solidFill>
              <a:latin typeface="ＭＳ ゴシック"/>
              <a:ea typeface="ＭＳ ゴシック"/>
            </a:rPr>
            <a:t>　オンサイト手法</a:t>
          </a:r>
        </a:p>
      </xdr:txBody>
    </xdr:sp>
    <xdr:clientData/>
  </xdr:twoCellAnchor>
  <xdr:twoCellAnchor>
    <xdr:from>
      <xdr:col>10</xdr:col>
      <xdr:colOff>167640</xdr:colOff>
      <xdr:row>32</xdr:row>
      <xdr:rowOff>68580</xdr:rowOff>
    </xdr:from>
    <xdr:to>
      <xdr:col>11</xdr:col>
      <xdr:colOff>7808</xdr:colOff>
      <xdr:row>33</xdr:row>
      <xdr:rowOff>83820</xdr:rowOff>
    </xdr:to>
    <xdr:sp macro="" textlink="">
      <xdr:nvSpPr>
        <xdr:cNvPr id="247928" name="Text Box 120">
          <a:extLst>
            <a:ext uri="{FF2B5EF4-FFF2-40B4-BE49-F238E27FC236}">
              <a16:creationId xmlns:a16="http://schemas.microsoft.com/office/drawing/2014/main" id="{00000000-0008-0000-0600-000078C80300}"/>
            </a:ext>
          </a:extLst>
        </xdr:cNvPr>
        <xdr:cNvSpPr txBox="1">
          <a:spLocks noChangeArrowheads="1"/>
        </xdr:cNvSpPr>
      </xdr:nvSpPr>
      <xdr:spPr bwMode="auto">
        <a:xfrm>
          <a:off x="5250180" y="6172200"/>
          <a:ext cx="861060" cy="2057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kg-CO</a:t>
          </a:r>
          <a:r>
            <a:rPr lang="en-US" altLang="ja-JP" sz="800" b="0" i="0" strike="noStrike" baseline="-25000">
              <a:solidFill>
                <a:srgbClr val="000000"/>
              </a:solidFill>
              <a:latin typeface="ＭＳ Ｐゴシック"/>
              <a:ea typeface="ＭＳ Ｐゴシック"/>
            </a:rPr>
            <a:t>2</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年・</a:t>
          </a:r>
          <a:r>
            <a:rPr lang="en-US" altLang="ja-JP" sz="800" b="0" i="0" strike="noStrike">
              <a:solidFill>
                <a:srgbClr val="000000"/>
              </a:solidFill>
              <a:latin typeface="ＭＳ Ｐゴシック"/>
              <a:ea typeface="ＭＳ Ｐゴシック"/>
            </a:rPr>
            <a:t>m</a:t>
          </a:r>
          <a:r>
            <a:rPr lang="en-US" altLang="ja-JP" sz="800" b="0" i="0" strike="noStrike" baseline="30000">
              <a:solidFill>
                <a:srgbClr val="000000"/>
              </a:solidFill>
              <a:latin typeface="ＭＳ Ｐゴシック"/>
              <a:ea typeface="ＭＳ Ｐゴシック"/>
            </a:rPr>
            <a:t>2 </a:t>
          </a:r>
          <a:r>
            <a:rPr lang="ja-JP" altLang="en-US" sz="800" b="0" i="0" strike="noStrike">
              <a:solidFill>
                <a:srgbClr val="000000"/>
              </a:solidFill>
              <a:latin typeface="ＭＳ Ｐゴシック"/>
              <a:ea typeface="ＭＳ Ｐゴシック"/>
            </a:rPr>
            <a:t>）</a:t>
          </a:r>
        </a:p>
      </xdr:txBody>
    </xdr:sp>
    <xdr:clientData/>
  </xdr:twoCellAnchor>
  <xdr:twoCellAnchor>
    <xdr:from>
      <xdr:col>8</xdr:col>
      <xdr:colOff>209550</xdr:colOff>
      <xdr:row>24</xdr:row>
      <xdr:rowOff>57150</xdr:rowOff>
    </xdr:from>
    <xdr:to>
      <xdr:col>11</xdr:col>
      <xdr:colOff>9525</xdr:colOff>
      <xdr:row>33</xdr:row>
      <xdr:rowOff>57150</xdr:rowOff>
    </xdr:to>
    <xdr:graphicFrame macro="">
      <xdr:nvGraphicFramePr>
        <xdr:cNvPr id="5925945" name="Chart 199">
          <a:extLst>
            <a:ext uri="{FF2B5EF4-FFF2-40B4-BE49-F238E27FC236}">
              <a16:creationId xmlns:a16="http://schemas.microsoft.com/office/drawing/2014/main" id="{00000000-0008-0000-0600-0000396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80010</xdr:colOff>
      <xdr:row>30</xdr:row>
      <xdr:rowOff>9525</xdr:rowOff>
    </xdr:from>
    <xdr:to>
      <xdr:col>8</xdr:col>
      <xdr:colOff>302694</xdr:colOff>
      <xdr:row>31</xdr:row>
      <xdr:rowOff>143025</xdr:rowOff>
    </xdr:to>
    <xdr:sp macro="" textlink="">
      <xdr:nvSpPr>
        <xdr:cNvPr id="60" name="Text Box 131">
          <a:extLst>
            <a:ext uri="{FF2B5EF4-FFF2-40B4-BE49-F238E27FC236}">
              <a16:creationId xmlns:a16="http://schemas.microsoft.com/office/drawing/2014/main" id="{00000000-0008-0000-0600-00003C000000}"/>
            </a:ext>
          </a:extLst>
        </xdr:cNvPr>
        <xdr:cNvSpPr txBox="1">
          <a:spLocks noChangeArrowheads="1"/>
        </xdr:cNvSpPr>
      </xdr:nvSpPr>
      <xdr:spPr bwMode="auto">
        <a:xfrm>
          <a:off x="3509010" y="5711387"/>
          <a:ext cx="958408" cy="3240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④上記</a:t>
          </a:r>
          <a:r>
            <a:rPr lang="en-US" altLang="ja-JP" sz="800" b="0" i="0" strike="noStrike">
              <a:solidFill>
                <a:srgbClr val="000000"/>
              </a:solidFill>
              <a:latin typeface="ＭＳ ゴシック"/>
              <a:ea typeface="ＭＳ ゴシック"/>
            </a:rPr>
            <a:t>+</a:t>
          </a:r>
        </a:p>
        <a:p>
          <a:pPr algn="l" rtl="0">
            <a:defRPr sz="1000"/>
          </a:pPr>
          <a:r>
            <a:rPr lang="ja-JP" altLang="en-US" sz="800" b="0" i="0" strike="noStrike">
              <a:solidFill>
                <a:srgbClr val="000000"/>
              </a:solidFill>
              <a:latin typeface="ＭＳ ゴシック"/>
              <a:ea typeface="ＭＳ ゴシック"/>
            </a:rPr>
            <a:t>　オフサイト手法</a:t>
          </a:r>
        </a:p>
      </xdr:txBody>
    </xdr:sp>
    <xdr:clientData/>
  </xdr:twoCellAnchor>
  <xdr:twoCellAnchor>
    <xdr:from>
      <xdr:col>4</xdr:col>
      <xdr:colOff>219075</xdr:colOff>
      <xdr:row>27</xdr:row>
      <xdr:rowOff>19050</xdr:rowOff>
    </xdr:from>
    <xdr:to>
      <xdr:col>5</xdr:col>
      <xdr:colOff>66675</xdr:colOff>
      <xdr:row>28</xdr:row>
      <xdr:rowOff>114300</xdr:rowOff>
    </xdr:to>
    <xdr:sp macro="" textlink="$S$13">
      <xdr:nvSpPr>
        <xdr:cNvPr id="5322838" name="Text Box 25686">
          <a:extLst>
            <a:ext uri="{FF2B5EF4-FFF2-40B4-BE49-F238E27FC236}">
              <a16:creationId xmlns:a16="http://schemas.microsoft.com/office/drawing/2014/main" id="{00000000-0008-0000-0600-000056385100}"/>
            </a:ext>
          </a:extLst>
        </xdr:cNvPr>
        <xdr:cNvSpPr txBox="1">
          <a:spLocks noChangeArrowheads="1" noTextEdit="1"/>
        </xdr:cNvSpPr>
      </xdr:nvSpPr>
      <xdr:spPr bwMode="auto">
        <a:xfrm>
          <a:off x="1866900" y="5172075"/>
          <a:ext cx="361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fld id="{EEEFA7A4-6165-4033-B215-4FA44F35A8D5}" type="TxLink">
            <a:rPr lang="ja-JP" altLang="en-US" sz="1400" b="1" i="0" u="none" strike="noStrike" baseline="0">
              <a:solidFill>
                <a:srgbClr val="FF0000"/>
              </a:solidFill>
              <a:latin typeface="Arial"/>
              <a:cs typeface="Arial"/>
            </a:rPr>
            <a:pPr algn="l" rtl="0">
              <a:defRPr sz="1000"/>
            </a:pPr>
            <a:t>#VALUE!</a:t>
          </a:fld>
          <a:endParaRPr lang="ja-JP" altLang="en-US" sz="1400" b="1" i="0" u="none" strike="noStrike" baseline="0">
            <a:solidFill>
              <a:srgbClr val="FF0000"/>
            </a:solidFill>
            <a:latin typeface="Arial"/>
            <a:cs typeface="Arial"/>
          </a:endParaRPr>
        </a:p>
      </xdr:txBody>
    </xdr:sp>
    <xdr:clientData/>
  </xdr:twoCellAnchor>
  <xdr:oneCellAnchor>
    <xdr:from>
      <xdr:col>1</xdr:col>
      <xdr:colOff>0</xdr:colOff>
      <xdr:row>20</xdr:row>
      <xdr:rowOff>180975</xdr:rowOff>
    </xdr:from>
    <xdr:ext cx="560410" cy="219419"/>
    <xdr:sp macro="" textlink="">
      <xdr:nvSpPr>
        <xdr:cNvPr id="59" name="Text Box 39">
          <a:extLst>
            <a:ext uri="{FF2B5EF4-FFF2-40B4-BE49-F238E27FC236}">
              <a16:creationId xmlns:a16="http://schemas.microsoft.com/office/drawing/2014/main" id="{00000000-0008-0000-0600-00003B000000}"/>
            </a:ext>
          </a:extLst>
        </xdr:cNvPr>
        <xdr:cNvSpPr txBox="1">
          <a:spLocks noChangeArrowheads="1"/>
        </xdr:cNvSpPr>
      </xdr:nvSpPr>
      <xdr:spPr bwMode="auto">
        <a:xfrm>
          <a:off x="57150" y="4000500"/>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editAs="oneCell">
    <xdr:from>
      <xdr:col>1</xdr:col>
      <xdr:colOff>64577</xdr:colOff>
      <xdr:row>1</xdr:row>
      <xdr:rowOff>95148</xdr:rowOff>
    </xdr:from>
    <xdr:to>
      <xdr:col>10</xdr:col>
      <xdr:colOff>565042</xdr:colOff>
      <xdr:row>3</xdr:row>
      <xdr:rowOff>137223</xdr:rowOff>
    </xdr:to>
    <xdr:pic>
      <xdr:nvPicPr>
        <xdr:cNvPr id="63" name="図 62">
          <a:extLst>
            <a:ext uri="{FF2B5EF4-FFF2-40B4-BE49-F238E27FC236}">
              <a16:creationId xmlns:a16="http://schemas.microsoft.com/office/drawing/2014/main" id="{00000000-0008-0000-0600-00003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1081" y="167796"/>
          <a:ext cx="6134745" cy="623262"/>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0.16542</cdr:x>
      <cdr:y>0.65688</cdr:y>
    </cdr:from>
    <cdr:to>
      <cdr:x>0.32156</cdr:x>
      <cdr:y>0.77684</cdr:y>
    </cdr:to>
    <cdr:sp macro="" textlink="結果!$Z$58">
      <cdr:nvSpPr>
        <cdr:cNvPr id="5326849" name="Text Box 1"/>
        <cdr:cNvSpPr txBox="1">
          <a:spLocks xmlns:a="http://schemas.openxmlformats.org/drawingml/2006/main" noChangeArrowheads="1" noTextEdit="1"/>
        </cdr:cNvSpPr>
      </cdr:nvSpPr>
      <cdr:spPr bwMode="auto">
        <a:xfrm xmlns:a="http://schemas.openxmlformats.org/drawingml/2006/main">
          <a:off x="524716" y="1060576"/>
          <a:ext cx="492262" cy="1930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0" anchor="t"/>
        <a:lstStyle xmlns:a="http://schemas.openxmlformats.org/drawingml/2006/main"/>
        <a:p xmlns:a="http://schemas.openxmlformats.org/drawingml/2006/main">
          <a:pPr algn="l" rtl="0">
            <a:defRPr sz="1000"/>
          </a:pPr>
          <a:fld id="{A2CFAB62-63B1-4863-A4E1-CDE75C80A7F3}" type="TxLink">
            <a:rPr lang="ja-JP" altLang="en-US" sz="1100" b="0" i="0" u="none" strike="noStrike" baseline="0">
              <a:solidFill>
                <a:srgbClr val="000000"/>
              </a:solidFill>
              <a:latin typeface="Arial"/>
              <a:cs typeface="Arial"/>
            </a:rPr>
            <a:pPr algn="l" rtl="0">
              <a:defRPr sz="1000"/>
            </a:pPr>
            <a:t>#VALUE!</a:t>
          </a:fld>
          <a:endParaRPr lang="ja-JP" altLang="en-US" sz="1100" b="0" i="0" u="none" strike="noStrike" baseline="0">
            <a:solidFill>
              <a:srgbClr val="000000"/>
            </a:solidFill>
            <a:latin typeface="Arial"/>
            <a:cs typeface="Arial"/>
          </a:endParaRPr>
        </a:p>
      </cdr:txBody>
    </cdr:sp>
  </cdr:relSizeAnchor>
  <cdr:relSizeAnchor xmlns:cdr="http://schemas.openxmlformats.org/drawingml/2006/chartDrawing">
    <cdr:from>
      <cdr:x>0.45566</cdr:x>
      <cdr:y>0.65016</cdr:y>
    </cdr:from>
    <cdr:to>
      <cdr:x>0.61596</cdr:x>
      <cdr:y>0.77953</cdr:y>
    </cdr:to>
    <cdr:sp macro="" textlink="結果!$Z$59">
      <cdr:nvSpPr>
        <cdr:cNvPr id="248834" name="Text Box 2"/>
        <cdr:cNvSpPr txBox="1">
          <a:spLocks xmlns:a="http://schemas.openxmlformats.org/drawingml/2006/main" noChangeArrowheads="1" noTextEdit="1"/>
        </cdr:cNvSpPr>
      </cdr:nvSpPr>
      <cdr:spPr bwMode="auto">
        <a:xfrm xmlns:a="http://schemas.openxmlformats.org/drawingml/2006/main">
          <a:off x="1296857" y="1027943"/>
          <a:ext cx="444531" cy="2076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0.75086</cdr:x>
      <cdr:y>0.68117</cdr:y>
    </cdr:from>
    <cdr:to>
      <cdr:x>0.90576</cdr:x>
      <cdr:y>0.81197</cdr:y>
    </cdr:to>
    <cdr:sp macro="" textlink="結果!$Z$60">
      <cdr:nvSpPr>
        <cdr:cNvPr id="248835" name="Text Box 3"/>
        <cdr:cNvSpPr txBox="1">
          <a:spLocks xmlns:a="http://schemas.openxmlformats.org/drawingml/2006/main" noChangeArrowheads="1" noTextEdit="1"/>
        </cdr:cNvSpPr>
      </cdr:nvSpPr>
      <cdr:spPr bwMode="auto">
        <a:xfrm xmlns:a="http://schemas.openxmlformats.org/drawingml/2006/main">
          <a:off x="2190024" y="1077465"/>
          <a:ext cx="441796" cy="2076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0.13162</cdr:x>
      <cdr:y>0.65117</cdr:y>
    </cdr:from>
    <cdr:to>
      <cdr:x>0.30224</cdr:x>
      <cdr:y>0.78562</cdr:y>
    </cdr:to>
    <cdr:sp macro="" textlink="結果!$W$58">
      <cdr:nvSpPr>
        <cdr:cNvPr id="5327873" name="Text Box 1"/>
        <cdr:cNvSpPr txBox="1">
          <a:spLocks xmlns:a="http://schemas.openxmlformats.org/drawingml/2006/main" noChangeArrowheads="1"/>
        </cdr:cNvSpPr>
      </cdr:nvSpPr>
      <cdr:spPr bwMode="auto">
        <a:xfrm xmlns:a="http://schemas.openxmlformats.org/drawingml/2006/main">
          <a:off x="413131" y="1069985"/>
          <a:ext cx="531419" cy="2202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0.43432</cdr:x>
      <cdr:y>0.63374</cdr:y>
    </cdr:from>
    <cdr:to>
      <cdr:x>0.603</cdr:x>
      <cdr:y>0.76819</cdr:y>
    </cdr:to>
    <cdr:sp macro="" textlink="結果!$W$59">
      <cdr:nvSpPr>
        <cdr:cNvPr id="5327874" name="Text Box 2"/>
        <cdr:cNvSpPr txBox="1">
          <a:spLocks xmlns:a="http://schemas.openxmlformats.org/drawingml/2006/main" noChangeArrowheads="1"/>
        </cdr:cNvSpPr>
      </cdr:nvSpPr>
      <cdr:spPr bwMode="auto">
        <a:xfrm xmlns:a="http://schemas.openxmlformats.org/drawingml/2006/main">
          <a:off x="1355946" y="1041438"/>
          <a:ext cx="525380" cy="2202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0.74357</cdr:x>
      <cdr:y>0.65282</cdr:y>
    </cdr:from>
    <cdr:to>
      <cdr:x>0.91128</cdr:x>
      <cdr:y>0.78562</cdr:y>
    </cdr:to>
    <cdr:sp macro="" textlink="結果!$W$60">
      <cdr:nvSpPr>
        <cdr:cNvPr id="5327875" name="Text Box 3"/>
        <cdr:cNvSpPr txBox="1">
          <a:spLocks xmlns:a="http://schemas.openxmlformats.org/drawingml/2006/main" noChangeArrowheads="1"/>
        </cdr:cNvSpPr>
      </cdr:nvSpPr>
      <cdr:spPr bwMode="auto">
        <a:xfrm xmlns:a="http://schemas.openxmlformats.org/drawingml/2006/main">
          <a:off x="2319143" y="1072685"/>
          <a:ext cx="522361" cy="2175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0.0804</cdr:x>
      <cdr:y>0.46129</cdr:y>
    </cdr:from>
    <cdr:to>
      <cdr:x>0.9806</cdr:x>
      <cdr:y>0.46129</cdr:y>
    </cdr:to>
    <cdr:sp macro="" textlink="">
      <cdr:nvSpPr>
        <cdr:cNvPr id="2977793" name="Line 1"/>
        <cdr:cNvSpPr>
          <a:spLocks xmlns:a="http://schemas.openxmlformats.org/drawingml/2006/main" noChangeShapeType="1"/>
        </cdr:cNvSpPr>
      </cdr:nvSpPr>
      <cdr:spPr bwMode="auto">
        <a:xfrm xmlns:a="http://schemas.openxmlformats.org/drawingml/2006/main" flipV="1">
          <a:off x="247650" y="733387"/>
          <a:ext cx="282753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0.14549</cdr:x>
      <cdr:y>0.6393</cdr:y>
    </cdr:from>
    <cdr:to>
      <cdr:x>0.30452</cdr:x>
      <cdr:y>0.77705</cdr:y>
    </cdr:to>
    <cdr:sp macro="" textlink="結果!$T$58">
      <cdr:nvSpPr>
        <cdr:cNvPr id="5328898" name="Text Box 2"/>
        <cdr:cNvSpPr txBox="1">
          <a:spLocks xmlns:a="http://schemas.openxmlformats.org/drawingml/2006/main" noChangeArrowheads="1"/>
        </cdr:cNvSpPr>
      </cdr:nvSpPr>
      <cdr:spPr bwMode="auto">
        <a:xfrm xmlns:a="http://schemas.openxmlformats.org/drawingml/2006/main">
          <a:off x="454545" y="1047369"/>
          <a:ext cx="496842" cy="22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pPr algn="l" rtl="0">
            <a:defRPr sz="1000"/>
          </a:pPr>
          <a:fld id="{0671EBA3-4C1A-46C1-BAE8-17A7BF0D48D4}" type="TxLink">
            <a:rPr lang="en-US" altLang="en-US" sz="1100" b="0" i="0" u="none" strike="noStrike" baseline="0">
              <a:solidFill>
                <a:srgbClr val="000000"/>
              </a:solidFill>
              <a:latin typeface="Arial"/>
              <a:cs typeface="Arial"/>
            </a:rPr>
            <a:pPr algn="l" rtl="0">
              <a:defRPr sz="1000"/>
            </a:pPr>
            <a:t> </a:t>
          </a:fld>
          <a:endParaRPr lang="ja-JP" altLang="en-US" sz="1100" b="0" i="0" u="none" strike="noStrike" baseline="0">
            <a:solidFill>
              <a:srgbClr val="000000"/>
            </a:solidFill>
            <a:latin typeface="Calibri"/>
            <a:cs typeface="Calibri"/>
          </a:endParaRPr>
        </a:p>
      </cdr:txBody>
    </cdr:sp>
  </cdr:relSizeAnchor>
  <cdr:relSizeAnchor xmlns:cdr="http://schemas.openxmlformats.org/drawingml/2006/chartDrawing">
    <cdr:from>
      <cdr:x>0.44735</cdr:x>
      <cdr:y>0.64462</cdr:y>
    </cdr:from>
    <cdr:to>
      <cdr:x>0.61385</cdr:x>
      <cdr:y>0.78169</cdr:y>
    </cdr:to>
    <cdr:sp macro="" textlink="結果!$T$59">
      <cdr:nvSpPr>
        <cdr:cNvPr id="250884" name="Text Box 4"/>
        <cdr:cNvSpPr txBox="1">
          <a:spLocks xmlns:a="http://schemas.openxmlformats.org/drawingml/2006/main" noChangeArrowheads="1" noTextEdit="1"/>
        </cdr:cNvSpPr>
      </cdr:nvSpPr>
      <cdr:spPr bwMode="auto">
        <a:xfrm xmlns:a="http://schemas.openxmlformats.org/drawingml/2006/main">
          <a:off x="1397599" y="1056081"/>
          <a:ext cx="520180" cy="2245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0.74501</cdr:x>
      <cdr:y>0.64521</cdr:y>
    </cdr:from>
    <cdr:to>
      <cdr:x>0.90573</cdr:x>
      <cdr:y>0.77518</cdr:y>
    </cdr:to>
    <cdr:sp macro="" textlink="結果!$T$60">
      <cdr:nvSpPr>
        <cdr:cNvPr id="5328901" name="Text Box 5"/>
        <cdr:cNvSpPr txBox="1">
          <a:spLocks xmlns:a="http://schemas.openxmlformats.org/drawingml/2006/main" noChangeArrowheads="1"/>
        </cdr:cNvSpPr>
      </cdr:nvSpPr>
      <cdr:spPr bwMode="auto">
        <a:xfrm xmlns:a="http://schemas.openxmlformats.org/drawingml/2006/main">
          <a:off x="2327571" y="1057054"/>
          <a:ext cx="502121" cy="2129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0.09747</cdr:x>
      <cdr:y>0.47763</cdr:y>
    </cdr:from>
    <cdr:to>
      <cdr:x>0.98115</cdr:x>
      <cdr:y>0.47763</cdr:y>
    </cdr:to>
    <cdr:sp macro="" textlink="">
      <cdr:nvSpPr>
        <cdr:cNvPr id="251905" name="Line 1"/>
        <cdr:cNvSpPr>
          <a:spLocks xmlns:a="http://schemas.openxmlformats.org/drawingml/2006/main" noChangeShapeType="1"/>
        </cdr:cNvSpPr>
      </cdr:nvSpPr>
      <cdr:spPr bwMode="auto">
        <a:xfrm xmlns:a="http://schemas.openxmlformats.org/drawingml/2006/main" flipV="1">
          <a:off x="303018" y="713552"/>
          <a:ext cx="2792607"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0.13148</cdr:x>
      <cdr:y>0.68624</cdr:y>
    </cdr:from>
    <cdr:to>
      <cdr:x>0.26143</cdr:x>
      <cdr:y>0.8299</cdr:y>
    </cdr:to>
    <cdr:sp macro="" textlink="結果!$T$48">
      <cdr:nvSpPr>
        <cdr:cNvPr id="251906" name="Text Box 2"/>
        <cdr:cNvSpPr txBox="1">
          <a:spLocks xmlns:a="http://schemas.openxmlformats.org/drawingml/2006/main" noChangeArrowheads="1" noTextEdit="1"/>
        </cdr:cNvSpPr>
      </cdr:nvSpPr>
      <cdr:spPr bwMode="auto">
        <a:xfrm xmlns:a="http://schemas.openxmlformats.org/drawingml/2006/main">
          <a:off x="387276" y="1030482"/>
          <a:ext cx="385033" cy="2149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cdr:x>
      <cdr:y>0.69839</cdr:y>
    </cdr:from>
    <cdr:to>
      <cdr:x>0.49608</cdr:x>
      <cdr:y>0.84228</cdr:y>
    </cdr:to>
    <cdr:sp macro="" textlink="結果!$T$49">
      <cdr:nvSpPr>
        <cdr:cNvPr id="251907" name="Text Box 3"/>
        <cdr:cNvSpPr txBox="1">
          <a:spLocks xmlns:a="http://schemas.openxmlformats.org/drawingml/2006/main" noChangeArrowheads="1" noTextEdit="1"/>
        </cdr:cNvSpPr>
      </cdr:nvSpPr>
      <cdr:spPr bwMode="auto">
        <a:xfrm xmlns:a="http://schemas.openxmlformats.org/drawingml/2006/main">
          <a:off x="985684" y="1030482"/>
          <a:ext cx="427435" cy="2149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0.57905</cdr:x>
      <cdr:y>0.69712</cdr:y>
    </cdr:from>
    <cdr:to>
      <cdr:x>0.70828</cdr:x>
      <cdr:y>0.8419</cdr:y>
    </cdr:to>
    <cdr:sp macro="" textlink="結果!$T$50">
      <cdr:nvSpPr>
        <cdr:cNvPr id="5329924" name="Text Box 4"/>
        <cdr:cNvSpPr txBox="1">
          <a:spLocks xmlns:a="http://schemas.openxmlformats.org/drawingml/2006/main" noChangeArrowheads="1"/>
        </cdr:cNvSpPr>
      </cdr:nvSpPr>
      <cdr:spPr bwMode="auto">
        <a:xfrm xmlns:a="http://schemas.openxmlformats.org/drawingml/2006/main">
          <a:off x="1834290" y="1085501"/>
          <a:ext cx="408684" cy="2247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0.79533</cdr:x>
      <cdr:y>0.69712</cdr:y>
    </cdr:from>
    <cdr:to>
      <cdr:x>0.94784</cdr:x>
      <cdr:y>0.8412</cdr:y>
    </cdr:to>
    <cdr:sp macro="" textlink="結果!$T$51">
      <cdr:nvSpPr>
        <cdr:cNvPr id="5329925" name="Text Box 5"/>
        <cdr:cNvSpPr txBox="1">
          <a:spLocks xmlns:a="http://schemas.openxmlformats.org/drawingml/2006/main" noChangeArrowheads="1"/>
        </cdr:cNvSpPr>
      </cdr:nvSpPr>
      <cdr:spPr bwMode="auto">
        <a:xfrm xmlns:a="http://schemas.openxmlformats.org/drawingml/2006/main">
          <a:off x="2518242" y="1085501"/>
          <a:ext cx="482293" cy="223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0.07258</cdr:x>
      <cdr:y>0.45077</cdr:y>
    </cdr:from>
    <cdr:to>
      <cdr:x>0.97303</cdr:x>
      <cdr:y>0.45077</cdr:y>
    </cdr:to>
    <cdr:sp macro="" textlink="">
      <cdr:nvSpPr>
        <cdr:cNvPr id="252929" name="Line 1"/>
        <cdr:cNvSpPr>
          <a:spLocks xmlns:a="http://schemas.openxmlformats.org/drawingml/2006/main" noChangeShapeType="1"/>
        </cdr:cNvSpPr>
      </cdr:nvSpPr>
      <cdr:spPr bwMode="auto">
        <a:xfrm xmlns:a="http://schemas.openxmlformats.org/drawingml/2006/main">
          <a:off x="227431" y="742786"/>
          <a:ext cx="2821762"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0.11183</cdr:x>
      <cdr:y>0.63166</cdr:y>
    </cdr:from>
    <cdr:to>
      <cdr:x>0.24244</cdr:x>
      <cdr:y>0.78409</cdr:y>
    </cdr:to>
    <cdr:sp macro="" textlink="結果!$Z$48">
      <cdr:nvSpPr>
        <cdr:cNvPr id="252930" name="Text Box 2"/>
        <cdr:cNvSpPr txBox="1">
          <a:spLocks xmlns:a="http://schemas.openxmlformats.org/drawingml/2006/main" noChangeArrowheads="1" noTextEdit="1"/>
        </cdr:cNvSpPr>
      </cdr:nvSpPr>
      <cdr:spPr bwMode="auto">
        <a:xfrm xmlns:a="http://schemas.openxmlformats.org/drawingml/2006/main">
          <a:off x="310638" y="1063607"/>
          <a:ext cx="389416" cy="25523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0.33051</cdr:x>
      <cdr:y>0.65527</cdr:y>
    </cdr:from>
    <cdr:to>
      <cdr:x>0.4814</cdr:x>
      <cdr:y>0.78668</cdr:y>
    </cdr:to>
    <cdr:sp macro="" textlink="結果!$Z$49">
      <cdr:nvSpPr>
        <cdr:cNvPr id="252931" name="Text Box 3"/>
        <cdr:cNvSpPr txBox="1">
          <a:spLocks xmlns:a="http://schemas.openxmlformats.org/drawingml/2006/main" noChangeArrowheads="1" noTextEdit="1"/>
        </cdr:cNvSpPr>
      </cdr:nvSpPr>
      <cdr:spPr bwMode="auto">
        <a:xfrm xmlns:a="http://schemas.openxmlformats.org/drawingml/2006/main">
          <a:off x="941479" y="1103438"/>
          <a:ext cx="427608" cy="2188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0.55815</cdr:x>
      <cdr:y>0.65527</cdr:y>
    </cdr:from>
    <cdr:to>
      <cdr:x>0.70612</cdr:x>
      <cdr:y>0.78668</cdr:y>
    </cdr:to>
    <cdr:sp macro="" textlink="結果!$Z$50">
      <cdr:nvSpPr>
        <cdr:cNvPr id="252932" name="Text Box 4"/>
        <cdr:cNvSpPr txBox="1">
          <a:spLocks xmlns:a="http://schemas.openxmlformats.org/drawingml/2006/main" noChangeArrowheads="1" noTextEdit="1"/>
        </cdr:cNvSpPr>
      </cdr:nvSpPr>
      <cdr:spPr bwMode="auto">
        <a:xfrm xmlns:a="http://schemas.openxmlformats.org/drawingml/2006/main">
          <a:off x="1588005" y="1103438"/>
          <a:ext cx="417378" cy="2188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0.786</cdr:x>
      <cdr:y>0.6494</cdr:y>
    </cdr:from>
    <cdr:to>
      <cdr:x>0.93757</cdr:x>
      <cdr:y>0.78454</cdr:y>
    </cdr:to>
    <cdr:sp macro="" textlink="結果!$Z$51">
      <cdr:nvSpPr>
        <cdr:cNvPr id="252933" name="Text Box 5"/>
        <cdr:cNvSpPr txBox="1">
          <a:spLocks xmlns:a="http://schemas.openxmlformats.org/drawingml/2006/main" noChangeArrowheads="1" noTextEdit="1"/>
        </cdr:cNvSpPr>
      </cdr:nvSpPr>
      <cdr:spPr bwMode="auto">
        <a:xfrm xmlns:a="http://schemas.openxmlformats.org/drawingml/2006/main">
          <a:off x="2231804" y="1093770"/>
          <a:ext cx="427608" cy="22738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0.08111</cdr:x>
      <cdr:y>0.45322</cdr:y>
    </cdr:from>
    <cdr:to>
      <cdr:x>0.98823</cdr:x>
      <cdr:y>0.45322</cdr:y>
    </cdr:to>
    <cdr:sp macro="" textlink="">
      <cdr:nvSpPr>
        <cdr:cNvPr id="2980865" name="Line 1"/>
        <cdr:cNvSpPr>
          <a:spLocks xmlns:a="http://schemas.openxmlformats.org/drawingml/2006/main" noChangeShapeType="1"/>
        </cdr:cNvSpPr>
      </cdr:nvSpPr>
      <cdr:spPr bwMode="auto">
        <a:xfrm xmlns:a="http://schemas.openxmlformats.org/drawingml/2006/main">
          <a:off x="251203" y="715260"/>
          <a:ext cx="2808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0.13529</cdr:x>
      <cdr:y>0.66053</cdr:y>
    </cdr:from>
    <cdr:to>
      <cdr:x>0.30032</cdr:x>
      <cdr:y>0.80694</cdr:y>
    </cdr:to>
    <cdr:sp macro="" textlink="結果!$W$48">
      <cdr:nvSpPr>
        <cdr:cNvPr id="5331970" name="Text Box 2"/>
        <cdr:cNvSpPr txBox="1">
          <a:spLocks xmlns:a="http://schemas.openxmlformats.org/drawingml/2006/main" noChangeArrowheads="1"/>
        </cdr:cNvSpPr>
      </cdr:nvSpPr>
      <cdr:spPr bwMode="auto">
        <a:xfrm xmlns:a="http://schemas.openxmlformats.org/drawingml/2006/main">
          <a:off x="423275" y="1079029"/>
          <a:ext cx="512436"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0.43893</cdr:x>
      <cdr:y>0.66053</cdr:y>
    </cdr:from>
    <cdr:to>
      <cdr:x>0.6105</cdr:x>
      <cdr:y>0.80694</cdr:y>
    </cdr:to>
    <cdr:sp macro="" textlink="結果!$W$49">
      <cdr:nvSpPr>
        <cdr:cNvPr id="5331971" name="Text Box 3"/>
        <cdr:cNvSpPr txBox="1">
          <a:spLocks xmlns:a="http://schemas.openxmlformats.org/drawingml/2006/main" noChangeArrowheads="1"/>
        </cdr:cNvSpPr>
      </cdr:nvSpPr>
      <cdr:spPr bwMode="auto">
        <a:xfrm xmlns:a="http://schemas.openxmlformats.org/drawingml/2006/main">
          <a:off x="1366126" y="1079029"/>
          <a:ext cx="532753"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0.74257</cdr:x>
      <cdr:y>0.66053</cdr:y>
    </cdr:from>
    <cdr:to>
      <cdr:x>0.90857</cdr:x>
      <cdr:y>0.80694</cdr:y>
    </cdr:to>
    <cdr:sp macro="" textlink="結果!$W$50">
      <cdr:nvSpPr>
        <cdr:cNvPr id="5331972" name="Text Box 4"/>
        <cdr:cNvSpPr txBox="1">
          <a:spLocks xmlns:a="http://schemas.openxmlformats.org/drawingml/2006/main" noChangeArrowheads="1"/>
        </cdr:cNvSpPr>
      </cdr:nvSpPr>
      <cdr:spPr bwMode="auto">
        <a:xfrm xmlns:a="http://schemas.openxmlformats.org/drawingml/2006/main">
          <a:off x="2308977" y="1079029"/>
          <a:ext cx="515446"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5"/>
  <sheetViews>
    <sheetView showGridLines="0" zoomScaleNormal="75" zoomScaleSheetLayoutView="100" workbookViewId="0">
      <selection activeCell="I17" sqref="I17"/>
    </sheetView>
  </sheetViews>
  <sheetFormatPr defaultColWidth="0" defaultRowHeight="0" customHeight="1" zeroHeight="1"/>
  <cols>
    <col min="1" max="1" width="2.25" style="988" customWidth="1"/>
    <col min="2" max="2" width="3.625" style="1008" customWidth="1"/>
    <col min="3" max="3" width="5.75" style="994" customWidth="1"/>
    <col min="4" max="4" width="4.625" style="993" customWidth="1"/>
    <col min="5" max="5" width="17.375" style="994" customWidth="1"/>
    <col min="6" max="6" width="9.75" style="994" customWidth="1"/>
    <col min="7" max="7" width="9.75" style="990" customWidth="1"/>
    <col min="8" max="8" width="0.5" style="990" customWidth="1"/>
    <col min="9" max="11" width="9.75" style="990" customWidth="1"/>
    <col min="12" max="12" width="9.75" style="989" customWidth="1"/>
    <col min="13" max="13" width="9.75" style="988" customWidth="1"/>
    <col min="14" max="14" width="3.125" style="988" customWidth="1"/>
    <col min="15" max="15" width="11.75" style="988" customWidth="1"/>
    <col min="16" max="16" width="9.5" style="988" customWidth="1"/>
    <col min="17" max="17" width="2" style="988" customWidth="1"/>
    <col min="18" max="18" width="4.625" style="988" hidden="1"/>
    <col min="19" max="19" width="10.25" style="988" hidden="1"/>
    <col min="20" max="255" width="9" style="988" hidden="1"/>
    <col min="256" max="16383" width="1.875" style="988" hidden="1"/>
    <col min="16384" max="16384" width="3.75" style="988" hidden="1"/>
  </cols>
  <sheetData>
    <row r="1" spans="1:28" s="458" customFormat="1" ht="12.6" customHeight="1" thickBot="1">
      <c r="A1" s="1151"/>
      <c r="B1" s="1151"/>
      <c r="C1" s="1151"/>
      <c r="D1" s="1152"/>
      <c r="E1" s="5"/>
      <c r="F1" s="1151"/>
      <c r="G1" s="1151"/>
      <c r="H1" s="1151"/>
      <c r="I1" s="1153"/>
      <c r="J1" s="1153"/>
      <c r="K1" s="1153"/>
      <c r="L1" s="1153"/>
      <c r="M1" s="1153"/>
      <c r="N1" s="1153"/>
      <c r="O1" s="1154"/>
      <c r="P1" s="1155"/>
      <c r="R1" s="508"/>
      <c r="S1" s="508"/>
      <c r="T1" s="701"/>
      <c r="U1" s="508"/>
      <c r="V1" s="701"/>
      <c r="W1" s="508"/>
      <c r="X1" s="508"/>
      <c r="Y1" s="508"/>
      <c r="Z1" s="457"/>
      <c r="AA1" s="457"/>
      <c r="AB1" s="457"/>
    </row>
    <row r="2" spans="1:28" s="458" customFormat="1" ht="17.25">
      <c r="A2" s="1151"/>
      <c r="B2" s="1156" t="str">
        <f>メイン!C6</f>
        <v>CASBEE-戸建（新築）2018年版</v>
      </c>
      <c r="C2" s="1157"/>
      <c r="D2" s="1158"/>
      <c r="E2" s="1159"/>
      <c r="F2" s="1160"/>
      <c r="G2" s="1151"/>
      <c r="H2" s="1151"/>
      <c r="I2" s="1153"/>
      <c r="J2" s="1153"/>
      <c r="K2" s="1153"/>
      <c r="L2" s="2203" t="s">
        <v>107</v>
      </c>
      <c r="M2" s="2203"/>
      <c r="N2" s="1867" t="str">
        <f>メイン!C6</f>
        <v>CASBEE-戸建（新築）2018年版</v>
      </c>
      <c r="O2" s="1162"/>
      <c r="P2" s="1155"/>
      <c r="R2" s="508"/>
      <c r="S2" s="508"/>
      <c r="T2" s="701"/>
      <c r="U2" s="508"/>
      <c r="V2" s="701"/>
      <c r="W2" s="508"/>
      <c r="X2" s="508"/>
      <c r="Y2" s="508"/>
      <c r="Z2" s="457"/>
      <c r="AA2" s="457"/>
      <c r="AB2" s="457"/>
    </row>
    <row r="3" spans="1:28" s="458" customFormat="1" ht="15.75" customHeight="1" thickBot="1">
      <c r="A3" s="1151"/>
      <c r="B3" s="1163" t="str">
        <f>メイン!$C$10</f>
        <v>〇〇邸</v>
      </c>
      <c r="C3" s="1164"/>
      <c r="D3" s="1165"/>
      <c r="E3" s="1166"/>
      <c r="F3" s="1167"/>
      <c r="G3" s="1151"/>
      <c r="H3" s="1151"/>
      <c r="I3" s="1153"/>
      <c r="J3" s="1153"/>
      <c r="K3" s="1153"/>
      <c r="L3" s="2204" t="s">
        <v>54</v>
      </c>
      <c r="M3" s="2204"/>
      <c r="N3" s="1868" t="str">
        <f>メイン!C5</f>
        <v>CASBEE-DH_NC_2018v1.0</v>
      </c>
      <c r="O3" s="1169"/>
      <c r="P3" s="1155"/>
      <c r="R3" s="508"/>
      <c r="S3" s="508"/>
      <c r="T3" s="701"/>
      <c r="U3" s="508"/>
      <c r="V3" s="701"/>
      <c r="W3" s="508"/>
      <c r="X3" s="508"/>
      <c r="Y3" s="508"/>
      <c r="Z3" s="457"/>
      <c r="AA3" s="457"/>
      <c r="AB3" s="457"/>
    </row>
    <row r="4" spans="1:28" ht="15" customHeight="1" thickBot="1">
      <c r="A4" s="1170"/>
      <c r="B4" s="1171"/>
      <c r="C4" s="1170"/>
      <c r="D4" s="1172"/>
      <c r="E4" s="1170"/>
      <c r="F4" s="1170"/>
      <c r="G4" s="1171"/>
      <c r="H4" s="1171"/>
      <c r="I4" s="1171"/>
      <c r="J4" s="1171"/>
      <c r="K4" s="1171"/>
      <c r="L4" s="1173"/>
      <c r="M4" s="1170"/>
      <c r="N4" s="1170"/>
      <c r="O4" s="1170"/>
      <c r="P4" s="1170"/>
    </row>
    <row r="5" spans="1:28" ht="21" customHeight="1">
      <c r="A5" s="1170"/>
      <c r="B5" s="1827" t="s">
        <v>1040</v>
      </c>
      <c r="C5" s="1174"/>
      <c r="D5" s="1175"/>
      <c r="E5" s="1174"/>
      <c r="F5" s="1176"/>
      <c r="G5" s="1177"/>
      <c r="H5" s="1177"/>
      <c r="I5" s="1177"/>
      <c r="J5" s="1177"/>
      <c r="K5" s="1177"/>
      <c r="L5" s="1174"/>
      <c r="M5" s="1140"/>
      <c r="N5" s="1141"/>
      <c r="O5" s="1178"/>
      <c r="P5" s="1179"/>
    </row>
    <row r="6" spans="1:28" ht="7.5" customHeight="1">
      <c r="A6" s="1170"/>
      <c r="B6" s="1295"/>
      <c r="C6" s="1180"/>
      <c r="D6" s="1181"/>
      <c r="E6" s="1182"/>
      <c r="F6" s="1182"/>
      <c r="G6" s="1183"/>
      <c r="H6" s="1183"/>
      <c r="I6" s="1183"/>
      <c r="J6" s="1183"/>
      <c r="K6" s="1183"/>
      <c r="L6" s="1184"/>
      <c r="M6" s="1182"/>
      <c r="N6" s="1182"/>
      <c r="O6" s="1182"/>
      <c r="P6" s="1296"/>
    </row>
    <row r="7" spans="1:28" ht="18" customHeight="1">
      <c r="A7" s="1170"/>
      <c r="B7" s="1695" t="s">
        <v>1041</v>
      </c>
      <c r="C7" s="1182"/>
      <c r="D7" s="1181"/>
      <c r="E7" s="1182"/>
      <c r="F7" s="1182"/>
      <c r="G7" s="1199"/>
      <c r="H7" s="1199"/>
      <c r="I7" s="1182"/>
      <c r="J7" s="1199"/>
      <c r="K7" s="1199"/>
      <c r="L7" s="1199"/>
      <c r="M7" s="1182"/>
      <c r="N7" s="1199"/>
      <c r="O7" s="1199"/>
      <c r="P7" s="1298"/>
    </row>
    <row r="8" spans="1:28" ht="18" customHeight="1" thickBot="1">
      <c r="A8" s="1170"/>
      <c r="B8" s="1295"/>
      <c r="C8" s="1365" t="s">
        <v>1042</v>
      </c>
      <c r="D8" s="1181"/>
      <c r="E8" s="1182"/>
      <c r="F8" s="1182"/>
      <c r="G8" s="1199"/>
      <c r="H8" s="1199"/>
      <c r="I8" s="1189"/>
      <c r="J8" s="1189"/>
      <c r="K8" s="1189"/>
      <c r="L8" s="1187"/>
      <c r="M8" s="1202" t="s">
        <v>774</v>
      </c>
      <c r="N8" s="1182"/>
      <c r="O8" s="1187"/>
      <c r="P8" s="1298" t="s">
        <v>774</v>
      </c>
    </row>
    <row r="9" spans="1:28" ht="18" customHeight="1">
      <c r="A9" s="1170"/>
      <c r="B9" s="1295"/>
      <c r="C9" s="1182" t="s">
        <v>788</v>
      </c>
      <c r="D9" s="1181" t="s">
        <v>566</v>
      </c>
      <c r="E9" s="1182"/>
      <c r="F9" s="1182"/>
      <c r="G9" s="1199"/>
      <c r="H9" s="1199"/>
      <c r="I9" s="1182"/>
      <c r="J9" s="1199"/>
      <c r="K9" s="1202" t="s">
        <v>774</v>
      </c>
      <c r="L9" s="2199" t="s">
        <v>472</v>
      </c>
      <c r="M9" s="2200"/>
      <c r="N9" s="1199"/>
      <c r="O9" s="2201" t="s">
        <v>258</v>
      </c>
      <c r="P9" s="2202"/>
      <c r="Q9" s="990"/>
    </row>
    <row r="10" spans="1:28" ht="18" customHeight="1">
      <c r="A10" s="1170"/>
      <c r="B10" s="1295"/>
      <c r="C10" s="1193">
        <v>1</v>
      </c>
      <c r="D10" s="1213" t="s">
        <v>51</v>
      </c>
      <c r="E10" s="1214"/>
      <c r="F10" s="1214"/>
      <c r="G10" s="1294" t="s">
        <v>331</v>
      </c>
      <c r="H10" s="1199"/>
      <c r="I10" s="1190" t="s">
        <v>255</v>
      </c>
      <c r="J10" s="1190" t="s">
        <v>256</v>
      </c>
      <c r="K10" s="1191" t="s">
        <v>257</v>
      </c>
      <c r="L10" s="1288" t="s">
        <v>259</v>
      </c>
      <c r="M10" s="1289" t="s">
        <v>775</v>
      </c>
      <c r="N10" s="1182"/>
      <c r="O10" s="1288" t="s">
        <v>259</v>
      </c>
      <c r="P10" s="1289" t="s">
        <v>775</v>
      </c>
      <c r="Q10" s="990"/>
    </row>
    <row r="11" spans="1:28" ht="18" customHeight="1">
      <c r="A11" s="1170"/>
      <c r="B11" s="1295"/>
      <c r="C11" s="1197"/>
      <c r="D11" s="1215">
        <v>1.1000000000000001</v>
      </c>
      <c r="E11" s="1214" t="s">
        <v>226</v>
      </c>
      <c r="F11" s="1216" t="s">
        <v>353</v>
      </c>
      <c r="G11" s="1217">
        <f>採点LR2!G8</f>
        <v>1</v>
      </c>
      <c r="H11" s="1199"/>
      <c r="I11" s="1218">
        <f>VLOOKUP($R11,CO2データ!$H$6:$Q$53,2)</f>
        <v>6.13</v>
      </c>
      <c r="J11" s="1218">
        <f>VLOOKUP($R11,CO2データ!$H$6:$Q$53,3)</f>
        <v>3.06</v>
      </c>
      <c r="K11" s="1278">
        <f>VLOOKUP($R11,CO2データ!$H$6:$Q$53,4)</f>
        <v>2.04</v>
      </c>
      <c r="L11" s="1195">
        <f>L37</f>
        <v>3</v>
      </c>
      <c r="M11" s="1279">
        <f>IF(L11&gt;=4.5,$K11,IF(L11&gt;=3.5,$J11,IF(L11&gt;=2.5,$I11,IF(L11&gt;=1.5,$H11,$G11))))</f>
        <v>6.13</v>
      </c>
      <c r="N11" s="1182"/>
      <c r="O11" s="1195">
        <v>3</v>
      </c>
      <c r="P11" s="1205">
        <f>CO2データ!I36</f>
        <v>6.13</v>
      </c>
      <c r="R11" s="988">
        <f>R37</f>
        <v>333</v>
      </c>
    </row>
    <row r="12" spans="1:28" ht="18" customHeight="1">
      <c r="A12" s="1170"/>
      <c r="B12" s="1295"/>
      <c r="C12" s="1197"/>
      <c r="D12" s="1220"/>
      <c r="E12" s="1182"/>
      <c r="F12" s="1221" t="s">
        <v>354</v>
      </c>
      <c r="G12" s="1217">
        <f>採点LR2!H8</f>
        <v>0</v>
      </c>
      <c r="H12" s="1199"/>
      <c r="I12" s="1218">
        <f>VLOOKUP($R12,CO2データ!$H$6:$Q$53,5)</f>
        <v>13.56</v>
      </c>
      <c r="J12" s="1218">
        <f>VLOOKUP($R12,CO2データ!$H$6:$Q$53,6)</f>
        <v>6.78</v>
      </c>
      <c r="K12" s="1278">
        <f>VLOOKUP($R12,CO2データ!$H$6:$Q$53,7)</f>
        <v>4.5199999999999996</v>
      </c>
      <c r="L12" s="1195">
        <f>L11</f>
        <v>3</v>
      </c>
      <c r="M12" s="1279">
        <f>IF(L12&gt;=4.5,$K12,IF(L12&gt;=3.5,$J12,IF(L12&gt;=2.5,$I12,IF(L12&gt;=1.5,$H12,$G12))))</f>
        <v>13.56</v>
      </c>
      <c r="N12" s="1182"/>
      <c r="O12" s="1195">
        <v>3</v>
      </c>
      <c r="P12" s="1205">
        <f>CO2データ!L36</f>
        <v>13.56</v>
      </c>
      <c r="R12" s="988">
        <f>R11</f>
        <v>333</v>
      </c>
    </row>
    <row r="13" spans="1:28" ht="18" customHeight="1" thickBot="1">
      <c r="A13" s="1170"/>
      <c r="B13" s="1295"/>
      <c r="C13" s="1197"/>
      <c r="D13" s="1222"/>
      <c r="E13" s="1223"/>
      <c r="F13" s="1224" t="s">
        <v>355</v>
      </c>
      <c r="G13" s="1217">
        <f>採点LR2!I8</f>
        <v>0</v>
      </c>
      <c r="H13" s="1199"/>
      <c r="I13" s="1218">
        <f>VLOOKUP($R13,CO2データ!$H$6:$Q$53,8)</f>
        <v>13.28</v>
      </c>
      <c r="J13" s="1218">
        <f>VLOOKUP($R13,CO2データ!$H$6:$Q$53,9)</f>
        <v>6.64</v>
      </c>
      <c r="K13" s="1278">
        <f>VLOOKUP($R13,CO2データ!$H$6:$Q$53,10)</f>
        <v>4.43</v>
      </c>
      <c r="L13" s="1195">
        <f>L11</f>
        <v>3</v>
      </c>
      <c r="M13" s="1280">
        <f>IF(L13&gt;=4.5,$K13,IF(L13&gt;=3.5,$J13,IF(L13&gt;=2.5,$I13,IF(L13&gt;=1.5,$H13,$G13))))</f>
        <v>13.28</v>
      </c>
      <c r="N13" s="1182"/>
      <c r="O13" s="1195">
        <v>3</v>
      </c>
      <c r="P13" s="1286">
        <f>CO2データ!O36</f>
        <v>13.28</v>
      </c>
      <c r="R13" s="988">
        <f>R11</f>
        <v>333</v>
      </c>
    </row>
    <row r="14" spans="1:28" ht="18" customHeight="1">
      <c r="A14" s="1170"/>
      <c r="B14" s="1295"/>
      <c r="C14" s="1197"/>
      <c r="D14" s="1225">
        <v>1.2</v>
      </c>
      <c r="E14" s="1203" t="s">
        <v>52</v>
      </c>
      <c r="F14" s="1203"/>
      <c r="G14" s="1204"/>
      <c r="H14" s="1199"/>
      <c r="I14" s="1199"/>
      <c r="J14" s="1199"/>
      <c r="K14" s="1199"/>
      <c r="L14" s="1282">
        <f>スコア!S32</f>
        <v>3</v>
      </c>
      <c r="M14" s="1182"/>
      <c r="N14" s="1182"/>
      <c r="O14" s="1284">
        <v>3</v>
      </c>
      <c r="P14" s="1299"/>
    </row>
    <row r="15" spans="1:28" ht="18" customHeight="1" thickBot="1">
      <c r="A15" s="1170"/>
      <c r="B15" s="1295"/>
      <c r="C15" s="1198"/>
      <c r="D15" s="1225">
        <v>1.3</v>
      </c>
      <c r="E15" s="1203" t="s">
        <v>334</v>
      </c>
      <c r="F15" s="1203"/>
      <c r="G15" s="1204"/>
      <c r="H15" s="1199"/>
      <c r="I15" s="1199"/>
      <c r="J15" s="1199"/>
      <c r="K15" s="1199"/>
      <c r="L15" s="1283">
        <f>スコア!S33</f>
        <v>3</v>
      </c>
      <c r="M15" s="1182"/>
      <c r="N15" s="1182"/>
      <c r="O15" s="1285">
        <v>3</v>
      </c>
      <c r="P15" s="1300"/>
    </row>
    <row r="16" spans="1:28" ht="18" customHeight="1" thickBot="1">
      <c r="A16" s="1170"/>
      <c r="B16" s="1295"/>
      <c r="C16" s="1193">
        <v>2</v>
      </c>
      <c r="D16" s="1213" t="s">
        <v>571</v>
      </c>
      <c r="E16" s="1214"/>
      <c r="F16" s="1214"/>
      <c r="G16" s="1226"/>
      <c r="H16" s="1199"/>
      <c r="I16" s="1199"/>
      <c r="J16" s="1199"/>
      <c r="K16" s="1199"/>
      <c r="L16" s="1227"/>
      <c r="M16" s="1182"/>
      <c r="N16" s="1182"/>
      <c r="O16" s="1228"/>
      <c r="P16" s="1296"/>
    </row>
    <row r="17" spans="1:16" ht="18" customHeight="1" thickBot="1">
      <c r="A17" s="1170"/>
      <c r="B17" s="1295"/>
      <c r="C17" s="1198"/>
      <c r="D17" s="1225">
        <v>2.2000000000000002</v>
      </c>
      <c r="E17" s="1203" t="s">
        <v>300</v>
      </c>
      <c r="F17" s="1203"/>
      <c r="G17" s="1204"/>
      <c r="H17" s="1199"/>
      <c r="I17" s="1199"/>
      <c r="J17" s="1199"/>
      <c r="K17" s="1199"/>
      <c r="L17" s="1287">
        <f>スコア!S40</f>
        <v>3</v>
      </c>
      <c r="M17" s="1182"/>
      <c r="N17" s="1182"/>
      <c r="O17" s="1287">
        <v>3</v>
      </c>
      <c r="P17" s="1296"/>
    </row>
    <row r="18" spans="1:16" ht="3.75" customHeight="1" thickBot="1">
      <c r="A18" s="1170"/>
      <c r="B18" s="1295"/>
      <c r="C18" s="1182"/>
      <c r="D18" s="1181"/>
      <c r="E18" s="1182"/>
      <c r="F18" s="1182"/>
      <c r="G18" s="1199"/>
      <c r="H18" s="1199"/>
      <c r="I18" s="1199"/>
      <c r="J18" s="1199"/>
      <c r="K18" s="1199"/>
      <c r="L18" s="1199"/>
      <c r="M18" s="1201"/>
      <c r="N18" s="1182"/>
      <c r="O18" s="1182"/>
      <c r="P18" s="1296"/>
    </row>
    <row r="19" spans="1:16" ht="18" hidden="1" customHeight="1" thickBot="1">
      <c r="A19" s="1170"/>
      <c r="B19" s="1295"/>
      <c r="C19" s="1188" t="s">
        <v>1029</v>
      </c>
      <c r="D19" s="1181"/>
      <c r="E19" s="1182"/>
      <c r="F19" s="1182"/>
      <c r="G19" s="1182"/>
      <c r="H19" s="1199"/>
      <c r="I19" s="1199"/>
      <c r="J19" s="1199"/>
      <c r="K19" s="1199"/>
      <c r="L19" s="1229"/>
      <c r="M19" s="1800"/>
      <c r="N19" s="1182"/>
      <c r="O19" s="1228"/>
      <c r="P19" s="1296"/>
    </row>
    <row r="20" spans="1:16" ht="18" hidden="1" customHeight="1">
      <c r="A20" s="1170"/>
      <c r="B20" s="1295"/>
      <c r="C20" s="1188"/>
      <c r="D20" s="1181"/>
      <c r="E20" s="1182"/>
      <c r="F20" s="1182"/>
      <c r="G20" s="1199"/>
      <c r="H20" s="1199"/>
      <c r="I20" s="1182"/>
      <c r="J20" s="1199"/>
      <c r="K20" s="1202"/>
      <c r="L20" s="2199" t="s">
        <v>472</v>
      </c>
      <c r="M20" s="2200"/>
      <c r="N20" s="1182"/>
      <c r="O20" s="1228"/>
      <c r="P20" s="1296"/>
    </row>
    <row r="21" spans="1:16" ht="18" hidden="1" customHeight="1">
      <c r="A21" s="1170"/>
      <c r="B21" s="1295"/>
      <c r="C21" s="1188"/>
      <c r="D21" s="1181"/>
      <c r="E21" s="1182"/>
      <c r="F21" s="1182"/>
      <c r="G21" s="1199"/>
      <c r="H21" s="1199"/>
      <c r="I21" s="1190" t="s">
        <v>255</v>
      </c>
      <c r="J21" s="1190" t="s">
        <v>256</v>
      </c>
      <c r="K21" s="1191" t="s">
        <v>257</v>
      </c>
      <c r="L21" s="1288" t="s">
        <v>259</v>
      </c>
      <c r="M21" s="1805" t="s">
        <v>1022</v>
      </c>
      <c r="N21" s="1182"/>
      <c r="O21" s="1228"/>
      <c r="P21" s="1296"/>
    </row>
    <row r="22" spans="1:16" ht="18" hidden="1" customHeight="1" thickBot="1">
      <c r="A22" s="1170"/>
      <c r="B22" s="1295"/>
      <c r="C22" s="1188"/>
      <c r="D22" s="1181" t="s">
        <v>339</v>
      </c>
      <c r="E22" s="1182"/>
      <c r="F22" s="1182" t="s">
        <v>797</v>
      </c>
      <c r="G22" s="1199"/>
      <c r="H22" s="1199"/>
      <c r="I22" s="1232">
        <f>CO2データ!I267</f>
        <v>30</v>
      </c>
      <c r="J22" s="1232">
        <f>CO2データ!J267</f>
        <v>60</v>
      </c>
      <c r="K22" s="1232">
        <f>CO2データ!K267</f>
        <v>90</v>
      </c>
      <c r="L22" s="1200">
        <f>L11</f>
        <v>3</v>
      </c>
      <c r="M22" s="1806">
        <f>IF(L22&gt;=4.5,$K22,IF(L22&gt;=3.5,$J22,IF(L22&gt;=2.5,$I22,IF(L22&gt;=1.5,$H22,$G22))))</f>
        <v>30</v>
      </c>
      <c r="N22" s="1182"/>
      <c r="O22" s="1228"/>
      <c r="P22" s="1296"/>
    </row>
    <row r="23" spans="1:16" ht="17.25" hidden="1" customHeight="1">
      <c r="A23" s="1170"/>
      <c r="B23" s="1295"/>
      <c r="C23" s="1188"/>
      <c r="D23" s="1181"/>
      <c r="E23" s="1707" t="s">
        <v>1013</v>
      </c>
      <c r="F23" s="1719">
        <f>メイン!C22</f>
        <v>0</v>
      </c>
      <c r="G23" s="1796" t="s">
        <v>1</v>
      </c>
      <c r="H23" s="1199"/>
      <c r="I23" s="1199"/>
      <c r="J23" s="1199"/>
      <c r="K23" s="1199"/>
      <c r="L23" s="1229"/>
      <c r="M23" s="1800"/>
      <c r="N23" s="1182"/>
      <c r="O23" s="1228"/>
      <c r="P23" s="1296"/>
    </row>
    <row r="24" spans="1:16" ht="17.25" hidden="1" customHeight="1">
      <c r="A24" s="1170"/>
      <c r="B24" s="1295"/>
      <c r="C24" s="1188"/>
      <c r="D24" s="1181"/>
      <c r="E24" s="1182"/>
      <c r="F24" s="1182" t="s">
        <v>1030</v>
      </c>
      <c r="G24" s="1199"/>
      <c r="H24" s="1199"/>
      <c r="I24" s="1803" t="s">
        <v>1031</v>
      </c>
      <c r="J24" s="1199"/>
      <c r="K24" s="1199"/>
      <c r="L24" s="1199"/>
      <c r="M24" s="1202" t="s">
        <v>774</v>
      </c>
      <c r="N24" s="1182"/>
      <c r="O24" s="1228"/>
      <c r="P24" s="1296"/>
    </row>
    <row r="25" spans="1:16" ht="17.25" hidden="1" customHeight="1">
      <c r="A25" s="1170"/>
      <c r="B25" s="1295"/>
      <c r="C25" s="1188"/>
      <c r="D25" s="1181" t="s">
        <v>973</v>
      </c>
      <c r="E25" s="1182"/>
      <c r="F25" s="1812">
        <f>採点LR1!G40</f>
        <v>0</v>
      </c>
      <c r="G25" s="1199"/>
      <c r="H25" s="1199"/>
      <c r="I25" s="1802">
        <f>CO2データ!F212</f>
        <v>10.99</v>
      </c>
      <c r="J25" s="1199"/>
      <c r="K25" s="1199"/>
      <c r="L25" s="1803"/>
      <c r="M25" s="1813" t="e">
        <f>F25*I25/$F$23/$M$22</f>
        <v>#DIV/0!</v>
      </c>
      <c r="N25" s="1182"/>
      <c r="O25" s="1228"/>
      <c r="P25" s="1303"/>
    </row>
    <row r="26" spans="1:16" ht="17.25" hidden="1" customHeight="1">
      <c r="A26" s="1170"/>
      <c r="B26" s="1295"/>
      <c r="C26" s="1188"/>
      <c r="D26" s="1181" t="s">
        <v>976</v>
      </c>
      <c r="E26" s="1182"/>
      <c r="F26" s="1812">
        <f>採点LR1!G41</f>
        <v>0</v>
      </c>
      <c r="G26" s="1199"/>
      <c r="H26" s="1199"/>
      <c r="I26" s="1802">
        <f>CO2データ!F213</f>
        <v>5.09</v>
      </c>
      <c r="J26" s="1199"/>
      <c r="K26" s="1199"/>
      <c r="L26" s="1803"/>
      <c r="M26" s="1813" t="e">
        <f>F26*I26/$F$23/$M$22</f>
        <v>#DIV/0!</v>
      </c>
      <c r="N26" s="1182"/>
      <c r="O26" s="1228"/>
      <c r="P26" s="1303"/>
    </row>
    <row r="27" spans="1:16" ht="17.25" hidden="1" customHeight="1">
      <c r="A27" s="1170"/>
      <c r="B27" s="1295"/>
      <c r="C27" s="1188"/>
      <c r="D27" s="1181" t="s">
        <v>977</v>
      </c>
      <c r="E27" s="1182"/>
      <c r="F27" s="1812">
        <f>採点LR1!G42</f>
        <v>0</v>
      </c>
      <c r="G27" s="1199"/>
      <c r="H27" s="1199"/>
      <c r="I27" s="1802">
        <f>CO2データ!F214</f>
        <v>5.09</v>
      </c>
      <c r="J27" s="1199"/>
      <c r="K27" s="1199"/>
      <c r="L27" s="1803"/>
      <c r="M27" s="1813" t="e">
        <f t="shared" ref="M27:M28" si="0">F27*I27/$F$23/$M$22</f>
        <v>#DIV/0!</v>
      </c>
      <c r="N27" s="1182"/>
      <c r="O27" s="1228"/>
      <c r="P27" s="1303"/>
    </row>
    <row r="28" spans="1:16" ht="17.25" hidden="1" customHeight="1">
      <c r="A28" s="1170"/>
      <c r="B28" s="1295"/>
      <c r="C28" s="1188"/>
      <c r="D28" s="1181" t="s">
        <v>1019</v>
      </c>
      <c r="E28" s="1182"/>
      <c r="F28" s="1812">
        <f>採点LR1!G43</f>
        <v>0</v>
      </c>
      <c r="G28" s="1199"/>
      <c r="H28" s="1199"/>
      <c r="I28" s="1802">
        <f>CO2データ!F215</f>
        <v>5.09</v>
      </c>
      <c r="J28" s="1199"/>
      <c r="K28" s="1199"/>
      <c r="L28" s="1803"/>
      <c r="M28" s="1813" t="e">
        <f t="shared" si="0"/>
        <v>#DIV/0!</v>
      </c>
      <c r="N28" s="1182"/>
      <c r="O28" s="1228"/>
      <c r="P28" s="1303"/>
    </row>
    <row r="29" spans="1:16" ht="17.25" hidden="1" customHeight="1" thickBot="1">
      <c r="A29" s="1170"/>
      <c r="B29" s="1295"/>
      <c r="C29" s="1188"/>
      <c r="D29" s="1181"/>
      <c r="E29" s="1181"/>
      <c r="F29" s="1181"/>
      <c r="G29" s="1199"/>
      <c r="H29" s="1199"/>
      <c r="I29" s="1199"/>
      <c r="J29" s="1199"/>
      <c r="K29" s="1199"/>
      <c r="L29" s="1199"/>
      <c r="M29" s="1201"/>
      <c r="N29" s="1182"/>
      <c r="O29" s="1228"/>
      <c r="P29" s="1303"/>
    </row>
    <row r="30" spans="1:16" ht="18" customHeight="1" thickBot="1">
      <c r="A30" s="1170"/>
      <c r="B30" s="1295"/>
      <c r="C30" s="1365" t="s">
        <v>1034</v>
      </c>
      <c r="D30" s="1181"/>
      <c r="E30" s="1182"/>
      <c r="F30" s="1182"/>
      <c r="G30" s="1182"/>
      <c r="H30" s="1199"/>
      <c r="I30" s="1199"/>
      <c r="J30" s="1199"/>
      <c r="K30" s="1199"/>
      <c r="L30" s="1229"/>
      <c r="M30" s="1230" t="e">
        <f>M11*G11+M12*G12+M13*G13+SUM(M25:M28)</f>
        <v>#DIV/0!</v>
      </c>
      <c r="N30" s="1182"/>
      <c r="O30" s="1228"/>
      <c r="P30" s="1230">
        <f>P11*G11+P12*G12+P13*G13</f>
        <v>6.13</v>
      </c>
    </row>
    <row r="31" spans="1:16" ht="13.5">
      <c r="A31" s="1170"/>
      <c r="B31" s="1295"/>
      <c r="C31" s="1182"/>
      <c r="D31" s="1181"/>
      <c r="E31" s="1182"/>
      <c r="F31" s="1182"/>
      <c r="G31" s="1182"/>
      <c r="H31" s="1199"/>
      <c r="I31" s="1199"/>
      <c r="J31" s="1199"/>
      <c r="K31" s="1199"/>
      <c r="L31" s="1229"/>
      <c r="M31" s="1231"/>
      <c r="N31" s="1182"/>
      <c r="O31" s="1228"/>
      <c r="P31" s="1303"/>
    </row>
    <row r="32" spans="1:16" ht="15.75" hidden="1" customHeight="1">
      <c r="A32" s="1170"/>
      <c r="B32" s="1295"/>
      <c r="C32" s="1182"/>
      <c r="D32" s="1181"/>
      <c r="E32" s="1182"/>
      <c r="F32" s="1182" t="s">
        <v>336</v>
      </c>
      <c r="G32" s="1199"/>
      <c r="H32" s="1199"/>
      <c r="I32" s="1232">
        <f>CO2データ!I267</f>
        <v>30</v>
      </c>
      <c r="J32" s="1232">
        <f>CO2データ!J267</f>
        <v>60</v>
      </c>
      <c r="K32" s="1232">
        <f>CO2データ!K267</f>
        <v>90</v>
      </c>
      <c r="L32" s="1219">
        <f>L37</f>
        <v>3</v>
      </c>
      <c r="M32" s="1233">
        <f>IF(L32&gt;=4.5,$K32,IF(L32&gt;=3.5,$J32,IF(L32&gt;=2.5,$I32,IF(L32&gt;=1.5,$H32,$G32))))</f>
        <v>30</v>
      </c>
      <c r="N32" s="1182"/>
      <c r="O32" s="1219">
        <v>3</v>
      </c>
      <c r="P32" s="1302">
        <f>CO2データ!I267</f>
        <v>30</v>
      </c>
    </row>
    <row r="33" spans="1:18" ht="16.5">
      <c r="A33" s="1170"/>
      <c r="B33" s="1695" t="s">
        <v>1043</v>
      </c>
      <c r="C33" s="1182"/>
      <c r="D33" s="1181"/>
      <c r="E33" s="1182"/>
      <c r="F33" s="1182"/>
      <c r="G33" s="1199"/>
      <c r="H33" s="1199"/>
      <c r="I33" s="1199"/>
      <c r="J33" s="1199"/>
      <c r="K33" s="1199"/>
      <c r="L33" s="1196"/>
      <c r="M33" s="1182"/>
      <c r="N33" s="1182"/>
      <c r="O33" s="1196"/>
      <c r="P33" s="1296"/>
    </row>
    <row r="34" spans="1:18" ht="15" thickBot="1">
      <c r="A34" s="1170"/>
      <c r="B34" s="1297"/>
      <c r="C34" s="1365" t="s">
        <v>1044</v>
      </c>
      <c r="D34" s="1181"/>
      <c r="E34" s="1182"/>
      <c r="F34" s="1182"/>
      <c r="G34" s="1199"/>
      <c r="H34" s="1199"/>
      <c r="I34" s="1199"/>
      <c r="J34" s="1199"/>
      <c r="K34" s="1199"/>
      <c r="L34" s="1196"/>
      <c r="M34" s="1202" t="s">
        <v>774</v>
      </c>
      <c r="N34" s="1182"/>
      <c r="O34" s="1196"/>
      <c r="P34" s="1298" t="s">
        <v>774</v>
      </c>
    </row>
    <row r="35" spans="1:18" ht="18" customHeight="1">
      <c r="A35" s="1170"/>
      <c r="B35" s="1295"/>
      <c r="C35" s="1182" t="s">
        <v>788</v>
      </c>
      <c r="D35" s="1181" t="s">
        <v>566</v>
      </c>
      <c r="E35" s="1182"/>
      <c r="F35" s="1182"/>
      <c r="G35" s="1199"/>
      <c r="H35" s="1199"/>
      <c r="I35" s="1182"/>
      <c r="J35" s="1199"/>
      <c r="K35" s="1202" t="s">
        <v>774</v>
      </c>
      <c r="L35" s="2199" t="s">
        <v>472</v>
      </c>
      <c r="M35" s="2200"/>
      <c r="N35" s="1199"/>
      <c r="O35" s="2201" t="s">
        <v>258</v>
      </c>
      <c r="P35" s="2202"/>
      <c r="Q35" s="990"/>
    </row>
    <row r="36" spans="1:18" ht="18" customHeight="1">
      <c r="A36" s="1170"/>
      <c r="B36" s="1295"/>
      <c r="C36" s="1193">
        <v>1</v>
      </c>
      <c r="D36" s="1213" t="s">
        <v>51</v>
      </c>
      <c r="E36" s="1214"/>
      <c r="F36" s="1214"/>
      <c r="G36" s="1226"/>
      <c r="H36" s="1199"/>
      <c r="I36" s="1190" t="s">
        <v>255</v>
      </c>
      <c r="J36" s="1190" t="s">
        <v>256</v>
      </c>
      <c r="K36" s="1191" t="s">
        <v>257</v>
      </c>
      <c r="L36" s="1288" t="s">
        <v>259</v>
      </c>
      <c r="M36" s="1289" t="s">
        <v>775</v>
      </c>
      <c r="N36" s="1182"/>
      <c r="O36" s="1288" t="s">
        <v>259</v>
      </c>
      <c r="P36" s="1289" t="s">
        <v>775</v>
      </c>
      <c r="Q36" s="990"/>
    </row>
    <row r="37" spans="1:18" ht="18" customHeight="1">
      <c r="A37" s="1170"/>
      <c r="B37" s="1295"/>
      <c r="C37" s="1197"/>
      <c r="D37" s="1215">
        <v>1.1000000000000001</v>
      </c>
      <c r="E37" s="1214" t="s">
        <v>226</v>
      </c>
      <c r="F37" s="1216" t="s">
        <v>353</v>
      </c>
      <c r="G37" s="1217">
        <f>G11</f>
        <v>1</v>
      </c>
      <c r="H37" s="1199"/>
      <c r="I37" s="1218">
        <f>VLOOKUP($R37,CO2データ!$H$58:$Q$105,2)</f>
        <v>2.37</v>
      </c>
      <c r="J37" s="1218">
        <f>VLOOKUP($R37,CO2データ!$H$58:$Q$105,3)</f>
        <v>4.0199999999999996</v>
      </c>
      <c r="K37" s="1278">
        <f>VLOOKUP($R37,CO2データ!$H$58:$Q$105,4)</f>
        <v>4.9400000000000004</v>
      </c>
      <c r="L37" s="1195">
        <f>スコア!S31</f>
        <v>3</v>
      </c>
      <c r="M37" s="1279">
        <f>IF(L37&gt;=4.5,$K37,IF(L37&gt;=3.5,$J37,IF(L37&gt;=2.5,$I37,IF(L37&gt;=1.5,$H37,$G37))))</f>
        <v>2.37</v>
      </c>
      <c r="N37" s="1182"/>
      <c r="O37" s="1195">
        <v>3</v>
      </c>
      <c r="P37" s="1207">
        <f>CO2データ!I88</f>
        <v>2.37</v>
      </c>
      <c r="R37" s="1007">
        <f>L14*100+L15*10+L17</f>
        <v>333</v>
      </c>
    </row>
    <row r="38" spans="1:18" ht="18" customHeight="1">
      <c r="A38" s="1170"/>
      <c r="B38" s="1295"/>
      <c r="C38" s="1197"/>
      <c r="D38" s="1220"/>
      <c r="E38" s="1182"/>
      <c r="F38" s="1221" t="s">
        <v>354</v>
      </c>
      <c r="G38" s="1217">
        <f>G12</f>
        <v>0</v>
      </c>
      <c r="H38" s="1199"/>
      <c r="I38" s="1218">
        <f>VLOOKUP($R38,CO2データ!$H$58:$Q$105,5)</f>
        <v>2.7</v>
      </c>
      <c r="J38" s="1218">
        <f>VLOOKUP($R38,CO2データ!$H$58:$Q$105,6)</f>
        <v>4.79</v>
      </c>
      <c r="K38" s="1278">
        <f>VLOOKUP($R38,CO2データ!$H$58:$Q$105,7)</f>
        <v>5.8699999999999992</v>
      </c>
      <c r="L38" s="1195">
        <f>L37</f>
        <v>3</v>
      </c>
      <c r="M38" s="1279">
        <f>IF(L38&gt;=4.5,$K38,IF(L38&gt;=3.5,$J38,IF(L38&gt;=2.5,$I38,IF(L38&gt;=1.5,$H38,$G38))))</f>
        <v>2.7</v>
      </c>
      <c r="N38" s="1182"/>
      <c r="O38" s="1195">
        <v>3</v>
      </c>
      <c r="P38" s="1234">
        <f>CO2データ!L88</f>
        <v>2.7</v>
      </c>
      <c r="R38" s="988">
        <f>R37</f>
        <v>333</v>
      </c>
    </row>
    <row r="39" spans="1:18" ht="18" customHeight="1" thickBot="1">
      <c r="A39" s="1170"/>
      <c r="B39" s="1295"/>
      <c r="C39" s="1198"/>
      <c r="D39" s="1222"/>
      <c r="E39" s="1223"/>
      <c r="F39" s="1224" t="s">
        <v>355</v>
      </c>
      <c r="G39" s="1217">
        <f>G13</f>
        <v>0</v>
      </c>
      <c r="H39" s="1199"/>
      <c r="I39" s="1218">
        <f>VLOOKUP($R39,CO2データ!$H$58:$Q$105,8)</f>
        <v>2.6</v>
      </c>
      <c r="J39" s="1218">
        <f>VLOOKUP($R39,CO2データ!$H$58:$Q$105,9)</f>
        <v>3.6799999999999997</v>
      </c>
      <c r="K39" s="1278">
        <f>VLOOKUP($R39,CO2データ!$H$58:$Q$105,10)</f>
        <v>4.07</v>
      </c>
      <c r="L39" s="1200">
        <f>L37</f>
        <v>3</v>
      </c>
      <c r="M39" s="1280">
        <f>IF(L39&gt;=4.5,$K39,IF(L39&gt;=3.5,$J39,IF(L39&gt;=2.5,$I39,IF(L39&gt;=1.5,$H39,$G39))))</f>
        <v>2.6</v>
      </c>
      <c r="N39" s="1182"/>
      <c r="O39" s="1200">
        <v>3</v>
      </c>
      <c r="P39" s="1281">
        <f>CO2データ!O88</f>
        <v>2.6</v>
      </c>
      <c r="R39" s="988">
        <f>R38</f>
        <v>333</v>
      </c>
    </row>
    <row r="40" spans="1:18" ht="14.25" thickBot="1">
      <c r="A40" s="1170"/>
      <c r="B40" s="1295"/>
      <c r="C40" s="1182"/>
      <c r="D40" s="1181"/>
      <c r="E40" s="1182"/>
      <c r="F40" s="1182"/>
      <c r="G40" s="1199"/>
      <c r="H40" s="1199"/>
      <c r="I40" s="1199"/>
      <c r="J40" s="1199"/>
      <c r="K40" s="1199"/>
      <c r="L40" s="1199"/>
      <c r="M40" s="1201"/>
      <c r="N40" s="1182"/>
      <c r="O40" s="1182"/>
      <c r="P40" s="1303"/>
    </row>
    <row r="41" spans="1:18" ht="15" hidden="1" thickBot="1">
      <c r="A41" s="1170"/>
      <c r="B41" s="1295"/>
      <c r="C41" s="1188" t="s">
        <v>1018</v>
      </c>
      <c r="D41" s="1181"/>
      <c r="E41" s="1182"/>
      <c r="F41" s="1182"/>
      <c r="G41" s="1199"/>
      <c r="H41" s="1199"/>
      <c r="I41" s="1199"/>
      <c r="J41" s="1199"/>
      <c r="K41" s="1199"/>
      <c r="L41" s="1199"/>
      <c r="M41" s="1201"/>
      <c r="N41" s="1182"/>
      <c r="O41" s="1182"/>
      <c r="P41" s="1303"/>
    </row>
    <row r="42" spans="1:18" ht="15" hidden="1" customHeight="1">
      <c r="A42" s="1170"/>
      <c r="B42" s="1295"/>
      <c r="C42" s="1188"/>
      <c r="D42" s="1181" t="s">
        <v>1025</v>
      </c>
      <c r="E42" s="1182"/>
      <c r="F42" s="1802">
        <f>CO2データ!L212</f>
        <v>20</v>
      </c>
      <c r="G42" s="1804" t="s">
        <v>1021</v>
      </c>
      <c r="H42" s="1199"/>
      <c r="I42" s="1199"/>
      <c r="J42" s="1199"/>
      <c r="K42" s="1199"/>
      <c r="L42" s="1199"/>
      <c r="M42" s="1201"/>
      <c r="N42" s="1182"/>
      <c r="O42" s="1182"/>
      <c r="P42" s="1303"/>
    </row>
    <row r="43" spans="1:18" ht="15" hidden="1" thickBot="1">
      <c r="A43" s="1170"/>
      <c r="B43" s="1295"/>
      <c r="C43" s="1182"/>
      <c r="D43" s="1181"/>
      <c r="E43" s="1182"/>
      <c r="F43" s="1182" t="s">
        <v>1030</v>
      </c>
      <c r="G43" s="1199"/>
      <c r="H43" s="1199"/>
      <c r="I43" s="1803" t="s">
        <v>1020</v>
      </c>
      <c r="J43" s="1803" t="s">
        <v>971</v>
      </c>
      <c r="K43" s="1803" t="s">
        <v>972</v>
      </c>
      <c r="L43" s="1199"/>
      <c r="M43" s="1202" t="s">
        <v>774</v>
      </c>
      <c r="N43" s="1182"/>
      <c r="O43" s="1182"/>
      <c r="P43" s="1303"/>
    </row>
    <row r="44" spans="1:18" ht="14.25" hidden="1" thickBot="1">
      <c r="A44" s="1170"/>
      <c r="B44" s="1295"/>
      <c r="C44" s="1182"/>
      <c r="D44" s="1181" t="s">
        <v>973</v>
      </c>
      <c r="E44" s="1182"/>
      <c r="F44" s="1812">
        <f>採点LR1!G40</f>
        <v>0</v>
      </c>
      <c r="G44" s="1199"/>
      <c r="H44" s="1199"/>
      <c r="I44" s="1802">
        <f>CO2データ!F212</f>
        <v>10.99</v>
      </c>
      <c r="J44" s="1217">
        <f>ROUNDDOWN($M$22/$F$42,0)</f>
        <v>1</v>
      </c>
      <c r="K44" s="1232">
        <f>F44*I44*J44</f>
        <v>0</v>
      </c>
      <c r="L44" s="1803" t="s">
        <v>1032</v>
      </c>
      <c r="M44" s="1813" t="e">
        <f>K44/$M$22/$F$23</f>
        <v>#DIV/0!</v>
      </c>
      <c r="N44" s="1182"/>
      <c r="O44" s="1182"/>
      <c r="P44" s="1303"/>
    </row>
    <row r="45" spans="1:18" ht="14.25" hidden="1" thickBot="1">
      <c r="A45" s="1170"/>
      <c r="B45" s="1295"/>
      <c r="C45" s="1182"/>
      <c r="D45" s="1181" t="s">
        <v>976</v>
      </c>
      <c r="E45" s="1182"/>
      <c r="F45" s="1812">
        <f>採点LR1!G41</f>
        <v>0</v>
      </c>
      <c r="G45" s="1199"/>
      <c r="H45" s="1199"/>
      <c r="I45" s="1802">
        <f>CO2データ!F213</f>
        <v>5.09</v>
      </c>
      <c r="J45" s="1217">
        <f>ROUNDDOWN($M$22/$F$42,0)</f>
        <v>1</v>
      </c>
      <c r="K45" s="1232">
        <f t="shared" ref="K45:K47" si="1">F45*I45*J45</f>
        <v>0</v>
      </c>
      <c r="L45" s="1803" t="s">
        <v>1032</v>
      </c>
      <c r="M45" s="1813" t="e">
        <f t="shared" ref="M45:M47" si="2">K45/$M$22/$F$23</f>
        <v>#DIV/0!</v>
      </c>
      <c r="N45" s="1182"/>
      <c r="O45" s="1182"/>
      <c r="P45" s="1303"/>
    </row>
    <row r="46" spans="1:18" ht="14.25" hidden="1" thickBot="1">
      <c r="A46" s="1170"/>
      <c r="B46" s="1295"/>
      <c r="C46" s="1182"/>
      <c r="D46" s="1181" t="s">
        <v>977</v>
      </c>
      <c r="E46" s="1182"/>
      <c r="F46" s="1812">
        <f>採点LR1!G42</f>
        <v>0</v>
      </c>
      <c r="G46" s="1199"/>
      <c r="H46" s="1199"/>
      <c r="I46" s="1802">
        <f>CO2データ!F214</f>
        <v>5.09</v>
      </c>
      <c r="J46" s="1217">
        <f>ROUNDDOWN($M$22/$F$42,0)</f>
        <v>1</v>
      </c>
      <c r="K46" s="1232">
        <f t="shared" si="1"/>
        <v>0</v>
      </c>
      <c r="L46" s="1803" t="s">
        <v>1032</v>
      </c>
      <c r="M46" s="1813" t="e">
        <f t="shared" si="2"/>
        <v>#DIV/0!</v>
      </c>
      <c r="N46" s="1182"/>
      <c r="O46" s="1182"/>
      <c r="P46" s="1303"/>
    </row>
    <row r="47" spans="1:18" ht="14.25" hidden="1" thickBot="1">
      <c r="A47" s="1170"/>
      <c r="B47" s="1295"/>
      <c r="C47" s="1182"/>
      <c r="D47" s="1181" t="s">
        <v>1019</v>
      </c>
      <c r="E47" s="1182"/>
      <c r="F47" s="1812">
        <f>採点LR1!G43</f>
        <v>0</v>
      </c>
      <c r="G47" s="1199"/>
      <c r="H47" s="1199"/>
      <c r="I47" s="1802">
        <f>CO2データ!F215</f>
        <v>5.09</v>
      </c>
      <c r="J47" s="1217">
        <f>ROUNDDOWN($M$22/$F$42,0)</f>
        <v>1</v>
      </c>
      <c r="K47" s="1232">
        <f t="shared" si="1"/>
        <v>0</v>
      </c>
      <c r="L47" s="1803" t="s">
        <v>1032</v>
      </c>
      <c r="M47" s="1813" t="e">
        <f t="shared" si="2"/>
        <v>#DIV/0!</v>
      </c>
      <c r="N47" s="1182"/>
      <c r="O47" s="1182"/>
      <c r="P47" s="1303"/>
    </row>
    <row r="48" spans="1:18" ht="14.25" hidden="1" thickBot="1">
      <c r="A48" s="1170"/>
      <c r="B48" s="1295"/>
      <c r="C48" s="1182"/>
      <c r="D48" s="1181"/>
      <c r="E48" s="1182"/>
      <c r="F48" s="1182"/>
      <c r="G48" s="1199"/>
      <c r="H48" s="1199"/>
      <c r="I48" s="1199"/>
      <c r="J48" s="1199"/>
      <c r="K48" s="1199"/>
      <c r="L48" s="1199"/>
      <c r="M48" s="1201"/>
      <c r="N48" s="1182"/>
      <c r="O48" s="1182"/>
      <c r="P48" s="1301"/>
    </row>
    <row r="49" spans="1:256" ht="18" customHeight="1" thickBot="1">
      <c r="A49" s="1170"/>
      <c r="B49" s="1295"/>
      <c r="C49" s="1365" t="s">
        <v>1035</v>
      </c>
      <c r="D49" s="1181"/>
      <c r="E49" s="1182"/>
      <c r="F49" s="1182"/>
      <c r="G49" s="1182"/>
      <c r="H49" s="1199"/>
      <c r="I49" s="1199"/>
      <c r="J49" s="1199"/>
      <c r="K49" s="1199"/>
      <c r="L49" s="1206"/>
      <c r="M49" s="1230" t="e">
        <f>M37*G37+M38*G38+M39*G39+SUM(M44:M47)</f>
        <v>#DIV/0!</v>
      </c>
      <c r="N49" s="1182"/>
      <c r="O49" s="1182"/>
      <c r="P49" s="1230">
        <f>P37*G37+P38*G38+P39*G39</f>
        <v>2.37</v>
      </c>
    </row>
    <row r="50" spans="1:256" ht="18" customHeight="1">
      <c r="A50" s="1170"/>
      <c r="B50" s="1295"/>
      <c r="C50" s="1182"/>
      <c r="D50" s="1181"/>
      <c r="E50" s="1182"/>
      <c r="F50" s="1182"/>
      <c r="G50" s="1182"/>
      <c r="H50" s="1199"/>
      <c r="I50" s="1199"/>
      <c r="J50" s="1199"/>
      <c r="K50" s="1199"/>
      <c r="L50" s="1206"/>
      <c r="M50" s="1231"/>
      <c r="N50" s="1182"/>
      <c r="O50" s="1182"/>
      <c r="P50" s="1303"/>
    </row>
    <row r="51" spans="1:256" ht="18" customHeight="1" thickBot="1">
      <c r="A51" s="1170"/>
      <c r="B51" s="1695" t="s">
        <v>1045</v>
      </c>
      <c r="C51" s="1185"/>
      <c r="D51" s="1186"/>
      <c r="E51" s="1185"/>
      <c r="F51" s="1182"/>
      <c r="G51" s="1183"/>
      <c r="H51" s="1183"/>
      <c r="I51" s="1183"/>
      <c r="J51" s="1183"/>
      <c r="K51" s="1183"/>
      <c r="L51" s="1825"/>
      <c r="M51" s="1202" t="s">
        <v>774</v>
      </c>
      <c r="N51" s="1182"/>
      <c r="O51" s="1196"/>
      <c r="P51" s="1298" t="s">
        <v>774</v>
      </c>
    </row>
    <row r="52" spans="1:256" ht="16.5" customHeight="1" thickBot="1">
      <c r="A52" s="1866"/>
      <c r="B52" s="1695"/>
      <c r="C52" s="1365" t="s">
        <v>668</v>
      </c>
      <c r="D52" s="1696"/>
      <c r="E52" s="1696"/>
      <c r="F52" s="1697"/>
      <c r="G52" s="1696"/>
      <c r="H52" s="1696"/>
      <c r="I52" s="1696"/>
      <c r="J52" s="1696"/>
      <c r="K52" s="1696"/>
      <c r="L52" s="1698" t="s">
        <v>669</v>
      </c>
      <c r="M52" s="1699" t="e">
        <f>IF(採点LR1!J29=採点LR1!T28,'CO2計算 (旧)'!M55,'CO2計算 (旧)'!M59)+'CO2計算 (旧)'!M64</f>
        <v>#VALUE!</v>
      </c>
      <c r="N52" s="1182"/>
      <c r="O52" s="1366" t="s">
        <v>670</v>
      </c>
      <c r="P52" s="1699" t="e">
        <f>IF(採点LR1!J29=採点LR1!T28,'CO2計算 (旧)'!P55,'CO2計算 (旧)'!P59)+'CO2計算 (旧)'!P64</f>
        <v>#VALUE!</v>
      </c>
      <c r="Q52" s="1866"/>
      <c r="R52" s="1866"/>
      <c r="S52" s="1866"/>
      <c r="T52" s="1866"/>
      <c r="U52" s="1866"/>
      <c r="V52" s="1866"/>
      <c r="W52" s="1866"/>
      <c r="X52" s="1866"/>
      <c r="Y52" s="1866"/>
      <c r="Z52" s="1866"/>
      <c r="AA52" s="1866"/>
      <c r="AB52" s="1866"/>
      <c r="AC52" s="1866"/>
      <c r="AD52" s="1866"/>
      <c r="AE52" s="1866"/>
      <c r="AF52" s="1866"/>
      <c r="AG52" s="1866"/>
      <c r="AH52" s="1866"/>
      <c r="AI52" s="1866"/>
      <c r="AJ52" s="1866"/>
      <c r="AK52" s="1866"/>
      <c r="AL52" s="1866"/>
      <c r="AM52" s="1866"/>
      <c r="AN52" s="1866"/>
      <c r="AO52" s="1866"/>
      <c r="AP52" s="1866"/>
      <c r="AQ52" s="1866"/>
      <c r="AR52" s="1866"/>
      <c r="AS52" s="1866"/>
      <c r="AT52" s="1866"/>
      <c r="AU52" s="1866"/>
      <c r="AV52" s="1866"/>
      <c r="AW52" s="1866"/>
      <c r="AX52" s="1866"/>
      <c r="AY52" s="1866"/>
      <c r="AZ52" s="1866"/>
      <c r="BA52" s="1866"/>
      <c r="BB52" s="1866"/>
      <c r="BC52" s="1866"/>
      <c r="BD52" s="1866"/>
      <c r="BE52" s="1866"/>
      <c r="BF52" s="1866"/>
      <c r="BG52" s="1866"/>
      <c r="BH52" s="1866"/>
      <c r="BI52" s="1866"/>
      <c r="BJ52" s="1866"/>
      <c r="BK52" s="1866"/>
      <c r="BL52" s="1866"/>
      <c r="BM52" s="1866"/>
      <c r="BN52" s="1866"/>
      <c r="BO52" s="1866"/>
      <c r="BP52" s="1866"/>
      <c r="BQ52" s="1866"/>
      <c r="BR52" s="1866"/>
      <c r="BS52" s="1866"/>
      <c r="BT52" s="1866"/>
      <c r="BU52" s="1866"/>
      <c r="BV52" s="1866"/>
      <c r="BW52" s="1866"/>
      <c r="BX52" s="1866"/>
      <c r="BY52" s="1866"/>
      <c r="BZ52" s="1866"/>
      <c r="CA52" s="1866"/>
      <c r="CB52" s="1866"/>
      <c r="CC52" s="1866"/>
      <c r="CD52" s="1866"/>
      <c r="CE52" s="1866"/>
      <c r="CF52" s="1866"/>
      <c r="CG52" s="1866"/>
      <c r="CH52" s="1866"/>
      <c r="CI52" s="1866"/>
      <c r="CJ52" s="1866"/>
      <c r="CK52" s="1866"/>
      <c r="CL52" s="1866"/>
      <c r="CM52" s="1866"/>
      <c r="CN52" s="1866"/>
      <c r="CO52" s="1866"/>
      <c r="CP52" s="1866"/>
      <c r="CQ52" s="1866"/>
      <c r="CR52" s="1866"/>
      <c r="CS52" s="1866"/>
      <c r="CT52" s="1866"/>
      <c r="CU52" s="1866"/>
      <c r="CV52" s="1866"/>
      <c r="CW52" s="1866"/>
      <c r="CX52" s="1866"/>
      <c r="CY52" s="1866"/>
      <c r="CZ52" s="1866"/>
      <c r="DA52" s="1866"/>
      <c r="DB52" s="1866"/>
      <c r="DC52" s="1866"/>
      <c r="DD52" s="1866"/>
      <c r="DE52" s="1866"/>
      <c r="DF52" s="1866"/>
      <c r="DG52" s="1866"/>
      <c r="DH52" s="1866"/>
      <c r="DI52" s="1866"/>
      <c r="DJ52" s="1866"/>
      <c r="DK52" s="1866"/>
      <c r="DL52" s="1866"/>
      <c r="DM52" s="1866"/>
      <c r="DN52" s="1866"/>
      <c r="DO52" s="1866"/>
      <c r="DP52" s="1866"/>
      <c r="DQ52" s="1866"/>
      <c r="DR52" s="1866"/>
      <c r="DS52" s="1866"/>
      <c r="DT52" s="1866"/>
      <c r="DU52" s="1866"/>
      <c r="DV52" s="1866"/>
      <c r="DW52" s="1866"/>
      <c r="DX52" s="1866"/>
      <c r="DY52" s="1866"/>
      <c r="DZ52" s="1866"/>
      <c r="EA52" s="1866"/>
      <c r="EB52" s="1866"/>
      <c r="EC52" s="1866"/>
      <c r="ED52" s="1866"/>
      <c r="EE52" s="1866"/>
      <c r="EF52" s="1866"/>
      <c r="EG52" s="1866"/>
      <c r="EH52" s="1866"/>
      <c r="EI52" s="1866"/>
      <c r="EJ52" s="1866"/>
      <c r="EK52" s="1866"/>
      <c r="EL52" s="1866"/>
      <c r="EM52" s="1866"/>
      <c r="EN52" s="1866"/>
      <c r="EO52" s="1866"/>
      <c r="EP52" s="1866"/>
      <c r="EQ52" s="1866"/>
      <c r="ER52" s="1866"/>
      <c r="ES52" s="1866"/>
      <c r="ET52" s="1866"/>
      <c r="EU52" s="1866"/>
      <c r="EV52" s="1866"/>
      <c r="EW52" s="1866"/>
      <c r="EX52" s="1866"/>
      <c r="EY52" s="1866"/>
      <c r="EZ52" s="1866"/>
      <c r="FA52" s="1866"/>
      <c r="FB52" s="1866"/>
      <c r="FC52" s="1866"/>
      <c r="FD52" s="1866"/>
      <c r="FE52" s="1866"/>
      <c r="FF52" s="1866"/>
      <c r="FG52" s="1866"/>
      <c r="FH52" s="1866"/>
      <c r="FI52" s="1866"/>
      <c r="FJ52" s="1866"/>
      <c r="FK52" s="1866"/>
      <c r="FL52" s="1866"/>
      <c r="FM52" s="1866"/>
      <c r="FN52" s="1866"/>
      <c r="FO52" s="1866"/>
      <c r="FP52" s="1866"/>
      <c r="FQ52" s="1866"/>
      <c r="FR52" s="1866"/>
      <c r="FS52" s="1866"/>
      <c r="FT52" s="1866"/>
      <c r="FU52" s="1866"/>
      <c r="FV52" s="1866"/>
      <c r="FW52" s="1866"/>
      <c r="FX52" s="1866"/>
      <c r="FY52" s="1866"/>
      <c r="FZ52" s="1866"/>
      <c r="GA52" s="1866"/>
      <c r="GB52" s="1866"/>
      <c r="GC52" s="1866"/>
      <c r="GD52" s="1866"/>
      <c r="GE52" s="1866"/>
      <c r="GF52" s="1866"/>
      <c r="GG52" s="1866"/>
      <c r="GH52" s="1866"/>
      <c r="GI52" s="1866"/>
      <c r="GJ52" s="1866"/>
      <c r="GK52" s="1866"/>
      <c r="GL52" s="1866"/>
      <c r="GM52" s="1866"/>
      <c r="GN52" s="1866"/>
      <c r="GO52" s="1866"/>
      <c r="GP52" s="1866"/>
      <c r="GQ52" s="1866"/>
      <c r="GR52" s="1866"/>
      <c r="GS52" s="1866"/>
      <c r="GT52" s="1866"/>
      <c r="GU52" s="1866"/>
      <c r="GV52" s="1866"/>
      <c r="GW52" s="1866"/>
      <c r="GX52" s="1866"/>
      <c r="GY52" s="1866"/>
      <c r="GZ52" s="1866"/>
      <c r="HA52" s="1866"/>
      <c r="HB52" s="1866"/>
      <c r="HC52" s="1866"/>
      <c r="HD52" s="1866"/>
      <c r="HE52" s="1866"/>
      <c r="HF52" s="1866"/>
      <c r="HG52" s="1866"/>
      <c r="HH52" s="1866"/>
      <c r="HI52" s="1866"/>
      <c r="HJ52" s="1866"/>
      <c r="HK52" s="1866"/>
      <c r="HL52" s="1866"/>
      <c r="HM52" s="1866"/>
      <c r="HN52" s="1866"/>
      <c r="HO52" s="1866"/>
      <c r="HP52" s="1866"/>
      <c r="HQ52" s="1866"/>
      <c r="HR52" s="1866"/>
      <c r="HS52" s="1866"/>
      <c r="HT52" s="1866"/>
      <c r="HU52" s="1866"/>
      <c r="HV52" s="1866"/>
      <c r="HW52" s="1866"/>
      <c r="HX52" s="1866"/>
      <c r="HY52" s="1866"/>
      <c r="HZ52" s="1866"/>
      <c r="IA52" s="1866"/>
      <c r="IB52" s="1866"/>
      <c r="IC52" s="1866"/>
      <c r="ID52" s="1866"/>
      <c r="IE52" s="1866"/>
      <c r="IF52" s="1866"/>
      <c r="IG52" s="1866"/>
      <c r="IH52" s="1866"/>
      <c r="II52" s="1866"/>
      <c r="IJ52" s="1866"/>
      <c r="IK52" s="1866"/>
      <c r="IL52" s="1866"/>
      <c r="IM52" s="1866"/>
      <c r="IN52" s="1866"/>
      <c r="IO52" s="1866"/>
      <c r="IP52" s="1866"/>
      <c r="IQ52" s="1866"/>
      <c r="IR52" s="1866"/>
      <c r="IS52" s="1866"/>
      <c r="IT52" s="1866"/>
      <c r="IU52" s="1866"/>
      <c r="IV52" s="1866"/>
    </row>
    <row r="53" spans="1:256" ht="18" customHeight="1">
      <c r="A53" s="1866"/>
      <c r="B53" s="1695"/>
      <c r="C53" s="1365"/>
      <c r="D53" s="1696"/>
      <c r="E53" s="1696"/>
      <c r="F53" s="1696"/>
      <c r="G53" s="864"/>
      <c r="H53" s="1696"/>
      <c r="I53" s="1696" t="s">
        <v>1009</v>
      </c>
      <c r="J53" s="1696"/>
      <c r="K53" s="1696" t="s">
        <v>1136</v>
      </c>
      <c r="L53" s="1700"/>
      <c r="M53" s="1202"/>
      <c r="N53" s="1182"/>
      <c r="O53" s="1366"/>
      <c r="P53" s="1701"/>
      <c r="Q53" s="1866"/>
      <c r="R53" s="1866"/>
      <c r="S53" s="1866"/>
      <c r="T53" s="1866"/>
      <c r="U53" s="1866"/>
      <c r="V53" s="1866"/>
      <c r="W53" s="1866"/>
      <c r="X53" s="1866"/>
      <c r="Y53" s="1866"/>
      <c r="Z53" s="1866"/>
      <c r="AA53" s="1866"/>
      <c r="AB53" s="1866"/>
      <c r="AC53" s="1866"/>
      <c r="AD53" s="1866"/>
      <c r="AE53" s="1866"/>
      <c r="AF53" s="1866"/>
      <c r="AG53" s="1866"/>
      <c r="AH53" s="1866"/>
      <c r="AI53" s="1866"/>
      <c r="AJ53" s="1866"/>
      <c r="AK53" s="1866"/>
      <c r="AL53" s="1866"/>
      <c r="AM53" s="1866"/>
      <c r="AN53" s="1866"/>
      <c r="AO53" s="1866"/>
      <c r="AP53" s="1866"/>
      <c r="AQ53" s="1866"/>
      <c r="AR53" s="1866"/>
      <c r="AS53" s="1866"/>
      <c r="AT53" s="1866"/>
      <c r="AU53" s="1866"/>
      <c r="AV53" s="1866"/>
      <c r="AW53" s="1866"/>
      <c r="AX53" s="1866"/>
      <c r="AY53" s="1866"/>
      <c r="AZ53" s="1866"/>
      <c r="BA53" s="1866"/>
      <c r="BB53" s="1866"/>
      <c r="BC53" s="1866"/>
      <c r="BD53" s="1866"/>
      <c r="BE53" s="1866"/>
      <c r="BF53" s="1866"/>
      <c r="BG53" s="1866"/>
      <c r="BH53" s="1866"/>
      <c r="BI53" s="1866"/>
      <c r="BJ53" s="1866"/>
      <c r="BK53" s="1866"/>
      <c r="BL53" s="1866"/>
      <c r="BM53" s="1866"/>
      <c r="BN53" s="1866"/>
      <c r="BO53" s="1866"/>
      <c r="BP53" s="1866"/>
      <c r="BQ53" s="1866"/>
      <c r="BR53" s="1866"/>
      <c r="BS53" s="1866"/>
      <c r="BT53" s="1866"/>
      <c r="BU53" s="1866"/>
      <c r="BV53" s="1866"/>
      <c r="BW53" s="1866"/>
      <c r="BX53" s="1866"/>
      <c r="BY53" s="1866"/>
      <c r="BZ53" s="1866"/>
      <c r="CA53" s="1866"/>
      <c r="CB53" s="1866"/>
      <c r="CC53" s="1866"/>
      <c r="CD53" s="1866"/>
      <c r="CE53" s="1866"/>
      <c r="CF53" s="1866"/>
      <c r="CG53" s="1866"/>
      <c r="CH53" s="1866"/>
      <c r="CI53" s="1866"/>
      <c r="CJ53" s="1866"/>
      <c r="CK53" s="1866"/>
      <c r="CL53" s="1866"/>
      <c r="CM53" s="1866"/>
      <c r="CN53" s="1866"/>
      <c r="CO53" s="1866"/>
      <c r="CP53" s="1866"/>
      <c r="CQ53" s="1866"/>
      <c r="CR53" s="1866"/>
      <c r="CS53" s="1866"/>
      <c r="CT53" s="1866"/>
      <c r="CU53" s="1866"/>
      <c r="CV53" s="1866"/>
      <c r="CW53" s="1866"/>
      <c r="CX53" s="1866"/>
      <c r="CY53" s="1866"/>
      <c r="CZ53" s="1866"/>
      <c r="DA53" s="1866"/>
      <c r="DB53" s="1866"/>
      <c r="DC53" s="1866"/>
      <c r="DD53" s="1866"/>
      <c r="DE53" s="1866"/>
      <c r="DF53" s="1866"/>
      <c r="DG53" s="1866"/>
      <c r="DH53" s="1866"/>
      <c r="DI53" s="1866"/>
      <c r="DJ53" s="1866"/>
      <c r="DK53" s="1866"/>
      <c r="DL53" s="1866"/>
      <c r="DM53" s="1866"/>
      <c r="DN53" s="1866"/>
      <c r="DO53" s="1866"/>
      <c r="DP53" s="1866"/>
      <c r="DQ53" s="1866"/>
      <c r="DR53" s="1866"/>
      <c r="DS53" s="1866"/>
      <c r="DT53" s="1866"/>
      <c r="DU53" s="1866"/>
      <c r="DV53" s="1866"/>
      <c r="DW53" s="1866"/>
      <c r="DX53" s="1866"/>
      <c r="DY53" s="1866"/>
      <c r="DZ53" s="1866"/>
      <c r="EA53" s="1866"/>
      <c r="EB53" s="1866"/>
      <c r="EC53" s="1866"/>
      <c r="ED53" s="1866"/>
      <c r="EE53" s="1866"/>
      <c r="EF53" s="1866"/>
      <c r="EG53" s="1866"/>
      <c r="EH53" s="1866"/>
      <c r="EI53" s="1866"/>
      <c r="EJ53" s="1866"/>
      <c r="EK53" s="1866"/>
      <c r="EL53" s="1866"/>
      <c r="EM53" s="1866"/>
      <c r="EN53" s="1866"/>
      <c r="EO53" s="1866"/>
      <c r="EP53" s="1866"/>
      <c r="EQ53" s="1866"/>
      <c r="ER53" s="1866"/>
      <c r="ES53" s="1866"/>
      <c r="ET53" s="1866"/>
      <c r="EU53" s="1866"/>
      <c r="EV53" s="1866"/>
      <c r="EW53" s="1866"/>
      <c r="EX53" s="1866"/>
      <c r="EY53" s="1866"/>
      <c r="EZ53" s="1866"/>
      <c r="FA53" s="1866"/>
      <c r="FB53" s="1866"/>
      <c r="FC53" s="1866"/>
      <c r="FD53" s="1866"/>
      <c r="FE53" s="1866"/>
      <c r="FF53" s="1866"/>
      <c r="FG53" s="1866"/>
      <c r="FH53" s="1866"/>
      <c r="FI53" s="1866"/>
      <c r="FJ53" s="1866"/>
      <c r="FK53" s="1866"/>
      <c r="FL53" s="1866"/>
      <c r="FM53" s="1866"/>
      <c r="FN53" s="1866"/>
      <c r="FO53" s="1866"/>
      <c r="FP53" s="1866"/>
      <c r="FQ53" s="1866"/>
      <c r="FR53" s="1866"/>
      <c r="FS53" s="1866"/>
      <c r="FT53" s="1866"/>
      <c r="FU53" s="1866"/>
      <c r="FV53" s="1866"/>
      <c r="FW53" s="1866"/>
      <c r="FX53" s="1866"/>
      <c r="FY53" s="1866"/>
      <c r="FZ53" s="1866"/>
      <c r="GA53" s="1866"/>
      <c r="GB53" s="1866"/>
      <c r="GC53" s="1866"/>
      <c r="GD53" s="1866"/>
      <c r="GE53" s="1866"/>
      <c r="GF53" s="1866"/>
      <c r="GG53" s="1866"/>
      <c r="GH53" s="1866"/>
      <c r="GI53" s="1866"/>
      <c r="GJ53" s="1866"/>
      <c r="GK53" s="1866"/>
      <c r="GL53" s="1866"/>
      <c r="GM53" s="1866"/>
      <c r="GN53" s="1866"/>
      <c r="GO53" s="1866"/>
      <c r="GP53" s="1866"/>
      <c r="GQ53" s="1866"/>
      <c r="GR53" s="1866"/>
      <c r="GS53" s="1866"/>
      <c r="GT53" s="1866"/>
      <c r="GU53" s="1866"/>
      <c r="GV53" s="1866"/>
      <c r="GW53" s="1866"/>
      <c r="GX53" s="1866"/>
      <c r="GY53" s="1866"/>
      <c r="GZ53" s="1866"/>
      <c r="HA53" s="1866"/>
      <c r="HB53" s="1866"/>
      <c r="HC53" s="1866"/>
      <c r="HD53" s="1866"/>
      <c r="HE53" s="1866"/>
      <c r="HF53" s="1866"/>
      <c r="HG53" s="1866"/>
      <c r="HH53" s="1866"/>
      <c r="HI53" s="1866"/>
      <c r="HJ53" s="1866"/>
      <c r="HK53" s="1866"/>
      <c r="HL53" s="1866"/>
      <c r="HM53" s="1866"/>
      <c r="HN53" s="1866"/>
      <c r="HO53" s="1866"/>
      <c r="HP53" s="1866"/>
      <c r="HQ53" s="1866"/>
      <c r="HR53" s="1866"/>
      <c r="HS53" s="1866"/>
      <c r="HT53" s="1866"/>
      <c r="HU53" s="1866"/>
      <c r="HV53" s="1866"/>
      <c r="HW53" s="1866"/>
      <c r="HX53" s="1866"/>
      <c r="HY53" s="1866"/>
      <c r="HZ53" s="1866"/>
      <c r="IA53" s="1866"/>
      <c r="IB53" s="1866"/>
      <c r="IC53" s="1866"/>
      <c r="ID53" s="1866"/>
      <c r="IE53" s="1866"/>
      <c r="IF53" s="1866"/>
      <c r="IG53" s="1866"/>
      <c r="IH53" s="1866"/>
      <c r="II53" s="1866"/>
      <c r="IJ53" s="1866"/>
      <c r="IK53" s="1866"/>
      <c r="IL53" s="1866"/>
      <c r="IM53" s="1866"/>
      <c r="IN53" s="1866"/>
      <c r="IO53" s="1866"/>
      <c r="IP53" s="1866"/>
      <c r="IQ53" s="1866"/>
      <c r="IR53" s="1866"/>
      <c r="IS53" s="1866"/>
      <c r="IT53" s="1866"/>
      <c r="IU53" s="1866"/>
      <c r="IV53" s="1866"/>
    </row>
    <row r="54" spans="1:256" ht="18" customHeight="1">
      <c r="A54" s="1866"/>
      <c r="B54" s="1695"/>
      <c r="C54" s="1365"/>
      <c r="D54" s="1696"/>
      <c r="E54" s="1696"/>
      <c r="F54" s="1696"/>
      <c r="G54" s="1202" t="s">
        <v>1134</v>
      </c>
      <c r="H54" s="1696"/>
      <c r="I54" s="1793" t="s">
        <v>1010</v>
      </c>
      <c r="J54" s="1793" t="s">
        <v>1011</v>
      </c>
      <c r="K54" s="1181" t="s">
        <v>1012</v>
      </c>
      <c r="L54" s="1702"/>
      <c r="M54" s="1202" t="s">
        <v>774</v>
      </c>
      <c r="N54" s="1182"/>
      <c r="O54" s="1196"/>
      <c r="P54" s="1298" t="s">
        <v>774</v>
      </c>
      <c r="Q54" s="1866"/>
      <c r="R54" s="1866"/>
      <c r="S54" s="1866"/>
      <c r="T54" s="1866"/>
      <c r="U54" s="1866"/>
      <c r="V54" s="1866"/>
      <c r="W54" s="1866"/>
      <c r="X54" s="1866"/>
      <c r="Y54" s="1866"/>
      <c r="Z54" s="1866"/>
      <c r="AA54" s="1866"/>
      <c r="AB54" s="1866"/>
      <c r="AC54" s="1866"/>
      <c r="AD54" s="1866"/>
      <c r="AE54" s="1866"/>
      <c r="AF54" s="1866"/>
      <c r="AG54" s="1866"/>
      <c r="AH54" s="1866"/>
      <c r="AI54" s="1866"/>
      <c r="AJ54" s="1866"/>
      <c r="AK54" s="1866"/>
      <c r="AL54" s="1866"/>
      <c r="AM54" s="1866"/>
      <c r="AN54" s="1866"/>
      <c r="AO54" s="1866"/>
      <c r="AP54" s="1866"/>
      <c r="AQ54" s="1866"/>
      <c r="AR54" s="1866"/>
      <c r="AS54" s="1866"/>
      <c r="AT54" s="1866"/>
      <c r="AU54" s="1866"/>
      <c r="AV54" s="1866"/>
      <c r="AW54" s="1866"/>
      <c r="AX54" s="1866"/>
      <c r="AY54" s="1866"/>
      <c r="AZ54" s="1866"/>
      <c r="BA54" s="1866"/>
      <c r="BB54" s="1866"/>
      <c r="BC54" s="1866"/>
      <c r="BD54" s="1866"/>
      <c r="BE54" s="1866"/>
      <c r="BF54" s="1866"/>
      <c r="BG54" s="1866"/>
      <c r="BH54" s="1866"/>
      <c r="BI54" s="1866"/>
      <c r="BJ54" s="1866"/>
      <c r="BK54" s="1866"/>
      <c r="BL54" s="1866"/>
      <c r="BM54" s="1866"/>
      <c r="BN54" s="1866"/>
      <c r="BO54" s="1866"/>
      <c r="BP54" s="1866"/>
      <c r="BQ54" s="1866"/>
      <c r="BR54" s="1866"/>
      <c r="BS54" s="1866"/>
      <c r="BT54" s="1866"/>
      <c r="BU54" s="1866"/>
      <c r="BV54" s="1866"/>
      <c r="BW54" s="1866"/>
      <c r="BX54" s="1866"/>
      <c r="BY54" s="1866"/>
      <c r="BZ54" s="1866"/>
      <c r="CA54" s="1866"/>
      <c r="CB54" s="1866"/>
      <c r="CC54" s="1866"/>
      <c r="CD54" s="1866"/>
      <c r="CE54" s="1866"/>
      <c r="CF54" s="1866"/>
      <c r="CG54" s="1866"/>
      <c r="CH54" s="1866"/>
      <c r="CI54" s="1866"/>
      <c r="CJ54" s="1866"/>
      <c r="CK54" s="1866"/>
      <c r="CL54" s="1866"/>
      <c r="CM54" s="1866"/>
      <c r="CN54" s="1866"/>
      <c r="CO54" s="1866"/>
      <c r="CP54" s="1866"/>
      <c r="CQ54" s="1866"/>
      <c r="CR54" s="1866"/>
      <c r="CS54" s="1866"/>
      <c r="CT54" s="1866"/>
      <c r="CU54" s="1866"/>
      <c r="CV54" s="1866"/>
      <c r="CW54" s="1866"/>
      <c r="CX54" s="1866"/>
      <c r="CY54" s="1866"/>
      <c r="CZ54" s="1866"/>
      <c r="DA54" s="1866"/>
      <c r="DB54" s="1866"/>
      <c r="DC54" s="1866"/>
      <c r="DD54" s="1866"/>
      <c r="DE54" s="1866"/>
      <c r="DF54" s="1866"/>
      <c r="DG54" s="1866"/>
      <c r="DH54" s="1866"/>
      <c r="DI54" s="1866"/>
      <c r="DJ54" s="1866"/>
      <c r="DK54" s="1866"/>
      <c r="DL54" s="1866"/>
      <c r="DM54" s="1866"/>
      <c r="DN54" s="1866"/>
      <c r="DO54" s="1866"/>
      <c r="DP54" s="1866"/>
      <c r="DQ54" s="1866"/>
      <c r="DR54" s="1866"/>
      <c r="DS54" s="1866"/>
      <c r="DT54" s="1866"/>
      <c r="DU54" s="1866"/>
      <c r="DV54" s="1866"/>
      <c r="DW54" s="1866"/>
      <c r="DX54" s="1866"/>
      <c r="DY54" s="1866"/>
      <c r="DZ54" s="1866"/>
      <c r="EA54" s="1866"/>
      <c r="EB54" s="1866"/>
      <c r="EC54" s="1866"/>
      <c r="ED54" s="1866"/>
      <c r="EE54" s="1866"/>
      <c r="EF54" s="1866"/>
      <c r="EG54" s="1866"/>
      <c r="EH54" s="1866"/>
      <c r="EI54" s="1866"/>
      <c r="EJ54" s="1866"/>
      <c r="EK54" s="1866"/>
      <c r="EL54" s="1866"/>
      <c r="EM54" s="1866"/>
      <c r="EN54" s="1866"/>
      <c r="EO54" s="1866"/>
      <c r="EP54" s="1866"/>
      <c r="EQ54" s="1866"/>
      <c r="ER54" s="1866"/>
      <c r="ES54" s="1866"/>
      <c r="ET54" s="1866"/>
      <c r="EU54" s="1866"/>
      <c r="EV54" s="1866"/>
      <c r="EW54" s="1866"/>
      <c r="EX54" s="1866"/>
      <c r="EY54" s="1866"/>
      <c r="EZ54" s="1866"/>
      <c r="FA54" s="1866"/>
      <c r="FB54" s="1866"/>
      <c r="FC54" s="1866"/>
      <c r="FD54" s="1866"/>
      <c r="FE54" s="1866"/>
      <c r="FF54" s="1866"/>
      <c r="FG54" s="1866"/>
      <c r="FH54" s="1866"/>
      <c r="FI54" s="1866"/>
      <c r="FJ54" s="1866"/>
      <c r="FK54" s="1866"/>
      <c r="FL54" s="1866"/>
      <c r="FM54" s="1866"/>
      <c r="FN54" s="1866"/>
      <c r="FO54" s="1866"/>
      <c r="FP54" s="1866"/>
      <c r="FQ54" s="1866"/>
      <c r="FR54" s="1866"/>
      <c r="FS54" s="1866"/>
      <c r="FT54" s="1866"/>
      <c r="FU54" s="1866"/>
      <c r="FV54" s="1866"/>
      <c r="FW54" s="1866"/>
      <c r="FX54" s="1866"/>
      <c r="FY54" s="1866"/>
      <c r="FZ54" s="1866"/>
      <c r="GA54" s="1866"/>
      <c r="GB54" s="1866"/>
      <c r="GC54" s="1866"/>
      <c r="GD54" s="1866"/>
      <c r="GE54" s="1866"/>
      <c r="GF54" s="1866"/>
      <c r="GG54" s="1866"/>
      <c r="GH54" s="1866"/>
      <c r="GI54" s="1866"/>
      <c r="GJ54" s="1866"/>
      <c r="GK54" s="1866"/>
      <c r="GL54" s="1866"/>
      <c r="GM54" s="1866"/>
      <c r="GN54" s="1866"/>
      <c r="GO54" s="1866"/>
      <c r="GP54" s="1866"/>
      <c r="GQ54" s="1866"/>
      <c r="GR54" s="1866"/>
      <c r="GS54" s="1866"/>
      <c r="GT54" s="1866"/>
      <c r="GU54" s="1866"/>
      <c r="GV54" s="1866"/>
      <c r="GW54" s="1866"/>
      <c r="GX54" s="1866"/>
      <c r="GY54" s="1866"/>
      <c r="GZ54" s="1866"/>
      <c r="HA54" s="1866"/>
      <c r="HB54" s="1866"/>
      <c r="HC54" s="1866"/>
      <c r="HD54" s="1866"/>
      <c r="HE54" s="1866"/>
      <c r="HF54" s="1866"/>
      <c r="HG54" s="1866"/>
      <c r="HH54" s="1866"/>
      <c r="HI54" s="1866"/>
      <c r="HJ54" s="1866"/>
      <c r="HK54" s="1866"/>
      <c r="HL54" s="1866"/>
      <c r="HM54" s="1866"/>
      <c r="HN54" s="1866"/>
      <c r="HO54" s="1866"/>
      <c r="HP54" s="1866"/>
      <c r="HQ54" s="1866"/>
      <c r="HR54" s="1866"/>
      <c r="HS54" s="1866"/>
      <c r="HT54" s="1866"/>
      <c r="HU54" s="1866"/>
      <c r="HV54" s="1866"/>
      <c r="HW54" s="1866"/>
      <c r="HX54" s="1866"/>
      <c r="HY54" s="1866"/>
      <c r="HZ54" s="1866"/>
      <c r="IA54" s="1866"/>
      <c r="IB54" s="1866"/>
      <c r="IC54" s="1866"/>
      <c r="ID54" s="1866"/>
      <c r="IE54" s="1866"/>
      <c r="IF54" s="1866"/>
      <c r="IG54" s="1866"/>
      <c r="IH54" s="1866"/>
      <c r="II54" s="1866"/>
      <c r="IJ54" s="1866"/>
      <c r="IK54" s="1866"/>
      <c r="IL54" s="1866"/>
      <c r="IM54" s="1866"/>
      <c r="IN54" s="1866"/>
      <c r="IO54" s="1866"/>
      <c r="IP54" s="1866"/>
      <c r="IQ54" s="1866"/>
      <c r="IR54" s="1866"/>
      <c r="IS54" s="1866"/>
      <c r="IT54" s="1866"/>
      <c r="IU54" s="1866"/>
      <c r="IV54" s="1866"/>
    </row>
    <row r="55" spans="1:256" ht="18" customHeight="1">
      <c r="A55" s="1866"/>
      <c r="B55" s="1695"/>
      <c r="C55" s="1365"/>
      <c r="D55" s="1696" t="s">
        <v>1137</v>
      </c>
      <c r="E55" s="1703"/>
      <c r="F55" s="1707" t="s">
        <v>1013</v>
      </c>
      <c r="G55" s="1719">
        <f>メイン!C22</f>
        <v>0</v>
      </c>
      <c r="H55" s="1696"/>
      <c r="I55" s="1858">
        <f>採点LR1!H17</f>
        <v>70782</v>
      </c>
      <c r="J55" s="1859">
        <f>採点LR1!H19-採点LR1!H20-採点LR1!H21</f>
        <v>58811</v>
      </c>
      <c r="K55" s="1704" t="e">
        <f>CO2データ!K236</f>
        <v>#VALUE!</v>
      </c>
      <c r="L55" s="1705"/>
      <c r="M55" s="1719" t="e">
        <f>J55*K55/G55</f>
        <v>#VALUE!</v>
      </c>
      <c r="N55" s="1182"/>
      <c r="O55" s="1366"/>
      <c r="P55" s="1794" t="e">
        <f>I55*K55/G55</f>
        <v>#VALUE!</v>
      </c>
      <c r="Q55" s="1866"/>
      <c r="R55" s="1866"/>
      <c r="S55" s="1866"/>
      <c r="T55" s="1866"/>
      <c r="U55" s="1866"/>
      <c r="V55" s="1866"/>
      <c r="W55" s="1866"/>
      <c r="X55" s="1866"/>
      <c r="Y55" s="1866"/>
      <c r="Z55" s="1866"/>
      <c r="AA55" s="1866"/>
      <c r="AB55" s="1866"/>
      <c r="AC55" s="1866"/>
      <c r="AD55" s="1866"/>
      <c r="AE55" s="1866"/>
      <c r="AF55" s="1866"/>
      <c r="AG55" s="1866"/>
      <c r="AH55" s="1866"/>
      <c r="AI55" s="1866"/>
      <c r="AJ55" s="1866"/>
      <c r="AK55" s="1866"/>
      <c r="AL55" s="1866"/>
      <c r="AM55" s="1866"/>
      <c r="AN55" s="1866"/>
      <c r="AO55" s="1866"/>
      <c r="AP55" s="1866"/>
      <c r="AQ55" s="1866"/>
      <c r="AR55" s="1866"/>
      <c r="AS55" s="1866"/>
      <c r="AT55" s="1866"/>
      <c r="AU55" s="1866"/>
      <c r="AV55" s="1866"/>
      <c r="AW55" s="1866"/>
      <c r="AX55" s="1866"/>
      <c r="AY55" s="1866"/>
      <c r="AZ55" s="1866"/>
      <c r="BA55" s="1866"/>
      <c r="BB55" s="1866"/>
      <c r="BC55" s="1866"/>
      <c r="BD55" s="1866"/>
      <c r="BE55" s="1866"/>
      <c r="BF55" s="1866"/>
      <c r="BG55" s="1866"/>
      <c r="BH55" s="1866"/>
      <c r="BI55" s="1866"/>
      <c r="BJ55" s="1866"/>
      <c r="BK55" s="1866"/>
      <c r="BL55" s="1866"/>
      <c r="BM55" s="1866"/>
      <c r="BN55" s="1866"/>
      <c r="BO55" s="1866"/>
      <c r="BP55" s="1866"/>
      <c r="BQ55" s="1866"/>
      <c r="BR55" s="1866"/>
      <c r="BS55" s="1866"/>
      <c r="BT55" s="1866"/>
      <c r="BU55" s="1866"/>
      <c r="BV55" s="1866"/>
      <c r="BW55" s="1866"/>
      <c r="BX55" s="1866"/>
      <c r="BY55" s="1866"/>
      <c r="BZ55" s="1866"/>
      <c r="CA55" s="1866"/>
      <c r="CB55" s="1866"/>
      <c r="CC55" s="1866"/>
      <c r="CD55" s="1866"/>
      <c r="CE55" s="1866"/>
      <c r="CF55" s="1866"/>
      <c r="CG55" s="1866"/>
      <c r="CH55" s="1866"/>
      <c r="CI55" s="1866"/>
      <c r="CJ55" s="1866"/>
      <c r="CK55" s="1866"/>
      <c r="CL55" s="1866"/>
      <c r="CM55" s="1866"/>
      <c r="CN55" s="1866"/>
      <c r="CO55" s="1866"/>
      <c r="CP55" s="1866"/>
      <c r="CQ55" s="1866"/>
      <c r="CR55" s="1866"/>
      <c r="CS55" s="1866"/>
      <c r="CT55" s="1866"/>
      <c r="CU55" s="1866"/>
      <c r="CV55" s="1866"/>
      <c r="CW55" s="1866"/>
      <c r="CX55" s="1866"/>
      <c r="CY55" s="1866"/>
      <c r="CZ55" s="1866"/>
      <c r="DA55" s="1866"/>
      <c r="DB55" s="1866"/>
      <c r="DC55" s="1866"/>
      <c r="DD55" s="1866"/>
      <c r="DE55" s="1866"/>
      <c r="DF55" s="1866"/>
      <c r="DG55" s="1866"/>
      <c r="DH55" s="1866"/>
      <c r="DI55" s="1866"/>
      <c r="DJ55" s="1866"/>
      <c r="DK55" s="1866"/>
      <c r="DL55" s="1866"/>
      <c r="DM55" s="1866"/>
      <c r="DN55" s="1866"/>
      <c r="DO55" s="1866"/>
      <c r="DP55" s="1866"/>
      <c r="DQ55" s="1866"/>
      <c r="DR55" s="1866"/>
      <c r="DS55" s="1866"/>
      <c r="DT55" s="1866"/>
      <c r="DU55" s="1866"/>
      <c r="DV55" s="1866"/>
      <c r="DW55" s="1866"/>
      <c r="DX55" s="1866"/>
      <c r="DY55" s="1866"/>
      <c r="DZ55" s="1866"/>
      <c r="EA55" s="1866"/>
      <c r="EB55" s="1866"/>
      <c r="EC55" s="1866"/>
      <c r="ED55" s="1866"/>
      <c r="EE55" s="1866"/>
      <c r="EF55" s="1866"/>
      <c r="EG55" s="1866"/>
      <c r="EH55" s="1866"/>
      <c r="EI55" s="1866"/>
      <c r="EJ55" s="1866"/>
      <c r="EK55" s="1866"/>
      <c r="EL55" s="1866"/>
      <c r="EM55" s="1866"/>
      <c r="EN55" s="1866"/>
      <c r="EO55" s="1866"/>
      <c r="EP55" s="1866"/>
      <c r="EQ55" s="1866"/>
      <c r="ER55" s="1866"/>
      <c r="ES55" s="1866"/>
      <c r="ET55" s="1866"/>
      <c r="EU55" s="1866"/>
      <c r="EV55" s="1866"/>
      <c r="EW55" s="1866"/>
      <c r="EX55" s="1866"/>
      <c r="EY55" s="1866"/>
      <c r="EZ55" s="1866"/>
      <c r="FA55" s="1866"/>
      <c r="FB55" s="1866"/>
      <c r="FC55" s="1866"/>
      <c r="FD55" s="1866"/>
      <c r="FE55" s="1866"/>
      <c r="FF55" s="1866"/>
      <c r="FG55" s="1866"/>
      <c r="FH55" s="1866"/>
      <c r="FI55" s="1866"/>
      <c r="FJ55" s="1866"/>
      <c r="FK55" s="1866"/>
      <c r="FL55" s="1866"/>
      <c r="FM55" s="1866"/>
      <c r="FN55" s="1866"/>
      <c r="FO55" s="1866"/>
      <c r="FP55" s="1866"/>
      <c r="FQ55" s="1866"/>
      <c r="FR55" s="1866"/>
      <c r="FS55" s="1866"/>
      <c r="FT55" s="1866"/>
      <c r="FU55" s="1866"/>
      <c r="FV55" s="1866"/>
      <c r="FW55" s="1866"/>
      <c r="FX55" s="1866"/>
      <c r="FY55" s="1866"/>
      <c r="FZ55" s="1866"/>
      <c r="GA55" s="1866"/>
      <c r="GB55" s="1866"/>
      <c r="GC55" s="1866"/>
      <c r="GD55" s="1866"/>
      <c r="GE55" s="1866"/>
      <c r="GF55" s="1866"/>
      <c r="GG55" s="1866"/>
      <c r="GH55" s="1866"/>
      <c r="GI55" s="1866"/>
      <c r="GJ55" s="1866"/>
      <c r="GK55" s="1866"/>
      <c r="GL55" s="1866"/>
      <c r="GM55" s="1866"/>
      <c r="GN55" s="1866"/>
      <c r="GO55" s="1866"/>
      <c r="GP55" s="1866"/>
      <c r="GQ55" s="1866"/>
      <c r="GR55" s="1866"/>
      <c r="GS55" s="1866"/>
      <c r="GT55" s="1866"/>
      <c r="GU55" s="1866"/>
      <c r="GV55" s="1866"/>
      <c r="GW55" s="1866"/>
      <c r="GX55" s="1866"/>
      <c r="GY55" s="1866"/>
      <c r="GZ55" s="1866"/>
      <c r="HA55" s="1866"/>
      <c r="HB55" s="1866"/>
      <c r="HC55" s="1866"/>
      <c r="HD55" s="1866"/>
      <c r="HE55" s="1866"/>
      <c r="HF55" s="1866"/>
      <c r="HG55" s="1866"/>
      <c r="HH55" s="1866"/>
      <c r="HI55" s="1866"/>
      <c r="HJ55" s="1866"/>
      <c r="HK55" s="1866"/>
      <c r="HL55" s="1866"/>
      <c r="HM55" s="1866"/>
      <c r="HN55" s="1866"/>
      <c r="HO55" s="1866"/>
      <c r="HP55" s="1866"/>
      <c r="HQ55" s="1866"/>
      <c r="HR55" s="1866"/>
      <c r="HS55" s="1866"/>
      <c r="HT55" s="1866"/>
      <c r="HU55" s="1866"/>
      <c r="HV55" s="1866"/>
      <c r="HW55" s="1866"/>
      <c r="HX55" s="1866"/>
      <c r="HY55" s="1866"/>
      <c r="HZ55" s="1866"/>
      <c r="IA55" s="1866"/>
      <c r="IB55" s="1866"/>
      <c r="IC55" s="1866"/>
      <c r="ID55" s="1866"/>
      <c r="IE55" s="1866"/>
      <c r="IF55" s="1866"/>
      <c r="IG55" s="1866"/>
      <c r="IH55" s="1866"/>
      <c r="II55" s="1866"/>
      <c r="IJ55" s="1866"/>
      <c r="IK55" s="1866"/>
      <c r="IL55" s="1866"/>
      <c r="IM55" s="1866"/>
      <c r="IN55" s="1866"/>
      <c r="IO55" s="1866"/>
      <c r="IP55" s="1866"/>
      <c r="IQ55" s="1866"/>
      <c r="IR55" s="1866"/>
      <c r="IS55" s="1866"/>
      <c r="IT55" s="1866"/>
      <c r="IU55" s="1866"/>
      <c r="IV55" s="1866"/>
    </row>
    <row r="56" spans="1:256" ht="18" customHeight="1">
      <c r="A56" s="1866"/>
      <c r="B56" s="1695"/>
      <c r="C56" s="1365"/>
      <c r="D56" s="1696"/>
      <c r="E56" s="1703"/>
      <c r="F56" s="1703"/>
      <c r="G56" s="1703"/>
      <c r="H56" s="1703"/>
      <c r="I56" s="1703"/>
      <c r="J56" s="1703"/>
      <c r="K56" s="1703"/>
      <c r="L56" s="1709"/>
      <c r="M56" s="1709"/>
      <c r="N56" s="1709"/>
      <c r="O56" s="1366"/>
      <c r="P56" s="1701"/>
      <c r="Q56" s="1866"/>
      <c r="R56" s="1866"/>
      <c r="S56" s="1866"/>
      <c r="T56" s="1866"/>
      <c r="U56" s="1866"/>
      <c r="V56" s="1866"/>
      <c r="W56" s="1866"/>
      <c r="X56" s="1866"/>
      <c r="Y56" s="1866"/>
      <c r="Z56" s="1866"/>
      <c r="AA56" s="1866"/>
      <c r="AB56" s="1866"/>
      <c r="AC56" s="1866"/>
      <c r="AD56" s="1866"/>
      <c r="AE56" s="1866"/>
      <c r="AF56" s="1866"/>
      <c r="AG56" s="1866"/>
      <c r="AH56" s="1866"/>
      <c r="AI56" s="1866"/>
      <c r="AJ56" s="1866"/>
      <c r="AK56" s="1866"/>
      <c r="AL56" s="1866"/>
      <c r="AM56" s="1866"/>
      <c r="AN56" s="1866"/>
      <c r="AO56" s="1866"/>
      <c r="AP56" s="1866"/>
      <c r="AQ56" s="1866"/>
      <c r="AR56" s="1866"/>
      <c r="AS56" s="1866"/>
      <c r="AT56" s="1866"/>
      <c r="AU56" s="1866"/>
      <c r="AV56" s="1866"/>
      <c r="AW56" s="1866"/>
      <c r="AX56" s="1866"/>
      <c r="AY56" s="1866"/>
      <c r="AZ56" s="1866"/>
      <c r="BA56" s="1866"/>
      <c r="BB56" s="1866"/>
      <c r="BC56" s="1866"/>
      <c r="BD56" s="1866"/>
      <c r="BE56" s="1866"/>
      <c r="BF56" s="1866"/>
      <c r="BG56" s="1866"/>
      <c r="BH56" s="1866"/>
      <c r="BI56" s="1866"/>
      <c r="BJ56" s="1866"/>
      <c r="BK56" s="1866"/>
      <c r="BL56" s="1866"/>
      <c r="BM56" s="1866"/>
      <c r="BN56" s="1866"/>
      <c r="BO56" s="1866"/>
      <c r="BP56" s="1866"/>
      <c r="BQ56" s="1866"/>
      <c r="BR56" s="1866"/>
      <c r="BS56" s="1866"/>
      <c r="BT56" s="1866"/>
      <c r="BU56" s="1866"/>
      <c r="BV56" s="1866"/>
      <c r="BW56" s="1866"/>
      <c r="BX56" s="1866"/>
      <c r="BY56" s="1866"/>
      <c r="BZ56" s="1866"/>
      <c r="CA56" s="1866"/>
      <c r="CB56" s="1866"/>
      <c r="CC56" s="1866"/>
      <c r="CD56" s="1866"/>
      <c r="CE56" s="1866"/>
      <c r="CF56" s="1866"/>
      <c r="CG56" s="1866"/>
      <c r="CH56" s="1866"/>
      <c r="CI56" s="1866"/>
      <c r="CJ56" s="1866"/>
      <c r="CK56" s="1866"/>
      <c r="CL56" s="1866"/>
      <c r="CM56" s="1866"/>
      <c r="CN56" s="1866"/>
      <c r="CO56" s="1866"/>
      <c r="CP56" s="1866"/>
      <c r="CQ56" s="1866"/>
      <c r="CR56" s="1866"/>
      <c r="CS56" s="1866"/>
      <c r="CT56" s="1866"/>
      <c r="CU56" s="1866"/>
      <c r="CV56" s="1866"/>
      <c r="CW56" s="1866"/>
      <c r="CX56" s="1866"/>
      <c r="CY56" s="1866"/>
      <c r="CZ56" s="1866"/>
      <c r="DA56" s="1866"/>
      <c r="DB56" s="1866"/>
      <c r="DC56" s="1866"/>
      <c r="DD56" s="1866"/>
      <c r="DE56" s="1866"/>
      <c r="DF56" s="1866"/>
      <c r="DG56" s="1866"/>
      <c r="DH56" s="1866"/>
      <c r="DI56" s="1866"/>
      <c r="DJ56" s="1866"/>
      <c r="DK56" s="1866"/>
      <c r="DL56" s="1866"/>
      <c r="DM56" s="1866"/>
      <c r="DN56" s="1866"/>
      <c r="DO56" s="1866"/>
      <c r="DP56" s="1866"/>
      <c r="DQ56" s="1866"/>
      <c r="DR56" s="1866"/>
      <c r="DS56" s="1866"/>
      <c r="DT56" s="1866"/>
      <c r="DU56" s="1866"/>
      <c r="DV56" s="1866"/>
      <c r="DW56" s="1866"/>
      <c r="DX56" s="1866"/>
      <c r="DY56" s="1866"/>
      <c r="DZ56" s="1866"/>
      <c r="EA56" s="1866"/>
      <c r="EB56" s="1866"/>
      <c r="EC56" s="1866"/>
      <c r="ED56" s="1866"/>
      <c r="EE56" s="1866"/>
      <c r="EF56" s="1866"/>
      <c r="EG56" s="1866"/>
      <c r="EH56" s="1866"/>
      <c r="EI56" s="1866"/>
      <c r="EJ56" s="1866"/>
      <c r="EK56" s="1866"/>
      <c r="EL56" s="1866"/>
      <c r="EM56" s="1866"/>
      <c r="EN56" s="1866"/>
      <c r="EO56" s="1866"/>
      <c r="EP56" s="1866"/>
      <c r="EQ56" s="1866"/>
      <c r="ER56" s="1866"/>
      <c r="ES56" s="1866"/>
      <c r="ET56" s="1866"/>
      <c r="EU56" s="1866"/>
      <c r="EV56" s="1866"/>
      <c r="EW56" s="1866"/>
      <c r="EX56" s="1866"/>
      <c r="EY56" s="1866"/>
      <c r="EZ56" s="1866"/>
      <c r="FA56" s="1866"/>
      <c r="FB56" s="1866"/>
      <c r="FC56" s="1866"/>
      <c r="FD56" s="1866"/>
      <c r="FE56" s="1866"/>
      <c r="FF56" s="1866"/>
      <c r="FG56" s="1866"/>
      <c r="FH56" s="1866"/>
      <c r="FI56" s="1866"/>
      <c r="FJ56" s="1866"/>
      <c r="FK56" s="1866"/>
      <c r="FL56" s="1866"/>
      <c r="FM56" s="1866"/>
      <c r="FN56" s="1866"/>
      <c r="FO56" s="1866"/>
      <c r="FP56" s="1866"/>
      <c r="FQ56" s="1866"/>
      <c r="FR56" s="1866"/>
      <c r="FS56" s="1866"/>
      <c r="FT56" s="1866"/>
      <c r="FU56" s="1866"/>
      <c r="FV56" s="1866"/>
      <c r="FW56" s="1866"/>
      <c r="FX56" s="1866"/>
      <c r="FY56" s="1866"/>
      <c r="FZ56" s="1866"/>
      <c r="GA56" s="1866"/>
      <c r="GB56" s="1866"/>
      <c r="GC56" s="1866"/>
      <c r="GD56" s="1866"/>
      <c r="GE56" s="1866"/>
      <c r="GF56" s="1866"/>
      <c r="GG56" s="1866"/>
      <c r="GH56" s="1866"/>
      <c r="GI56" s="1866"/>
      <c r="GJ56" s="1866"/>
      <c r="GK56" s="1866"/>
      <c r="GL56" s="1866"/>
      <c r="GM56" s="1866"/>
      <c r="GN56" s="1866"/>
      <c r="GO56" s="1866"/>
      <c r="GP56" s="1866"/>
      <c r="GQ56" s="1866"/>
      <c r="GR56" s="1866"/>
      <c r="GS56" s="1866"/>
      <c r="GT56" s="1866"/>
      <c r="GU56" s="1866"/>
      <c r="GV56" s="1866"/>
      <c r="GW56" s="1866"/>
      <c r="GX56" s="1866"/>
      <c r="GY56" s="1866"/>
      <c r="GZ56" s="1866"/>
      <c r="HA56" s="1866"/>
      <c r="HB56" s="1866"/>
      <c r="HC56" s="1866"/>
      <c r="HD56" s="1866"/>
      <c r="HE56" s="1866"/>
      <c r="HF56" s="1866"/>
      <c r="HG56" s="1866"/>
      <c r="HH56" s="1866"/>
      <c r="HI56" s="1866"/>
      <c r="HJ56" s="1866"/>
      <c r="HK56" s="1866"/>
      <c r="HL56" s="1866"/>
      <c r="HM56" s="1866"/>
      <c r="HN56" s="1866"/>
      <c r="HO56" s="1866"/>
      <c r="HP56" s="1866"/>
      <c r="HQ56" s="1866"/>
      <c r="HR56" s="1866"/>
      <c r="HS56" s="1866"/>
      <c r="HT56" s="1866"/>
      <c r="HU56" s="1866"/>
      <c r="HV56" s="1866"/>
      <c r="HW56" s="1866"/>
      <c r="HX56" s="1866"/>
      <c r="HY56" s="1866"/>
      <c r="HZ56" s="1866"/>
      <c r="IA56" s="1866"/>
      <c r="IB56" s="1866"/>
      <c r="IC56" s="1866"/>
      <c r="ID56" s="1866"/>
      <c r="IE56" s="1866"/>
      <c r="IF56" s="1866"/>
      <c r="IG56" s="1866"/>
      <c r="IH56" s="1866"/>
      <c r="II56" s="1866"/>
      <c r="IJ56" s="1866"/>
      <c r="IK56" s="1866"/>
      <c r="IL56" s="1866"/>
      <c r="IM56" s="1866"/>
      <c r="IN56" s="1866"/>
      <c r="IO56" s="1866"/>
      <c r="IP56" s="1866"/>
      <c r="IQ56" s="1866"/>
      <c r="IR56" s="1866"/>
      <c r="IS56" s="1866"/>
      <c r="IT56" s="1866"/>
      <c r="IU56" s="1866"/>
      <c r="IV56" s="1866"/>
    </row>
    <row r="57" spans="1:256" ht="18" customHeight="1">
      <c r="A57" s="1866"/>
      <c r="B57" s="1695"/>
      <c r="C57" s="1365"/>
      <c r="D57" s="1696"/>
      <c r="E57" s="1703"/>
      <c r="F57" s="1795"/>
      <c r="G57" s="1703"/>
      <c r="H57" s="864"/>
      <c r="I57" s="1793" t="s">
        <v>1010</v>
      </c>
      <c r="J57" s="1793" t="s">
        <v>1011</v>
      </c>
      <c r="K57" s="1792"/>
      <c r="L57" s="1709"/>
      <c r="M57" s="1709"/>
      <c r="N57" s="1709"/>
      <c r="O57" s="1366"/>
      <c r="P57" s="1701"/>
      <c r="Q57" s="1866"/>
      <c r="R57" s="1866"/>
      <c r="S57" s="1866"/>
      <c r="T57" s="1866"/>
      <c r="U57" s="1866"/>
      <c r="V57" s="1866"/>
      <c r="W57" s="1866"/>
      <c r="X57" s="1866"/>
      <c r="Y57" s="1866"/>
      <c r="Z57" s="1866"/>
      <c r="AA57" s="1866"/>
      <c r="AB57" s="1866"/>
      <c r="AC57" s="1866"/>
      <c r="AD57" s="1866"/>
      <c r="AE57" s="1866"/>
      <c r="AF57" s="1866"/>
      <c r="AG57" s="1866"/>
      <c r="AH57" s="1866"/>
      <c r="AI57" s="1866"/>
      <c r="AJ57" s="1866"/>
      <c r="AK57" s="1866"/>
      <c r="AL57" s="1866"/>
      <c r="AM57" s="1866"/>
      <c r="AN57" s="1866"/>
      <c r="AO57" s="1866"/>
      <c r="AP57" s="1866"/>
      <c r="AQ57" s="1866"/>
      <c r="AR57" s="1866"/>
      <c r="AS57" s="1866"/>
      <c r="AT57" s="1866"/>
      <c r="AU57" s="1866"/>
      <c r="AV57" s="1866"/>
      <c r="AW57" s="1866"/>
      <c r="AX57" s="1866"/>
      <c r="AY57" s="1866"/>
      <c r="AZ57" s="1866"/>
      <c r="BA57" s="1866"/>
      <c r="BB57" s="1866"/>
      <c r="BC57" s="1866"/>
      <c r="BD57" s="1866"/>
      <c r="BE57" s="1866"/>
      <c r="BF57" s="1866"/>
      <c r="BG57" s="1866"/>
      <c r="BH57" s="1866"/>
      <c r="BI57" s="1866"/>
      <c r="BJ57" s="1866"/>
      <c r="BK57" s="1866"/>
      <c r="BL57" s="1866"/>
      <c r="BM57" s="1866"/>
      <c r="BN57" s="1866"/>
      <c r="BO57" s="1866"/>
      <c r="BP57" s="1866"/>
      <c r="BQ57" s="1866"/>
      <c r="BR57" s="1866"/>
      <c r="BS57" s="1866"/>
      <c r="BT57" s="1866"/>
      <c r="BU57" s="1866"/>
      <c r="BV57" s="1866"/>
      <c r="BW57" s="1866"/>
      <c r="BX57" s="1866"/>
      <c r="BY57" s="1866"/>
      <c r="BZ57" s="1866"/>
      <c r="CA57" s="1866"/>
      <c r="CB57" s="1866"/>
      <c r="CC57" s="1866"/>
      <c r="CD57" s="1866"/>
      <c r="CE57" s="1866"/>
      <c r="CF57" s="1866"/>
      <c r="CG57" s="1866"/>
      <c r="CH57" s="1866"/>
      <c r="CI57" s="1866"/>
      <c r="CJ57" s="1866"/>
      <c r="CK57" s="1866"/>
      <c r="CL57" s="1866"/>
      <c r="CM57" s="1866"/>
      <c r="CN57" s="1866"/>
      <c r="CO57" s="1866"/>
      <c r="CP57" s="1866"/>
      <c r="CQ57" s="1866"/>
      <c r="CR57" s="1866"/>
      <c r="CS57" s="1866"/>
      <c r="CT57" s="1866"/>
      <c r="CU57" s="1866"/>
      <c r="CV57" s="1866"/>
      <c r="CW57" s="1866"/>
      <c r="CX57" s="1866"/>
      <c r="CY57" s="1866"/>
      <c r="CZ57" s="1866"/>
      <c r="DA57" s="1866"/>
      <c r="DB57" s="1866"/>
      <c r="DC57" s="1866"/>
      <c r="DD57" s="1866"/>
      <c r="DE57" s="1866"/>
      <c r="DF57" s="1866"/>
      <c r="DG57" s="1866"/>
      <c r="DH57" s="1866"/>
      <c r="DI57" s="1866"/>
      <c r="DJ57" s="1866"/>
      <c r="DK57" s="1866"/>
      <c r="DL57" s="1866"/>
      <c r="DM57" s="1866"/>
      <c r="DN57" s="1866"/>
      <c r="DO57" s="1866"/>
      <c r="DP57" s="1866"/>
      <c r="DQ57" s="1866"/>
      <c r="DR57" s="1866"/>
      <c r="DS57" s="1866"/>
      <c r="DT57" s="1866"/>
      <c r="DU57" s="1866"/>
      <c r="DV57" s="1866"/>
      <c r="DW57" s="1866"/>
      <c r="DX57" s="1866"/>
      <c r="DY57" s="1866"/>
      <c r="DZ57" s="1866"/>
      <c r="EA57" s="1866"/>
      <c r="EB57" s="1866"/>
      <c r="EC57" s="1866"/>
      <c r="ED57" s="1866"/>
      <c r="EE57" s="1866"/>
      <c r="EF57" s="1866"/>
      <c r="EG57" s="1866"/>
      <c r="EH57" s="1866"/>
      <c r="EI57" s="1866"/>
      <c r="EJ57" s="1866"/>
      <c r="EK57" s="1866"/>
      <c r="EL57" s="1866"/>
      <c r="EM57" s="1866"/>
      <c r="EN57" s="1866"/>
      <c r="EO57" s="1866"/>
      <c r="EP57" s="1866"/>
      <c r="EQ57" s="1866"/>
      <c r="ER57" s="1866"/>
      <c r="ES57" s="1866"/>
      <c r="ET57" s="1866"/>
      <c r="EU57" s="1866"/>
      <c r="EV57" s="1866"/>
      <c r="EW57" s="1866"/>
      <c r="EX57" s="1866"/>
      <c r="EY57" s="1866"/>
      <c r="EZ57" s="1866"/>
      <c r="FA57" s="1866"/>
      <c r="FB57" s="1866"/>
      <c r="FC57" s="1866"/>
      <c r="FD57" s="1866"/>
      <c r="FE57" s="1866"/>
      <c r="FF57" s="1866"/>
      <c r="FG57" s="1866"/>
      <c r="FH57" s="1866"/>
      <c r="FI57" s="1866"/>
      <c r="FJ57" s="1866"/>
      <c r="FK57" s="1866"/>
      <c r="FL57" s="1866"/>
      <c r="FM57" s="1866"/>
      <c r="FN57" s="1866"/>
      <c r="FO57" s="1866"/>
      <c r="FP57" s="1866"/>
      <c r="FQ57" s="1866"/>
      <c r="FR57" s="1866"/>
      <c r="FS57" s="1866"/>
      <c r="FT57" s="1866"/>
      <c r="FU57" s="1866"/>
      <c r="FV57" s="1866"/>
      <c r="FW57" s="1866"/>
      <c r="FX57" s="1866"/>
      <c r="FY57" s="1866"/>
      <c r="FZ57" s="1866"/>
      <c r="GA57" s="1866"/>
      <c r="GB57" s="1866"/>
      <c r="GC57" s="1866"/>
      <c r="GD57" s="1866"/>
      <c r="GE57" s="1866"/>
      <c r="GF57" s="1866"/>
      <c r="GG57" s="1866"/>
      <c r="GH57" s="1866"/>
      <c r="GI57" s="1866"/>
      <c r="GJ57" s="1866"/>
      <c r="GK57" s="1866"/>
      <c r="GL57" s="1866"/>
      <c r="GM57" s="1866"/>
      <c r="GN57" s="1866"/>
      <c r="GO57" s="1866"/>
      <c r="GP57" s="1866"/>
      <c r="GQ57" s="1866"/>
      <c r="GR57" s="1866"/>
      <c r="GS57" s="1866"/>
      <c r="GT57" s="1866"/>
      <c r="GU57" s="1866"/>
      <c r="GV57" s="1866"/>
      <c r="GW57" s="1866"/>
      <c r="GX57" s="1866"/>
      <c r="GY57" s="1866"/>
      <c r="GZ57" s="1866"/>
      <c r="HA57" s="1866"/>
      <c r="HB57" s="1866"/>
      <c r="HC57" s="1866"/>
      <c r="HD57" s="1866"/>
      <c r="HE57" s="1866"/>
      <c r="HF57" s="1866"/>
      <c r="HG57" s="1866"/>
      <c r="HH57" s="1866"/>
      <c r="HI57" s="1866"/>
      <c r="HJ57" s="1866"/>
      <c r="HK57" s="1866"/>
      <c r="HL57" s="1866"/>
      <c r="HM57" s="1866"/>
      <c r="HN57" s="1866"/>
      <c r="HO57" s="1866"/>
      <c r="HP57" s="1866"/>
      <c r="HQ57" s="1866"/>
      <c r="HR57" s="1866"/>
      <c r="HS57" s="1866"/>
      <c r="HT57" s="1866"/>
      <c r="HU57" s="1866"/>
      <c r="HV57" s="1866"/>
      <c r="HW57" s="1866"/>
      <c r="HX57" s="1866"/>
      <c r="HY57" s="1866"/>
      <c r="HZ57" s="1866"/>
      <c r="IA57" s="1866"/>
      <c r="IB57" s="1866"/>
      <c r="IC57" s="1866"/>
      <c r="ID57" s="1866"/>
      <c r="IE57" s="1866"/>
      <c r="IF57" s="1866"/>
      <c r="IG57" s="1866"/>
      <c r="IH57" s="1866"/>
      <c r="II57" s="1866"/>
      <c r="IJ57" s="1866"/>
      <c r="IK57" s="1866"/>
      <c r="IL57" s="1866"/>
      <c r="IM57" s="1866"/>
      <c r="IN57" s="1866"/>
      <c r="IO57" s="1866"/>
      <c r="IP57" s="1866"/>
      <c r="IQ57" s="1866"/>
      <c r="IR57" s="1866"/>
      <c r="IS57" s="1866"/>
      <c r="IT57" s="1866"/>
      <c r="IU57" s="1866"/>
      <c r="IV57" s="1866"/>
    </row>
    <row r="58" spans="1:256" ht="14.25">
      <c r="A58" s="1866"/>
      <c r="B58" s="1695"/>
      <c r="C58" s="1365"/>
      <c r="D58" s="1696"/>
      <c r="E58" s="1696"/>
      <c r="F58" s="1795"/>
      <c r="G58" s="1703"/>
      <c r="H58" s="864"/>
      <c r="I58" s="1202" t="s">
        <v>1132</v>
      </c>
      <c r="J58" s="1202" t="s">
        <v>1132</v>
      </c>
      <c r="K58" s="1792"/>
      <c r="L58" s="1709"/>
      <c r="M58" s="1709"/>
      <c r="N58" s="1709"/>
      <c r="O58" s="1366"/>
      <c r="P58" s="1701"/>
      <c r="Q58" s="1866"/>
      <c r="R58" s="1866"/>
      <c r="S58" s="1866"/>
      <c r="T58" s="1866"/>
      <c r="U58" s="1866"/>
      <c r="V58" s="1866"/>
      <c r="W58" s="1866"/>
      <c r="X58" s="1866"/>
      <c r="Y58" s="1866"/>
      <c r="Z58" s="1866"/>
      <c r="AA58" s="1866"/>
      <c r="AB58" s="1866"/>
      <c r="AC58" s="1866"/>
      <c r="AD58" s="1866"/>
      <c r="AE58" s="1866"/>
      <c r="AF58" s="1866"/>
      <c r="AG58" s="1866"/>
      <c r="AH58" s="1866"/>
      <c r="AI58" s="1866"/>
      <c r="AJ58" s="1866"/>
      <c r="AK58" s="1866"/>
      <c r="AL58" s="1866"/>
      <c r="AM58" s="1866"/>
      <c r="AN58" s="1866"/>
      <c r="AO58" s="1866"/>
      <c r="AP58" s="1866"/>
      <c r="AQ58" s="1866"/>
      <c r="AR58" s="1866"/>
      <c r="AS58" s="1866"/>
      <c r="AT58" s="1866"/>
      <c r="AU58" s="1866"/>
      <c r="AV58" s="1866"/>
      <c r="AW58" s="1866"/>
      <c r="AX58" s="1866"/>
      <c r="AY58" s="1866"/>
      <c r="AZ58" s="1866"/>
      <c r="BA58" s="1866"/>
      <c r="BB58" s="1866"/>
      <c r="BC58" s="1866"/>
      <c r="BD58" s="1866"/>
      <c r="BE58" s="1866"/>
      <c r="BF58" s="1866"/>
      <c r="BG58" s="1866"/>
      <c r="BH58" s="1866"/>
      <c r="BI58" s="1866"/>
      <c r="BJ58" s="1866"/>
      <c r="BK58" s="1866"/>
      <c r="BL58" s="1866"/>
      <c r="BM58" s="1866"/>
      <c r="BN58" s="1866"/>
      <c r="BO58" s="1866"/>
      <c r="BP58" s="1866"/>
      <c r="BQ58" s="1866"/>
      <c r="BR58" s="1866"/>
      <c r="BS58" s="1866"/>
      <c r="BT58" s="1866"/>
      <c r="BU58" s="1866"/>
      <c r="BV58" s="1866"/>
      <c r="BW58" s="1866"/>
      <c r="BX58" s="1866"/>
      <c r="BY58" s="1866"/>
      <c r="BZ58" s="1866"/>
      <c r="CA58" s="1866"/>
      <c r="CB58" s="1866"/>
      <c r="CC58" s="1866"/>
      <c r="CD58" s="1866"/>
      <c r="CE58" s="1866"/>
      <c r="CF58" s="1866"/>
      <c r="CG58" s="1866"/>
      <c r="CH58" s="1866"/>
      <c r="CI58" s="1866"/>
      <c r="CJ58" s="1866"/>
      <c r="CK58" s="1866"/>
      <c r="CL58" s="1866"/>
      <c r="CM58" s="1866"/>
      <c r="CN58" s="1866"/>
      <c r="CO58" s="1866"/>
      <c r="CP58" s="1866"/>
      <c r="CQ58" s="1866"/>
      <c r="CR58" s="1866"/>
      <c r="CS58" s="1866"/>
      <c r="CT58" s="1866"/>
      <c r="CU58" s="1866"/>
      <c r="CV58" s="1866"/>
      <c r="CW58" s="1866"/>
      <c r="CX58" s="1866"/>
      <c r="CY58" s="1866"/>
      <c r="CZ58" s="1866"/>
      <c r="DA58" s="1866"/>
      <c r="DB58" s="1866"/>
      <c r="DC58" s="1866"/>
      <c r="DD58" s="1866"/>
      <c r="DE58" s="1866"/>
      <c r="DF58" s="1866"/>
      <c r="DG58" s="1866"/>
      <c r="DH58" s="1866"/>
      <c r="DI58" s="1866"/>
      <c r="DJ58" s="1866"/>
      <c r="DK58" s="1866"/>
      <c r="DL58" s="1866"/>
      <c r="DM58" s="1866"/>
      <c r="DN58" s="1866"/>
      <c r="DO58" s="1866"/>
      <c r="DP58" s="1866"/>
      <c r="DQ58" s="1866"/>
      <c r="DR58" s="1866"/>
      <c r="DS58" s="1866"/>
      <c r="DT58" s="1866"/>
      <c r="DU58" s="1866"/>
      <c r="DV58" s="1866"/>
      <c r="DW58" s="1866"/>
      <c r="DX58" s="1866"/>
      <c r="DY58" s="1866"/>
      <c r="DZ58" s="1866"/>
      <c r="EA58" s="1866"/>
      <c r="EB58" s="1866"/>
      <c r="EC58" s="1866"/>
      <c r="ED58" s="1866"/>
      <c r="EE58" s="1866"/>
      <c r="EF58" s="1866"/>
      <c r="EG58" s="1866"/>
      <c r="EH58" s="1866"/>
      <c r="EI58" s="1866"/>
      <c r="EJ58" s="1866"/>
      <c r="EK58" s="1866"/>
      <c r="EL58" s="1866"/>
      <c r="EM58" s="1866"/>
      <c r="EN58" s="1866"/>
      <c r="EO58" s="1866"/>
      <c r="EP58" s="1866"/>
      <c r="EQ58" s="1866"/>
      <c r="ER58" s="1866"/>
      <c r="ES58" s="1866"/>
      <c r="ET58" s="1866"/>
      <c r="EU58" s="1866"/>
      <c r="EV58" s="1866"/>
      <c r="EW58" s="1866"/>
      <c r="EX58" s="1866"/>
      <c r="EY58" s="1866"/>
      <c r="EZ58" s="1866"/>
      <c r="FA58" s="1866"/>
      <c r="FB58" s="1866"/>
      <c r="FC58" s="1866"/>
      <c r="FD58" s="1866"/>
      <c r="FE58" s="1866"/>
      <c r="FF58" s="1866"/>
      <c r="FG58" s="1866"/>
      <c r="FH58" s="1866"/>
      <c r="FI58" s="1866"/>
      <c r="FJ58" s="1866"/>
      <c r="FK58" s="1866"/>
      <c r="FL58" s="1866"/>
      <c r="FM58" s="1866"/>
      <c r="FN58" s="1866"/>
      <c r="FO58" s="1866"/>
      <c r="FP58" s="1866"/>
      <c r="FQ58" s="1866"/>
      <c r="FR58" s="1866"/>
      <c r="FS58" s="1866"/>
      <c r="FT58" s="1866"/>
      <c r="FU58" s="1866"/>
      <c r="FV58" s="1866"/>
      <c r="FW58" s="1866"/>
      <c r="FX58" s="1866"/>
      <c r="FY58" s="1866"/>
      <c r="FZ58" s="1866"/>
      <c r="GA58" s="1866"/>
      <c r="GB58" s="1866"/>
      <c r="GC58" s="1866"/>
      <c r="GD58" s="1866"/>
      <c r="GE58" s="1866"/>
      <c r="GF58" s="1866"/>
      <c r="GG58" s="1866"/>
      <c r="GH58" s="1866"/>
      <c r="GI58" s="1866"/>
      <c r="GJ58" s="1866"/>
      <c r="GK58" s="1866"/>
      <c r="GL58" s="1866"/>
      <c r="GM58" s="1866"/>
      <c r="GN58" s="1866"/>
      <c r="GO58" s="1866"/>
      <c r="GP58" s="1866"/>
      <c r="GQ58" s="1866"/>
      <c r="GR58" s="1866"/>
      <c r="GS58" s="1866"/>
      <c r="GT58" s="1866"/>
      <c r="GU58" s="1866"/>
      <c r="GV58" s="1866"/>
      <c r="GW58" s="1866"/>
      <c r="GX58" s="1866"/>
      <c r="GY58" s="1866"/>
      <c r="GZ58" s="1866"/>
      <c r="HA58" s="1866"/>
      <c r="HB58" s="1866"/>
      <c r="HC58" s="1866"/>
      <c r="HD58" s="1866"/>
      <c r="HE58" s="1866"/>
      <c r="HF58" s="1866"/>
      <c r="HG58" s="1866"/>
      <c r="HH58" s="1866"/>
      <c r="HI58" s="1866"/>
      <c r="HJ58" s="1866"/>
      <c r="HK58" s="1866"/>
      <c r="HL58" s="1866"/>
      <c r="HM58" s="1866"/>
      <c r="HN58" s="1866"/>
      <c r="HO58" s="1866"/>
      <c r="HP58" s="1866"/>
      <c r="HQ58" s="1866"/>
      <c r="HR58" s="1866"/>
      <c r="HS58" s="1866"/>
      <c r="HT58" s="1866"/>
      <c r="HU58" s="1866"/>
      <c r="HV58" s="1866"/>
      <c r="HW58" s="1866"/>
      <c r="HX58" s="1866"/>
      <c r="HY58" s="1866"/>
      <c r="HZ58" s="1866"/>
      <c r="IA58" s="1866"/>
      <c r="IB58" s="1866"/>
      <c r="IC58" s="1866"/>
      <c r="ID58" s="1866"/>
      <c r="IE58" s="1866"/>
      <c r="IF58" s="1866"/>
      <c r="IG58" s="1866"/>
      <c r="IH58" s="1866"/>
      <c r="II58" s="1866"/>
      <c r="IJ58" s="1866"/>
      <c r="IK58" s="1866"/>
      <c r="IL58" s="1866"/>
      <c r="IM58" s="1866"/>
      <c r="IN58" s="1866"/>
      <c r="IO58" s="1866"/>
      <c r="IP58" s="1866"/>
      <c r="IQ58" s="1866"/>
      <c r="IR58" s="1866"/>
      <c r="IS58" s="1866"/>
      <c r="IT58" s="1866"/>
      <c r="IU58" s="1866"/>
      <c r="IV58" s="1866"/>
    </row>
    <row r="59" spans="1:256" ht="18" customHeight="1">
      <c r="A59" s="1866"/>
      <c r="B59" s="1695"/>
      <c r="C59" s="1365"/>
      <c r="D59" s="1696"/>
      <c r="E59" s="1796" t="s">
        <v>1138</v>
      </c>
      <c r="F59" s="1795"/>
      <c r="G59" s="1703"/>
      <c r="H59" s="1792"/>
      <c r="I59" s="1719" t="e">
        <f>CO2データ!I260</f>
        <v>#N/A</v>
      </c>
      <c r="J59" s="1719" t="e">
        <f>CO2データ!I259</f>
        <v>#N/A</v>
      </c>
      <c r="K59" s="1704" t="e">
        <f>K55</f>
        <v>#VALUE!</v>
      </c>
      <c r="L59" s="1709"/>
      <c r="M59" s="1719" t="e">
        <f>J59*K59</f>
        <v>#N/A</v>
      </c>
      <c r="N59" s="1709"/>
      <c r="O59" s="1366"/>
      <c r="P59" s="1794" t="e">
        <f>I59*K59</f>
        <v>#N/A</v>
      </c>
      <c r="Q59" s="1866"/>
      <c r="R59" s="1866"/>
      <c r="S59" s="1866"/>
      <c r="T59" s="1866"/>
      <c r="U59" s="1866"/>
      <c r="V59" s="1866"/>
      <c r="W59" s="1866"/>
      <c r="X59" s="1866"/>
      <c r="Y59" s="1866"/>
      <c r="Z59" s="1866"/>
      <c r="AA59" s="1866"/>
      <c r="AB59" s="1866"/>
      <c r="AC59" s="1866"/>
      <c r="AD59" s="1866"/>
      <c r="AE59" s="1866"/>
      <c r="AF59" s="1866"/>
      <c r="AG59" s="1866"/>
      <c r="AH59" s="1866"/>
      <c r="AI59" s="1866"/>
      <c r="AJ59" s="1866"/>
      <c r="AK59" s="1866"/>
      <c r="AL59" s="1866"/>
      <c r="AM59" s="1866"/>
      <c r="AN59" s="1866"/>
      <c r="AO59" s="1866"/>
      <c r="AP59" s="1866"/>
      <c r="AQ59" s="1866"/>
      <c r="AR59" s="1866"/>
      <c r="AS59" s="1866"/>
      <c r="AT59" s="1866"/>
      <c r="AU59" s="1866"/>
      <c r="AV59" s="1866"/>
      <c r="AW59" s="1866"/>
      <c r="AX59" s="1866"/>
      <c r="AY59" s="1866"/>
      <c r="AZ59" s="1866"/>
      <c r="BA59" s="1866"/>
      <c r="BB59" s="1866"/>
      <c r="BC59" s="1866"/>
      <c r="BD59" s="1866"/>
      <c r="BE59" s="1866"/>
      <c r="BF59" s="1866"/>
      <c r="BG59" s="1866"/>
      <c r="BH59" s="1866"/>
      <c r="BI59" s="1866"/>
      <c r="BJ59" s="1866"/>
      <c r="BK59" s="1866"/>
      <c r="BL59" s="1866"/>
      <c r="BM59" s="1866"/>
      <c r="BN59" s="1866"/>
      <c r="BO59" s="1866"/>
      <c r="BP59" s="1866"/>
      <c r="BQ59" s="1866"/>
      <c r="BR59" s="1866"/>
      <c r="BS59" s="1866"/>
      <c r="BT59" s="1866"/>
      <c r="BU59" s="1866"/>
      <c r="BV59" s="1866"/>
      <c r="BW59" s="1866"/>
      <c r="BX59" s="1866"/>
      <c r="BY59" s="1866"/>
      <c r="BZ59" s="1866"/>
      <c r="CA59" s="1866"/>
      <c r="CB59" s="1866"/>
      <c r="CC59" s="1866"/>
      <c r="CD59" s="1866"/>
      <c r="CE59" s="1866"/>
      <c r="CF59" s="1866"/>
      <c r="CG59" s="1866"/>
      <c r="CH59" s="1866"/>
      <c r="CI59" s="1866"/>
      <c r="CJ59" s="1866"/>
      <c r="CK59" s="1866"/>
      <c r="CL59" s="1866"/>
      <c r="CM59" s="1866"/>
      <c r="CN59" s="1866"/>
      <c r="CO59" s="1866"/>
      <c r="CP59" s="1866"/>
      <c r="CQ59" s="1866"/>
      <c r="CR59" s="1866"/>
      <c r="CS59" s="1866"/>
      <c r="CT59" s="1866"/>
      <c r="CU59" s="1866"/>
      <c r="CV59" s="1866"/>
      <c r="CW59" s="1866"/>
      <c r="CX59" s="1866"/>
      <c r="CY59" s="1866"/>
      <c r="CZ59" s="1866"/>
      <c r="DA59" s="1866"/>
      <c r="DB59" s="1866"/>
      <c r="DC59" s="1866"/>
      <c r="DD59" s="1866"/>
      <c r="DE59" s="1866"/>
      <c r="DF59" s="1866"/>
      <c r="DG59" s="1866"/>
      <c r="DH59" s="1866"/>
      <c r="DI59" s="1866"/>
      <c r="DJ59" s="1866"/>
      <c r="DK59" s="1866"/>
      <c r="DL59" s="1866"/>
      <c r="DM59" s="1866"/>
      <c r="DN59" s="1866"/>
      <c r="DO59" s="1866"/>
      <c r="DP59" s="1866"/>
      <c r="DQ59" s="1866"/>
      <c r="DR59" s="1866"/>
      <c r="DS59" s="1866"/>
      <c r="DT59" s="1866"/>
      <c r="DU59" s="1866"/>
      <c r="DV59" s="1866"/>
      <c r="DW59" s="1866"/>
      <c r="DX59" s="1866"/>
      <c r="DY59" s="1866"/>
      <c r="DZ59" s="1866"/>
      <c r="EA59" s="1866"/>
      <c r="EB59" s="1866"/>
      <c r="EC59" s="1866"/>
      <c r="ED59" s="1866"/>
      <c r="EE59" s="1866"/>
      <c r="EF59" s="1866"/>
      <c r="EG59" s="1866"/>
      <c r="EH59" s="1866"/>
      <c r="EI59" s="1866"/>
      <c r="EJ59" s="1866"/>
      <c r="EK59" s="1866"/>
      <c r="EL59" s="1866"/>
      <c r="EM59" s="1866"/>
      <c r="EN59" s="1866"/>
      <c r="EO59" s="1866"/>
      <c r="EP59" s="1866"/>
      <c r="EQ59" s="1866"/>
      <c r="ER59" s="1866"/>
      <c r="ES59" s="1866"/>
      <c r="ET59" s="1866"/>
      <c r="EU59" s="1866"/>
      <c r="EV59" s="1866"/>
      <c r="EW59" s="1866"/>
      <c r="EX59" s="1866"/>
      <c r="EY59" s="1866"/>
      <c r="EZ59" s="1866"/>
      <c r="FA59" s="1866"/>
      <c r="FB59" s="1866"/>
      <c r="FC59" s="1866"/>
      <c r="FD59" s="1866"/>
      <c r="FE59" s="1866"/>
      <c r="FF59" s="1866"/>
      <c r="FG59" s="1866"/>
      <c r="FH59" s="1866"/>
      <c r="FI59" s="1866"/>
      <c r="FJ59" s="1866"/>
      <c r="FK59" s="1866"/>
      <c r="FL59" s="1866"/>
      <c r="FM59" s="1866"/>
      <c r="FN59" s="1866"/>
      <c r="FO59" s="1866"/>
      <c r="FP59" s="1866"/>
      <c r="FQ59" s="1866"/>
      <c r="FR59" s="1866"/>
      <c r="FS59" s="1866"/>
      <c r="FT59" s="1866"/>
      <c r="FU59" s="1866"/>
      <c r="FV59" s="1866"/>
      <c r="FW59" s="1866"/>
      <c r="FX59" s="1866"/>
      <c r="FY59" s="1866"/>
      <c r="FZ59" s="1866"/>
      <c r="GA59" s="1866"/>
      <c r="GB59" s="1866"/>
      <c r="GC59" s="1866"/>
      <c r="GD59" s="1866"/>
      <c r="GE59" s="1866"/>
      <c r="GF59" s="1866"/>
      <c r="GG59" s="1866"/>
      <c r="GH59" s="1866"/>
      <c r="GI59" s="1866"/>
      <c r="GJ59" s="1866"/>
      <c r="GK59" s="1866"/>
      <c r="GL59" s="1866"/>
      <c r="GM59" s="1866"/>
      <c r="GN59" s="1866"/>
      <c r="GO59" s="1866"/>
      <c r="GP59" s="1866"/>
      <c r="GQ59" s="1866"/>
      <c r="GR59" s="1866"/>
      <c r="GS59" s="1866"/>
      <c r="GT59" s="1866"/>
      <c r="GU59" s="1866"/>
      <c r="GV59" s="1866"/>
      <c r="GW59" s="1866"/>
      <c r="GX59" s="1866"/>
      <c r="GY59" s="1866"/>
      <c r="GZ59" s="1866"/>
      <c r="HA59" s="1866"/>
      <c r="HB59" s="1866"/>
      <c r="HC59" s="1866"/>
      <c r="HD59" s="1866"/>
      <c r="HE59" s="1866"/>
      <c r="HF59" s="1866"/>
      <c r="HG59" s="1866"/>
      <c r="HH59" s="1866"/>
      <c r="HI59" s="1866"/>
      <c r="HJ59" s="1866"/>
      <c r="HK59" s="1866"/>
      <c r="HL59" s="1866"/>
      <c r="HM59" s="1866"/>
      <c r="HN59" s="1866"/>
      <c r="HO59" s="1866"/>
      <c r="HP59" s="1866"/>
      <c r="HQ59" s="1866"/>
      <c r="HR59" s="1866"/>
      <c r="HS59" s="1866"/>
      <c r="HT59" s="1866"/>
      <c r="HU59" s="1866"/>
      <c r="HV59" s="1866"/>
      <c r="HW59" s="1866"/>
      <c r="HX59" s="1866"/>
      <c r="HY59" s="1866"/>
      <c r="HZ59" s="1866"/>
      <c r="IA59" s="1866"/>
      <c r="IB59" s="1866"/>
      <c r="IC59" s="1866"/>
      <c r="ID59" s="1866"/>
      <c r="IE59" s="1866"/>
      <c r="IF59" s="1866"/>
      <c r="IG59" s="1866"/>
      <c r="IH59" s="1866"/>
      <c r="II59" s="1866"/>
      <c r="IJ59" s="1866"/>
      <c r="IK59" s="1866"/>
      <c r="IL59" s="1866"/>
      <c r="IM59" s="1866"/>
      <c r="IN59" s="1866"/>
      <c r="IO59" s="1866"/>
      <c r="IP59" s="1866"/>
      <c r="IQ59" s="1866"/>
      <c r="IR59" s="1866"/>
      <c r="IS59" s="1866"/>
      <c r="IT59" s="1866"/>
      <c r="IU59" s="1866"/>
      <c r="IV59" s="1866"/>
    </row>
    <row r="60" spans="1:256" ht="18" customHeight="1">
      <c r="A60" s="1866"/>
      <c r="B60" s="1695"/>
      <c r="C60" s="1365"/>
      <c r="D60" s="1696"/>
      <c r="E60" s="1703"/>
      <c r="F60" s="1706"/>
      <c r="G60" s="1703"/>
      <c r="H60" s="1707"/>
      <c r="I60" s="1708"/>
      <c r="J60" s="1703"/>
      <c r="K60" s="1709"/>
      <c r="L60" s="1709"/>
      <c r="M60" s="1709"/>
      <c r="N60" s="1709"/>
      <c r="O60" s="1366"/>
      <c r="P60" s="1701"/>
      <c r="Q60" s="1866"/>
      <c r="R60" s="1866"/>
      <c r="S60" s="1866"/>
      <c r="T60" s="1866"/>
      <c r="U60" s="1866"/>
      <c r="V60" s="1866"/>
      <c r="W60" s="1866"/>
      <c r="X60" s="1866"/>
      <c r="Y60" s="1866"/>
      <c r="Z60" s="1866"/>
      <c r="AA60" s="1866"/>
      <c r="AB60" s="1866"/>
      <c r="AC60" s="1866"/>
      <c r="AD60" s="1866"/>
      <c r="AE60" s="1866"/>
      <c r="AF60" s="1866"/>
      <c r="AG60" s="1866"/>
      <c r="AH60" s="1866"/>
      <c r="AI60" s="1866"/>
      <c r="AJ60" s="1866"/>
      <c r="AK60" s="1866"/>
      <c r="AL60" s="1866"/>
      <c r="AM60" s="1866"/>
      <c r="AN60" s="1866"/>
      <c r="AO60" s="1866"/>
      <c r="AP60" s="1866"/>
      <c r="AQ60" s="1866"/>
      <c r="AR60" s="1866"/>
      <c r="AS60" s="1866"/>
      <c r="AT60" s="1866"/>
      <c r="AU60" s="1866"/>
      <c r="AV60" s="1866"/>
      <c r="AW60" s="1866"/>
      <c r="AX60" s="1866"/>
      <c r="AY60" s="1866"/>
      <c r="AZ60" s="1866"/>
      <c r="BA60" s="1866"/>
      <c r="BB60" s="1866"/>
      <c r="BC60" s="1866"/>
      <c r="BD60" s="1866"/>
      <c r="BE60" s="1866"/>
      <c r="BF60" s="1866"/>
      <c r="BG60" s="1866"/>
      <c r="BH60" s="1866"/>
      <c r="BI60" s="1866"/>
      <c r="BJ60" s="1866"/>
      <c r="BK60" s="1866"/>
      <c r="BL60" s="1866"/>
      <c r="BM60" s="1866"/>
      <c r="BN60" s="1866"/>
      <c r="BO60" s="1866"/>
      <c r="BP60" s="1866"/>
      <c r="BQ60" s="1866"/>
      <c r="BR60" s="1866"/>
      <c r="BS60" s="1866"/>
      <c r="BT60" s="1866"/>
      <c r="BU60" s="1866"/>
      <c r="BV60" s="1866"/>
      <c r="BW60" s="1866"/>
      <c r="BX60" s="1866"/>
      <c r="BY60" s="1866"/>
      <c r="BZ60" s="1866"/>
      <c r="CA60" s="1866"/>
      <c r="CB60" s="1866"/>
      <c r="CC60" s="1866"/>
      <c r="CD60" s="1866"/>
      <c r="CE60" s="1866"/>
      <c r="CF60" s="1866"/>
      <c r="CG60" s="1866"/>
      <c r="CH60" s="1866"/>
      <c r="CI60" s="1866"/>
      <c r="CJ60" s="1866"/>
      <c r="CK60" s="1866"/>
      <c r="CL60" s="1866"/>
      <c r="CM60" s="1866"/>
      <c r="CN60" s="1866"/>
      <c r="CO60" s="1866"/>
      <c r="CP60" s="1866"/>
      <c r="CQ60" s="1866"/>
      <c r="CR60" s="1866"/>
      <c r="CS60" s="1866"/>
      <c r="CT60" s="1866"/>
      <c r="CU60" s="1866"/>
      <c r="CV60" s="1866"/>
      <c r="CW60" s="1866"/>
      <c r="CX60" s="1866"/>
      <c r="CY60" s="1866"/>
      <c r="CZ60" s="1866"/>
      <c r="DA60" s="1866"/>
      <c r="DB60" s="1866"/>
      <c r="DC60" s="1866"/>
      <c r="DD60" s="1866"/>
      <c r="DE60" s="1866"/>
      <c r="DF60" s="1866"/>
      <c r="DG60" s="1866"/>
      <c r="DH60" s="1866"/>
      <c r="DI60" s="1866"/>
      <c r="DJ60" s="1866"/>
      <c r="DK60" s="1866"/>
      <c r="DL60" s="1866"/>
      <c r="DM60" s="1866"/>
      <c r="DN60" s="1866"/>
      <c r="DO60" s="1866"/>
      <c r="DP60" s="1866"/>
      <c r="DQ60" s="1866"/>
      <c r="DR60" s="1866"/>
      <c r="DS60" s="1866"/>
      <c r="DT60" s="1866"/>
      <c r="DU60" s="1866"/>
      <c r="DV60" s="1866"/>
      <c r="DW60" s="1866"/>
      <c r="DX60" s="1866"/>
      <c r="DY60" s="1866"/>
      <c r="DZ60" s="1866"/>
      <c r="EA60" s="1866"/>
      <c r="EB60" s="1866"/>
      <c r="EC60" s="1866"/>
      <c r="ED60" s="1866"/>
      <c r="EE60" s="1866"/>
      <c r="EF60" s="1866"/>
      <c r="EG60" s="1866"/>
      <c r="EH60" s="1866"/>
      <c r="EI60" s="1866"/>
      <c r="EJ60" s="1866"/>
      <c r="EK60" s="1866"/>
      <c r="EL60" s="1866"/>
      <c r="EM60" s="1866"/>
      <c r="EN60" s="1866"/>
      <c r="EO60" s="1866"/>
      <c r="EP60" s="1866"/>
      <c r="EQ60" s="1866"/>
      <c r="ER60" s="1866"/>
      <c r="ES60" s="1866"/>
      <c r="ET60" s="1866"/>
      <c r="EU60" s="1866"/>
      <c r="EV60" s="1866"/>
      <c r="EW60" s="1866"/>
      <c r="EX60" s="1866"/>
      <c r="EY60" s="1866"/>
      <c r="EZ60" s="1866"/>
      <c r="FA60" s="1866"/>
      <c r="FB60" s="1866"/>
      <c r="FC60" s="1866"/>
      <c r="FD60" s="1866"/>
      <c r="FE60" s="1866"/>
      <c r="FF60" s="1866"/>
      <c r="FG60" s="1866"/>
      <c r="FH60" s="1866"/>
      <c r="FI60" s="1866"/>
      <c r="FJ60" s="1866"/>
      <c r="FK60" s="1866"/>
      <c r="FL60" s="1866"/>
      <c r="FM60" s="1866"/>
      <c r="FN60" s="1866"/>
      <c r="FO60" s="1866"/>
      <c r="FP60" s="1866"/>
      <c r="FQ60" s="1866"/>
      <c r="FR60" s="1866"/>
      <c r="FS60" s="1866"/>
      <c r="FT60" s="1866"/>
      <c r="FU60" s="1866"/>
      <c r="FV60" s="1866"/>
      <c r="FW60" s="1866"/>
      <c r="FX60" s="1866"/>
      <c r="FY60" s="1866"/>
      <c r="FZ60" s="1866"/>
      <c r="GA60" s="1866"/>
      <c r="GB60" s="1866"/>
      <c r="GC60" s="1866"/>
      <c r="GD60" s="1866"/>
      <c r="GE60" s="1866"/>
      <c r="GF60" s="1866"/>
      <c r="GG60" s="1866"/>
      <c r="GH60" s="1866"/>
      <c r="GI60" s="1866"/>
      <c r="GJ60" s="1866"/>
      <c r="GK60" s="1866"/>
      <c r="GL60" s="1866"/>
      <c r="GM60" s="1866"/>
      <c r="GN60" s="1866"/>
      <c r="GO60" s="1866"/>
      <c r="GP60" s="1866"/>
      <c r="GQ60" s="1866"/>
      <c r="GR60" s="1866"/>
      <c r="GS60" s="1866"/>
      <c r="GT60" s="1866"/>
      <c r="GU60" s="1866"/>
      <c r="GV60" s="1866"/>
      <c r="GW60" s="1866"/>
      <c r="GX60" s="1866"/>
      <c r="GY60" s="1866"/>
      <c r="GZ60" s="1866"/>
      <c r="HA60" s="1866"/>
      <c r="HB60" s="1866"/>
      <c r="HC60" s="1866"/>
      <c r="HD60" s="1866"/>
      <c r="HE60" s="1866"/>
      <c r="HF60" s="1866"/>
      <c r="HG60" s="1866"/>
      <c r="HH60" s="1866"/>
      <c r="HI60" s="1866"/>
      <c r="HJ60" s="1866"/>
      <c r="HK60" s="1866"/>
      <c r="HL60" s="1866"/>
      <c r="HM60" s="1866"/>
      <c r="HN60" s="1866"/>
      <c r="HO60" s="1866"/>
      <c r="HP60" s="1866"/>
      <c r="HQ60" s="1866"/>
      <c r="HR60" s="1866"/>
      <c r="HS60" s="1866"/>
      <c r="HT60" s="1866"/>
      <c r="HU60" s="1866"/>
      <c r="HV60" s="1866"/>
      <c r="HW60" s="1866"/>
      <c r="HX60" s="1866"/>
      <c r="HY60" s="1866"/>
      <c r="HZ60" s="1866"/>
      <c r="IA60" s="1866"/>
      <c r="IB60" s="1866"/>
      <c r="IC60" s="1866"/>
      <c r="ID60" s="1866"/>
      <c r="IE60" s="1866"/>
      <c r="IF60" s="1866"/>
      <c r="IG60" s="1866"/>
      <c r="IH60" s="1866"/>
      <c r="II60" s="1866"/>
      <c r="IJ60" s="1866"/>
      <c r="IK60" s="1866"/>
      <c r="IL60" s="1866"/>
      <c r="IM60" s="1866"/>
      <c r="IN60" s="1866"/>
      <c r="IO60" s="1866"/>
      <c r="IP60" s="1866"/>
      <c r="IQ60" s="1866"/>
      <c r="IR60" s="1866"/>
      <c r="IS60" s="1866"/>
      <c r="IT60" s="1866"/>
      <c r="IU60" s="1866"/>
      <c r="IV60" s="1866"/>
    </row>
    <row r="61" spans="1:256" ht="18" customHeight="1">
      <c r="A61" s="1866"/>
      <c r="B61" s="1695"/>
      <c r="C61" s="1365"/>
      <c r="D61" s="1696"/>
      <c r="E61" s="1703"/>
      <c r="F61" s="1190" t="s">
        <v>671</v>
      </c>
      <c r="G61" s="1191" t="s">
        <v>672</v>
      </c>
      <c r="H61" s="1710"/>
      <c r="I61" s="1190" t="s">
        <v>673</v>
      </c>
      <c r="J61" s="1190" t="s">
        <v>256</v>
      </c>
      <c r="K61" s="1190" t="s">
        <v>674</v>
      </c>
      <c r="L61" s="1711" t="s">
        <v>675</v>
      </c>
      <c r="M61" s="1190" t="s">
        <v>676</v>
      </c>
      <c r="N61" s="1709"/>
      <c r="O61" s="1711" t="s">
        <v>677</v>
      </c>
      <c r="P61" s="1192" t="s">
        <v>676</v>
      </c>
      <c r="Q61" s="1866"/>
      <c r="R61" s="1866"/>
      <c r="S61" s="1866"/>
      <c r="T61" s="1866"/>
      <c r="U61" s="1866"/>
      <c r="V61" s="1866"/>
      <c r="W61" s="1866"/>
      <c r="X61" s="1866"/>
      <c r="Y61" s="1866"/>
      <c r="Z61" s="1866"/>
      <c r="AA61" s="1866"/>
      <c r="AB61" s="1866"/>
      <c r="AC61" s="1866"/>
      <c r="AD61" s="1866"/>
      <c r="AE61" s="1866"/>
      <c r="AF61" s="1866"/>
      <c r="AG61" s="1866"/>
      <c r="AH61" s="1866"/>
      <c r="AI61" s="1866"/>
      <c r="AJ61" s="1866"/>
      <c r="AK61" s="1866"/>
      <c r="AL61" s="1866"/>
      <c r="AM61" s="1866"/>
      <c r="AN61" s="1866"/>
      <c r="AO61" s="1866"/>
      <c r="AP61" s="1866"/>
      <c r="AQ61" s="1866"/>
      <c r="AR61" s="1866"/>
      <c r="AS61" s="1866"/>
      <c r="AT61" s="1866"/>
      <c r="AU61" s="1866"/>
      <c r="AV61" s="1866"/>
      <c r="AW61" s="1866"/>
      <c r="AX61" s="1866"/>
      <c r="AY61" s="1866"/>
      <c r="AZ61" s="1866"/>
      <c r="BA61" s="1866"/>
      <c r="BB61" s="1866"/>
      <c r="BC61" s="1866"/>
      <c r="BD61" s="1866"/>
      <c r="BE61" s="1866"/>
      <c r="BF61" s="1866"/>
      <c r="BG61" s="1866"/>
      <c r="BH61" s="1866"/>
      <c r="BI61" s="1866"/>
      <c r="BJ61" s="1866"/>
      <c r="BK61" s="1866"/>
      <c r="BL61" s="1866"/>
      <c r="BM61" s="1866"/>
      <c r="BN61" s="1866"/>
      <c r="BO61" s="1866"/>
      <c r="BP61" s="1866"/>
      <c r="BQ61" s="1866"/>
      <c r="BR61" s="1866"/>
      <c r="BS61" s="1866"/>
      <c r="BT61" s="1866"/>
      <c r="BU61" s="1866"/>
      <c r="BV61" s="1866"/>
      <c r="BW61" s="1866"/>
      <c r="BX61" s="1866"/>
      <c r="BY61" s="1866"/>
      <c r="BZ61" s="1866"/>
      <c r="CA61" s="1866"/>
      <c r="CB61" s="1866"/>
      <c r="CC61" s="1866"/>
      <c r="CD61" s="1866"/>
      <c r="CE61" s="1866"/>
      <c r="CF61" s="1866"/>
      <c r="CG61" s="1866"/>
      <c r="CH61" s="1866"/>
      <c r="CI61" s="1866"/>
      <c r="CJ61" s="1866"/>
      <c r="CK61" s="1866"/>
      <c r="CL61" s="1866"/>
      <c r="CM61" s="1866"/>
      <c r="CN61" s="1866"/>
      <c r="CO61" s="1866"/>
      <c r="CP61" s="1866"/>
      <c r="CQ61" s="1866"/>
      <c r="CR61" s="1866"/>
      <c r="CS61" s="1866"/>
      <c r="CT61" s="1866"/>
      <c r="CU61" s="1866"/>
      <c r="CV61" s="1866"/>
      <c r="CW61" s="1866"/>
      <c r="CX61" s="1866"/>
      <c r="CY61" s="1866"/>
      <c r="CZ61" s="1866"/>
      <c r="DA61" s="1866"/>
      <c r="DB61" s="1866"/>
      <c r="DC61" s="1866"/>
      <c r="DD61" s="1866"/>
      <c r="DE61" s="1866"/>
      <c r="DF61" s="1866"/>
      <c r="DG61" s="1866"/>
      <c r="DH61" s="1866"/>
      <c r="DI61" s="1866"/>
      <c r="DJ61" s="1866"/>
      <c r="DK61" s="1866"/>
      <c r="DL61" s="1866"/>
      <c r="DM61" s="1866"/>
      <c r="DN61" s="1866"/>
      <c r="DO61" s="1866"/>
      <c r="DP61" s="1866"/>
      <c r="DQ61" s="1866"/>
      <c r="DR61" s="1866"/>
      <c r="DS61" s="1866"/>
      <c r="DT61" s="1866"/>
      <c r="DU61" s="1866"/>
      <c r="DV61" s="1866"/>
      <c r="DW61" s="1866"/>
      <c r="DX61" s="1866"/>
      <c r="DY61" s="1866"/>
      <c r="DZ61" s="1866"/>
      <c r="EA61" s="1866"/>
      <c r="EB61" s="1866"/>
      <c r="EC61" s="1866"/>
      <c r="ED61" s="1866"/>
      <c r="EE61" s="1866"/>
      <c r="EF61" s="1866"/>
      <c r="EG61" s="1866"/>
      <c r="EH61" s="1866"/>
      <c r="EI61" s="1866"/>
      <c r="EJ61" s="1866"/>
      <c r="EK61" s="1866"/>
      <c r="EL61" s="1866"/>
      <c r="EM61" s="1866"/>
      <c r="EN61" s="1866"/>
      <c r="EO61" s="1866"/>
      <c r="EP61" s="1866"/>
      <c r="EQ61" s="1866"/>
      <c r="ER61" s="1866"/>
      <c r="ES61" s="1866"/>
      <c r="ET61" s="1866"/>
      <c r="EU61" s="1866"/>
      <c r="EV61" s="1866"/>
      <c r="EW61" s="1866"/>
      <c r="EX61" s="1866"/>
      <c r="EY61" s="1866"/>
      <c r="EZ61" s="1866"/>
      <c r="FA61" s="1866"/>
      <c r="FB61" s="1866"/>
      <c r="FC61" s="1866"/>
      <c r="FD61" s="1866"/>
      <c r="FE61" s="1866"/>
      <c r="FF61" s="1866"/>
      <c r="FG61" s="1866"/>
      <c r="FH61" s="1866"/>
      <c r="FI61" s="1866"/>
      <c r="FJ61" s="1866"/>
      <c r="FK61" s="1866"/>
      <c r="FL61" s="1866"/>
      <c r="FM61" s="1866"/>
      <c r="FN61" s="1866"/>
      <c r="FO61" s="1866"/>
      <c r="FP61" s="1866"/>
      <c r="FQ61" s="1866"/>
      <c r="FR61" s="1866"/>
      <c r="FS61" s="1866"/>
      <c r="FT61" s="1866"/>
      <c r="FU61" s="1866"/>
      <c r="FV61" s="1866"/>
      <c r="FW61" s="1866"/>
      <c r="FX61" s="1866"/>
      <c r="FY61" s="1866"/>
      <c r="FZ61" s="1866"/>
      <c r="GA61" s="1866"/>
      <c r="GB61" s="1866"/>
      <c r="GC61" s="1866"/>
      <c r="GD61" s="1866"/>
      <c r="GE61" s="1866"/>
      <c r="GF61" s="1866"/>
      <c r="GG61" s="1866"/>
      <c r="GH61" s="1866"/>
      <c r="GI61" s="1866"/>
      <c r="GJ61" s="1866"/>
      <c r="GK61" s="1866"/>
      <c r="GL61" s="1866"/>
      <c r="GM61" s="1866"/>
      <c r="GN61" s="1866"/>
      <c r="GO61" s="1866"/>
      <c r="GP61" s="1866"/>
      <c r="GQ61" s="1866"/>
      <c r="GR61" s="1866"/>
      <c r="GS61" s="1866"/>
      <c r="GT61" s="1866"/>
      <c r="GU61" s="1866"/>
      <c r="GV61" s="1866"/>
      <c r="GW61" s="1866"/>
      <c r="GX61" s="1866"/>
      <c r="GY61" s="1866"/>
      <c r="GZ61" s="1866"/>
      <c r="HA61" s="1866"/>
      <c r="HB61" s="1866"/>
      <c r="HC61" s="1866"/>
      <c r="HD61" s="1866"/>
      <c r="HE61" s="1866"/>
      <c r="HF61" s="1866"/>
      <c r="HG61" s="1866"/>
      <c r="HH61" s="1866"/>
      <c r="HI61" s="1866"/>
      <c r="HJ61" s="1866"/>
      <c r="HK61" s="1866"/>
      <c r="HL61" s="1866"/>
      <c r="HM61" s="1866"/>
      <c r="HN61" s="1866"/>
      <c r="HO61" s="1866"/>
      <c r="HP61" s="1866"/>
      <c r="HQ61" s="1866"/>
      <c r="HR61" s="1866"/>
      <c r="HS61" s="1866"/>
      <c r="HT61" s="1866"/>
      <c r="HU61" s="1866"/>
      <c r="HV61" s="1866"/>
      <c r="HW61" s="1866"/>
      <c r="HX61" s="1866"/>
      <c r="HY61" s="1866"/>
      <c r="HZ61" s="1866"/>
      <c r="IA61" s="1866"/>
      <c r="IB61" s="1866"/>
      <c r="IC61" s="1866"/>
      <c r="ID61" s="1866"/>
      <c r="IE61" s="1866"/>
      <c r="IF61" s="1866"/>
      <c r="IG61" s="1866"/>
      <c r="IH61" s="1866"/>
      <c r="II61" s="1866"/>
      <c r="IJ61" s="1866"/>
      <c r="IK61" s="1866"/>
      <c r="IL61" s="1866"/>
      <c r="IM61" s="1866"/>
      <c r="IN61" s="1866"/>
      <c r="IO61" s="1866"/>
      <c r="IP61" s="1866"/>
      <c r="IQ61" s="1866"/>
      <c r="IR61" s="1866"/>
      <c r="IS61" s="1866"/>
      <c r="IT61" s="1866"/>
      <c r="IU61" s="1866"/>
      <c r="IV61" s="1866"/>
    </row>
    <row r="62" spans="1:256" ht="18" customHeight="1">
      <c r="A62" s="1866"/>
      <c r="B62" s="1695"/>
      <c r="C62" s="1365"/>
      <c r="D62" s="1712" t="s">
        <v>1139</v>
      </c>
      <c r="E62" s="1703"/>
      <c r="F62" s="1194">
        <v>1.1499999999999999</v>
      </c>
      <c r="G62" s="1713" t="s">
        <v>487</v>
      </c>
      <c r="H62" s="1714"/>
      <c r="I62" s="1194">
        <v>1</v>
      </c>
      <c r="J62" s="1194">
        <v>0.85</v>
      </c>
      <c r="K62" s="1194">
        <v>0.7</v>
      </c>
      <c r="L62" s="1715">
        <f>スコア!M57</f>
        <v>3</v>
      </c>
      <c r="M62" s="1716">
        <f>IF(L62&gt;=5,$K62,IF(L62&gt;=4,$J62,IF(L62&gt;=3,$I62,$F62)))</f>
        <v>1</v>
      </c>
      <c r="N62" s="1182"/>
      <c r="O62" s="1715">
        <v>3</v>
      </c>
      <c r="P62" s="1797">
        <v>1</v>
      </c>
      <c r="Q62" s="1866"/>
      <c r="R62" s="1866"/>
      <c r="S62" s="1866"/>
      <c r="T62" s="1866"/>
      <c r="U62" s="1866"/>
      <c r="V62" s="1866"/>
      <c r="W62" s="1866"/>
      <c r="X62" s="1866"/>
      <c r="Y62" s="1866"/>
      <c r="Z62" s="1866"/>
      <c r="AA62" s="1866"/>
      <c r="AB62" s="1866"/>
      <c r="AC62" s="1866"/>
      <c r="AD62" s="1866"/>
      <c r="AE62" s="1866"/>
      <c r="AF62" s="1866"/>
      <c r="AG62" s="1866"/>
      <c r="AH62" s="1866"/>
      <c r="AI62" s="1866"/>
      <c r="AJ62" s="1866"/>
      <c r="AK62" s="1866"/>
      <c r="AL62" s="1866"/>
      <c r="AM62" s="1866"/>
      <c r="AN62" s="1866"/>
      <c r="AO62" s="1866"/>
      <c r="AP62" s="1866"/>
      <c r="AQ62" s="1866"/>
      <c r="AR62" s="1866"/>
      <c r="AS62" s="1866"/>
      <c r="AT62" s="1866"/>
      <c r="AU62" s="1866"/>
      <c r="AV62" s="1866"/>
      <c r="AW62" s="1866"/>
      <c r="AX62" s="1866"/>
      <c r="AY62" s="1866"/>
      <c r="AZ62" s="1866"/>
      <c r="BA62" s="1866"/>
      <c r="BB62" s="1866"/>
      <c r="BC62" s="1866"/>
      <c r="BD62" s="1866"/>
      <c r="BE62" s="1866"/>
      <c r="BF62" s="1866"/>
      <c r="BG62" s="1866"/>
      <c r="BH62" s="1866"/>
      <c r="BI62" s="1866"/>
      <c r="BJ62" s="1866"/>
      <c r="BK62" s="1866"/>
      <c r="BL62" s="1866"/>
      <c r="BM62" s="1866"/>
      <c r="BN62" s="1866"/>
      <c r="BO62" s="1866"/>
      <c r="BP62" s="1866"/>
      <c r="BQ62" s="1866"/>
      <c r="BR62" s="1866"/>
      <c r="BS62" s="1866"/>
      <c r="BT62" s="1866"/>
      <c r="BU62" s="1866"/>
      <c r="BV62" s="1866"/>
      <c r="BW62" s="1866"/>
      <c r="BX62" s="1866"/>
      <c r="BY62" s="1866"/>
      <c r="BZ62" s="1866"/>
      <c r="CA62" s="1866"/>
      <c r="CB62" s="1866"/>
      <c r="CC62" s="1866"/>
      <c r="CD62" s="1866"/>
      <c r="CE62" s="1866"/>
      <c r="CF62" s="1866"/>
      <c r="CG62" s="1866"/>
      <c r="CH62" s="1866"/>
      <c r="CI62" s="1866"/>
      <c r="CJ62" s="1866"/>
      <c r="CK62" s="1866"/>
      <c r="CL62" s="1866"/>
      <c r="CM62" s="1866"/>
      <c r="CN62" s="1866"/>
      <c r="CO62" s="1866"/>
      <c r="CP62" s="1866"/>
      <c r="CQ62" s="1866"/>
      <c r="CR62" s="1866"/>
      <c r="CS62" s="1866"/>
      <c r="CT62" s="1866"/>
      <c r="CU62" s="1866"/>
      <c r="CV62" s="1866"/>
      <c r="CW62" s="1866"/>
      <c r="CX62" s="1866"/>
      <c r="CY62" s="1866"/>
      <c r="CZ62" s="1866"/>
      <c r="DA62" s="1866"/>
      <c r="DB62" s="1866"/>
      <c r="DC62" s="1866"/>
      <c r="DD62" s="1866"/>
      <c r="DE62" s="1866"/>
      <c r="DF62" s="1866"/>
      <c r="DG62" s="1866"/>
      <c r="DH62" s="1866"/>
      <c r="DI62" s="1866"/>
      <c r="DJ62" s="1866"/>
      <c r="DK62" s="1866"/>
      <c r="DL62" s="1866"/>
      <c r="DM62" s="1866"/>
      <c r="DN62" s="1866"/>
      <c r="DO62" s="1866"/>
      <c r="DP62" s="1866"/>
      <c r="DQ62" s="1866"/>
      <c r="DR62" s="1866"/>
      <c r="DS62" s="1866"/>
      <c r="DT62" s="1866"/>
      <c r="DU62" s="1866"/>
      <c r="DV62" s="1866"/>
      <c r="DW62" s="1866"/>
      <c r="DX62" s="1866"/>
      <c r="DY62" s="1866"/>
      <c r="DZ62" s="1866"/>
      <c r="EA62" s="1866"/>
      <c r="EB62" s="1866"/>
      <c r="EC62" s="1866"/>
      <c r="ED62" s="1866"/>
      <c r="EE62" s="1866"/>
      <c r="EF62" s="1866"/>
      <c r="EG62" s="1866"/>
      <c r="EH62" s="1866"/>
      <c r="EI62" s="1866"/>
      <c r="EJ62" s="1866"/>
      <c r="EK62" s="1866"/>
      <c r="EL62" s="1866"/>
      <c r="EM62" s="1866"/>
      <c r="EN62" s="1866"/>
      <c r="EO62" s="1866"/>
      <c r="EP62" s="1866"/>
      <c r="EQ62" s="1866"/>
      <c r="ER62" s="1866"/>
      <c r="ES62" s="1866"/>
      <c r="ET62" s="1866"/>
      <c r="EU62" s="1866"/>
      <c r="EV62" s="1866"/>
      <c r="EW62" s="1866"/>
      <c r="EX62" s="1866"/>
      <c r="EY62" s="1866"/>
      <c r="EZ62" s="1866"/>
      <c r="FA62" s="1866"/>
      <c r="FB62" s="1866"/>
      <c r="FC62" s="1866"/>
      <c r="FD62" s="1866"/>
      <c r="FE62" s="1866"/>
      <c r="FF62" s="1866"/>
      <c r="FG62" s="1866"/>
      <c r="FH62" s="1866"/>
      <c r="FI62" s="1866"/>
      <c r="FJ62" s="1866"/>
      <c r="FK62" s="1866"/>
      <c r="FL62" s="1866"/>
      <c r="FM62" s="1866"/>
      <c r="FN62" s="1866"/>
      <c r="FO62" s="1866"/>
      <c r="FP62" s="1866"/>
      <c r="FQ62" s="1866"/>
      <c r="FR62" s="1866"/>
      <c r="FS62" s="1866"/>
      <c r="FT62" s="1866"/>
      <c r="FU62" s="1866"/>
      <c r="FV62" s="1866"/>
      <c r="FW62" s="1866"/>
      <c r="FX62" s="1866"/>
      <c r="FY62" s="1866"/>
      <c r="FZ62" s="1866"/>
      <c r="GA62" s="1866"/>
      <c r="GB62" s="1866"/>
      <c r="GC62" s="1866"/>
      <c r="GD62" s="1866"/>
      <c r="GE62" s="1866"/>
      <c r="GF62" s="1866"/>
      <c r="GG62" s="1866"/>
      <c r="GH62" s="1866"/>
      <c r="GI62" s="1866"/>
      <c r="GJ62" s="1866"/>
      <c r="GK62" s="1866"/>
      <c r="GL62" s="1866"/>
      <c r="GM62" s="1866"/>
      <c r="GN62" s="1866"/>
      <c r="GO62" s="1866"/>
      <c r="GP62" s="1866"/>
      <c r="GQ62" s="1866"/>
      <c r="GR62" s="1866"/>
      <c r="GS62" s="1866"/>
      <c r="GT62" s="1866"/>
      <c r="GU62" s="1866"/>
      <c r="GV62" s="1866"/>
      <c r="GW62" s="1866"/>
      <c r="GX62" s="1866"/>
      <c r="GY62" s="1866"/>
      <c r="GZ62" s="1866"/>
      <c r="HA62" s="1866"/>
      <c r="HB62" s="1866"/>
      <c r="HC62" s="1866"/>
      <c r="HD62" s="1866"/>
      <c r="HE62" s="1866"/>
      <c r="HF62" s="1866"/>
      <c r="HG62" s="1866"/>
      <c r="HH62" s="1866"/>
      <c r="HI62" s="1866"/>
      <c r="HJ62" s="1866"/>
      <c r="HK62" s="1866"/>
      <c r="HL62" s="1866"/>
      <c r="HM62" s="1866"/>
      <c r="HN62" s="1866"/>
      <c r="HO62" s="1866"/>
      <c r="HP62" s="1866"/>
      <c r="HQ62" s="1866"/>
      <c r="HR62" s="1866"/>
      <c r="HS62" s="1866"/>
      <c r="HT62" s="1866"/>
      <c r="HU62" s="1866"/>
      <c r="HV62" s="1866"/>
      <c r="HW62" s="1866"/>
      <c r="HX62" s="1866"/>
      <c r="HY62" s="1866"/>
      <c r="HZ62" s="1866"/>
      <c r="IA62" s="1866"/>
      <c r="IB62" s="1866"/>
      <c r="IC62" s="1866"/>
      <c r="ID62" s="1866"/>
      <c r="IE62" s="1866"/>
      <c r="IF62" s="1866"/>
      <c r="IG62" s="1866"/>
      <c r="IH62" s="1866"/>
      <c r="II62" s="1866"/>
      <c r="IJ62" s="1866"/>
      <c r="IK62" s="1866"/>
      <c r="IL62" s="1866"/>
      <c r="IM62" s="1866"/>
      <c r="IN62" s="1866"/>
      <c r="IO62" s="1866"/>
      <c r="IP62" s="1866"/>
      <c r="IQ62" s="1866"/>
      <c r="IR62" s="1866"/>
      <c r="IS62" s="1866"/>
      <c r="IT62" s="1866"/>
      <c r="IU62" s="1866"/>
      <c r="IV62" s="1866"/>
    </row>
    <row r="63" spans="1:256" ht="18" customHeight="1">
      <c r="A63" s="1866"/>
      <c r="B63" s="1695"/>
      <c r="C63" s="1365"/>
      <c r="D63" s="1712"/>
      <c r="E63" s="1703"/>
      <c r="F63" s="1706"/>
      <c r="G63" s="1703"/>
      <c r="H63" s="1707"/>
      <c r="I63" s="1717" t="s">
        <v>678</v>
      </c>
      <c r="J63" s="1703"/>
      <c r="K63" s="1709"/>
      <c r="L63" s="1702"/>
      <c r="M63" s="1211"/>
      <c r="N63" s="1182"/>
      <c r="O63" s="1366"/>
      <c r="P63" s="1718"/>
      <c r="Q63" s="1866"/>
      <c r="R63" s="1866"/>
      <c r="S63" s="1866"/>
      <c r="T63" s="1866"/>
      <c r="U63" s="1866"/>
      <c r="V63" s="1866"/>
      <c r="W63" s="1866"/>
      <c r="X63" s="1866"/>
      <c r="Y63" s="1866"/>
      <c r="Z63" s="1866"/>
      <c r="AA63" s="1866"/>
      <c r="AB63" s="1866"/>
      <c r="AC63" s="1866"/>
      <c r="AD63" s="1866"/>
      <c r="AE63" s="1866"/>
      <c r="AF63" s="1866"/>
      <c r="AG63" s="1866"/>
      <c r="AH63" s="1866"/>
      <c r="AI63" s="1866"/>
      <c r="AJ63" s="1866"/>
      <c r="AK63" s="1866"/>
      <c r="AL63" s="1866"/>
      <c r="AM63" s="1866"/>
      <c r="AN63" s="1866"/>
      <c r="AO63" s="1866"/>
      <c r="AP63" s="1866"/>
      <c r="AQ63" s="1866"/>
      <c r="AR63" s="1866"/>
      <c r="AS63" s="1866"/>
      <c r="AT63" s="1866"/>
      <c r="AU63" s="1866"/>
      <c r="AV63" s="1866"/>
      <c r="AW63" s="1866"/>
      <c r="AX63" s="1866"/>
      <c r="AY63" s="1866"/>
      <c r="AZ63" s="1866"/>
      <c r="BA63" s="1866"/>
      <c r="BB63" s="1866"/>
      <c r="BC63" s="1866"/>
      <c r="BD63" s="1866"/>
      <c r="BE63" s="1866"/>
      <c r="BF63" s="1866"/>
      <c r="BG63" s="1866"/>
      <c r="BH63" s="1866"/>
      <c r="BI63" s="1866"/>
      <c r="BJ63" s="1866"/>
      <c r="BK63" s="1866"/>
      <c r="BL63" s="1866"/>
      <c r="BM63" s="1866"/>
      <c r="BN63" s="1866"/>
      <c r="BO63" s="1866"/>
      <c r="BP63" s="1866"/>
      <c r="BQ63" s="1866"/>
      <c r="BR63" s="1866"/>
      <c r="BS63" s="1866"/>
      <c r="BT63" s="1866"/>
      <c r="BU63" s="1866"/>
      <c r="BV63" s="1866"/>
      <c r="BW63" s="1866"/>
      <c r="BX63" s="1866"/>
      <c r="BY63" s="1866"/>
      <c r="BZ63" s="1866"/>
      <c r="CA63" s="1866"/>
      <c r="CB63" s="1866"/>
      <c r="CC63" s="1866"/>
      <c r="CD63" s="1866"/>
      <c r="CE63" s="1866"/>
      <c r="CF63" s="1866"/>
      <c r="CG63" s="1866"/>
      <c r="CH63" s="1866"/>
      <c r="CI63" s="1866"/>
      <c r="CJ63" s="1866"/>
      <c r="CK63" s="1866"/>
      <c r="CL63" s="1866"/>
      <c r="CM63" s="1866"/>
      <c r="CN63" s="1866"/>
      <c r="CO63" s="1866"/>
      <c r="CP63" s="1866"/>
      <c r="CQ63" s="1866"/>
      <c r="CR63" s="1866"/>
      <c r="CS63" s="1866"/>
      <c r="CT63" s="1866"/>
      <c r="CU63" s="1866"/>
      <c r="CV63" s="1866"/>
      <c r="CW63" s="1866"/>
      <c r="CX63" s="1866"/>
      <c r="CY63" s="1866"/>
      <c r="CZ63" s="1866"/>
      <c r="DA63" s="1866"/>
      <c r="DB63" s="1866"/>
      <c r="DC63" s="1866"/>
      <c r="DD63" s="1866"/>
      <c r="DE63" s="1866"/>
      <c r="DF63" s="1866"/>
      <c r="DG63" s="1866"/>
      <c r="DH63" s="1866"/>
      <c r="DI63" s="1866"/>
      <c r="DJ63" s="1866"/>
      <c r="DK63" s="1866"/>
      <c r="DL63" s="1866"/>
      <c r="DM63" s="1866"/>
      <c r="DN63" s="1866"/>
      <c r="DO63" s="1866"/>
      <c r="DP63" s="1866"/>
      <c r="DQ63" s="1866"/>
      <c r="DR63" s="1866"/>
      <c r="DS63" s="1866"/>
      <c r="DT63" s="1866"/>
      <c r="DU63" s="1866"/>
      <c r="DV63" s="1866"/>
      <c r="DW63" s="1866"/>
      <c r="DX63" s="1866"/>
      <c r="DY63" s="1866"/>
      <c r="DZ63" s="1866"/>
      <c r="EA63" s="1866"/>
      <c r="EB63" s="1866"/>
      <c r="EC63" s="1866"/>
      <c r="ED63" s="1866"/>
      <c r="EE63" s="1866"/>
      <c r="EF63" s="1866"/>
      <c r="EG63" s="1866"/>
      <c r="EH63" s="1866"/>
      <c r="EI63" s="1866"/>
      <c r="EJ63" s="1866"/>
      <c r="EK63" s="1866"/>
      <c r="EL63" s="1866"/>
      <c r="EM63" s="1866"/>
      <c r="EN63" s="1866"/>
      <c r="EO63" s="1866"/>
      <c r="EP63" s="1866"/>
      <c r="EQ63" s="1866"/>
      <c r="ER63" s="1866"/>
      <c r="ES63" s="1866"/>
      <c r="ET63" s="1866"/>
      <c r="EU63" s="1866"/>
      <c r="EV63" s="1866"/>
      <c r="EW63" s="1866"/>
      <c r="EX63" s="1866"/>
      <c r="EY63" s="1866"/>
      <c r="EZ63" s="1866"/>
      <c r="FA63" s="1866"/>
      <c r="FB63" s="1866"/>
      <c r="FC63" s="1866"/>
      <c r="FD63" s="1866"/>
      <c r="FE63" s="1866"/>
      <c r="FF63" s="1866"/>
      <c r="FG63" s="1866"/>
      <c r="FH63" s="1866"/>
      <c r="FI63" s="1866"/>
      <c r="FJ63" s="1866"/>
      <c r="FK63" s="1866"/>
      <c r="FL63" s="1866"/>
      <c r="FM63" s="1866"/>
      <c r="FN63" s="1866"/>
      <c r="FO63" s="1866"/>
      <c r="FP63" s="1866"/>
      <c r="FQ63" s="1866"/>
      <c r="FR63" s="1866"/>
      <c r="FS63" s="1866"/>
      <c r="FT63" s="1866"/>
      <c r="FU63" s="1866"/>
      <c r="FV63" s="1866"/>
      <c r="FW63" s="1866"/>
      <c r="FX63" s="1866"/>
      <c r="FY63" s="1866"/>
      <c r="FZ63" s="1866"/>
      <c r="GA63" s="1866"/>
      <c r="GB63" s="1866"/>
      <c r="GC63" s="1866"/>
      <c r="GD63" s="1866"/>
      <c r="GE63" s="1866"/>
      <c r="GF63" s="1866"/>
      <c r="GG63" s="1866"/>
      <c r="GH63" s="1866"/>
      <c r="GI63" s="1866"/>
      <c r="GJ63" s="1866"/>
      <c r="GK63" s="1866"/>
      <c r="GL63" s="1866"/>
      <c r="GM63" s="1866"/>
      <c r="GN63" s="1866"/>
      <c r="GO63" s="1866"/>
      <c r="GP63" s="1866"/>
      <c r="GQ63" s="1866"/>
      <c r="GR63" s="1866"/>
      <c r="GS63" s="1866"/>
      <c r="GT63" s="1866"/>
      <c r="GU63" s="1866"/>
      <c r="GV63" s="1866"/>
      <c r="GW63" s="1866"/>
      <c r="GX63" s="1866"/>
      <c r="GY63" s="1866"/>
      <c r="GZ63" s="1866"/>
      <c r="HA63" s="1866"/>
      <c r="HB63" s="1866"/>
      <c r="HC63" s="1866"/>
      <c r="HD63" s="1866"/>
      <c r="HE63" s="1866"/>
      <c r="HF63" s="1866"/>
      <c r="HG63" s="1866"/>
      <c r="HH63" s="1866"/>
      <c r="HI63" s="1866"/>
      <c r="HJ63" s="1866"/>
      <c r="HK63" s="1866"/>
      <c r="HL63" s="1866"/>
      <c r="HM63" s="1866"/>
      <c r="HN63" s="1866"/>
      <c r="HO63" s="1866"/>
      <c r="HP63" s="1866"/>
      <c r="HQ63" s="1866"/>
      <c r="HR63" s="1866"/>
      <c r="HS63" s="1866"/>
      <c r="HT63" s="1866"/>
      <c r="HU63" s="1866"/>
      <c r="HV63" s="1866"/>
      <c r="HW63" s="1866"/>
      <c r="HX63" s="1866"/>
      <c r="HY63" s="1866"/>
      <c r="HZ63" s="1866"/>
      <c r="IA63" s="1866"/>
      <c r="IB63" s="1866"/>
      <c r="IC63" s="1866"/>
      <c r="ID63" s="1866"/>
      <c r="IE63" s="1866"/>
      <c r="IF63" s="1866"/>
      <c r="IG63" s="1866"/>
      <c r="IH63" s="1866"/>
      <c r="II63" s="1866"/>
      <c r="IJ63" s="1866"/>
      <c r="IK63" s="1866"/>
      <c r="IL63" s="1866"/>
      <c r="IM63" s="1866"/>
      <c r="IN63" s="1866"/>
      <c r="IO63" s="1866"/>
      <c r="IP63" s="1866"/>
      <c r="IQ63" s="1866"/>
      <c r="IR63" s="1866"/>
      <c r="IS63" s="1866"/>
      <c r="IT63" s="1866"/>
      <c r="IU63" s="1866"/>
      <c r="IV63" s="1866"/>
    </row>
    <row r="64" spans="1:256" ht="18" customHeight="1">
      <c r="A64" s="1866"/>
      <c r="B64" s="1695"/>
      <c r="C64" s="1365"/>
      <c r="D64" s="1712"/>
      <c r="E64" s="1703" t="s">
        <v>1135</v>
      </c>
      <c r="F64" s="1706"/>
      <c r="G64" s="1703"/>
      <c r="H64" s="1707"/>
      <c r="I64" s="1719">
        <v>0.91</v>
      </c>
      <c r="J64" s="1181" t="s">
        <v>774</v>
      </c>
      <c r="K64" s="1709"/>
      <c r="L64" s="1702"/>
      <c r="M64" s="1719">
        <f>I64*M62</f>
        <v>0.91</v>
      </c>
      <c r="N64" s="1182"/>
      <c r="O64" s="1366"/>
      <c r="P64" s="1720">
        <f>I64*P62</f>
        <v>0.91</v>
      </c>
      <c r="Q64" s="1866"/>
      <c r="R64" s="1866"/>
      <c r="S64" s="1866"/>
      <c r="T64" s="1866"/>
      <c r="U64" s="1866"/>
      <c r="V64" s="1866"/>
      <c r="W64" s="1866"/>
      <c r="X64" s="1866"/>
      <c r="Y64" s="1866"/>
      <c r="Z64" s="1866"/>
      <c r="AA64" s="1866"/>
      <c r="AB64" s="1866"/>
      <c r="AC64" s="1866"/>
      <c r="AD64" s="1866"/>
      <c r="AE64" s="1866"/>
      <c r="AF64" s="1866"/>
      <c r="AG64" s="1866"/>
      <c r="AH64" s="1866"/>
      <c r="AI64" s="1866"/>
      <c r="AJ64" s="1866"/>
      <c r="AK64" s="1866"/>
      <c r="AL64" s="1866"/>
      <c r="AM64" s="1866"/>
      <c r="AN64" s="1866"/>
      <c r="AO64" s="1866"/>
      <c r="AP64" s="1866"/>
      <c r="AQ64" s="1866"/>
      <c r="AR64" s="1866"/>
      <c r="AS64" s="1866"/>
      <c r="AT64" s="1866"/>
      <c r="AU64" s="1866"/>
      <c r="AV64" s="1866"/>
      <c r="AW64" s="1866"/>
      <c r="AX64" s="1866"/>
      <c r="AY64" s="1866"/>
      <c r="AZ64" s="1866"/>
      <c r="BA64" s="1866"/>
      <c r="BB64" s="1866"/>
      <c r="BC64" s="1866"/>
      <c r="BD64" s="1866"/>
      <c r="BE64" s="1866"/>
      <c r="BF64" s="1866"/>
      <c r="BG64" s="1866"/>
      <c r="BH64" s="1866"/>
      <c r="BI64" s="1866"/>
      <c r="BJ64" s="1866"/>
      <c r="BK64" s="1866"/>
      <c r="BL64" s="1866"/>
      <c r="BM64" s="1866"/>
      <c r="BN64" s="1866"/>
      <c r="BO64" s="1866"/>
      <c r="BP64" s="1866"/>
      <c r="BQ64" s="1866"/>
      <c r="BR64" s="1866"/>
      <c r="BS64" s="1866"/>
      <c r="BT64" s="1866"/>
      <c r="BU64" s="1866"/>
      <c r="BV64" s="1866"/>
      <c r="BW64" s="1866"/>
      <c r="BX64" s="1866"/>
      <c r="BY64" s="1866"/>
      <c r="BZ64" s="1866"/>
      <c r="CA64" s="1866"/>
      <c r="CB64" s="1866"/>
      <c r="CC64" s="1866"/>
      <c r="CD64" s="1866"/>
      <c r="CE64" s="1866"/>
      <c r="CF64" s="1866"/>
      <c r="CG64" s="1866"/>
      <c r="CH64" s="1866"/>
      <c r="CI64" s="1866"/>
      <c r="CJ64" s="1866"/>
      <c r="CK64" s="1866"/>
      <c r="CL64" s="1866"/>
      <c r="CM64" s="1866"/>
      <c r="CN64" s="1866"/>
      <c r="CO64" s="1866"/>
      <c r="CP64" s="1866"/>
      <c r="CQ64" s="1866"/>
      <c r="CR64" s="1866"/>
      <c r="CS64" s="1866"/>
      <c r="CT64" s="1866"/>
      <c r="CU64" s="1866"/>
      <c r="CV64" s="1866"/>
      <c r="CW64" s="1866"/>
      <c r="CX64" s="1866"/>
      <c r="CY64" s="1866"/>
      <c r="CZ64" s="1866"/>
      <c r="DA64" s="1866"/>
      <c r="DB64" s="1866"/>
      <c r="DC64" s="1866"/>
      <c r="DD64" s="1866"/>
      <c r="DE64" s="1866"/>
      <c r="DF64" s="1866"/>
      <c r="DG64" s="1866"/>
      <c r="DH64" s="1866"/>
      <c r="DI64" s="1866"/>
      <c r="DJ64" s="1866"/>
      <c r="DK64" s="1866"/>
      <c r="DL64" s="1866"/>
      <c r="DM64" s="1866"/>
      <c r="DN64" s="1866"/>
      <c r="DO64" s="1866"/>
      <c r="DP64" s="1866"/>
      <c r="DQ64" s="1866"/>
      <c r="DR64" s="1866"/>
      <c r="DS64" s="1866"/>
      <c r="DT64" s="1866"/>
      <c r="DU64" s="1866"/>
      <c r="DV64" s="1866"/>
      <c r="DW64" s="1866"/>
      <c r="DX64" s="1866"/>
      <c r="DY64" s="1866"/>
      <c r="DZ64" s="1866"/>
      <c r="EA64" s="1866"/>
      <c r="EB64" s="1866"/>
      <c r="EC64" s="1866"/>
      <c r="ED64" s="1866"/>
      <c r="EE64" s="1866"/>
      <c r="EF64" s="1866"/>
      <c r="EG64" s="1866"/>
      <c r="EH64" s="1866"/>
      <c r="EI64" s="1866"/>
      <c r="EJ64" s="1866"/>
      <c r="EK64" s="1866"/>
      <c r="EL64" s="1866"/>
      <c r="EM64" s="1866"/>
      <c r="EN64" s="1866"/>
      <c r="EO64" s="1866"/>
      <c r="EP64" s="1866"/>
      <c r="EQ64" s="1866"/>
      <c r="ER64" s="1866"/>
      <c r="ES64" s="1866"/>
      <c r="ET64" s="1866"/>
      <c r="EU64" s="1866"/>
      <c r="EV64" s="1866"/>
      <c r="EW64" s="1866"/>
      <c r="EX64" s="1866"/>
      <c r="EY64" s="1866"/>
      <c r="EZ64" s="1866"/>
      <c r="FA64" s="1866"/>
      <c r="FB64" s="1866"/>
      <c r="FC64" s="1866"/>
      <c r="FD64" s="1866"/>
      <c r="FE64" s="1866"/>
      <c r="FF64" s="1866"/>
      <c r="FG64" s="1866"/>
      <c r="FH64" s="1866"/>
      <c r="FI64" s="1866"/>
      <c r="FJ64" s="1866"/>
      <c r="FK64" s="1866"/>
      <c r="FL64" s="1866"/>
      <c r="FM64" s="1866"/>
      <c r="FN64" s="1866"/>
      <c r="FO64" s="1866"/>
      <c r="FP64" s="1866"/>
      <c r="FQ64" s="1866"/>
      <c r="FR64" s="1866"/>
      <c r="FS64" s="1866"/>
      <c r="FT64" s="1866"/>
      <c r="FU64" s="1866"/>
      <c r="FV64" s="1866"/>
      <c r="FW64" s="1866"/>
      <c r="FX64" s="1866"/>
      <c r="FY64" s="1866"/>
      <c r="FZ64" s="1866"/>
      <c r="GA64" s="1866"/>
      <c r="GB64" s="1866"/>
      <c r="GC64" s="1866"/>
      <c r="GD64" s="1866"/>
      <c r="GE64" s="1866"/>
      <c r="GF64" s="1866"/>
      <c r="GG64" s="1866"/>
      <c r="GH64" s="1866"/>
      <c r="GI64" s="1866"/>
      <c r="GJ64" s="1866"/>
      <c r="GK64" s="1866"/>
      <c r="GL64" s="1866"/>
      <c r="GM64" s="1866"/>
      <c r="GN64" s="1866"/>
      <c r="GO64" s="1866"/>
      <c r="GP64" s="1866"/>
      <c r="GQ64" s="1866"/>
      <c r="GR64" s="1866"/>
      <c r="GS64" s="1866"/>
      <c r="GT64" s="1866"/>
      <c r="GU64" s="1866"/>
      <c r="GV64" s="1866"/>
      <c r="GW64" s="1866"/>
      <c r="GX64" s="1866"/>
      <c r="GY64" s="1866"/>
      <c r="GZ64" s="1866"/>
      <c r="HA64" s="1866"/>
      <c r="HB64" s="1866"/>
      <c r="HC64" s="1866"/>
      <c r="HD64" s="1866"/>
      <c r="HE64" s="1866"/>
      <c r="HF64" s="1866"/>
      <c r="HG64" s="1866"/>
      <c r="HH64" s="1866"/>
      <c r="HI64" s="1866"/>
      <c r="HJ64" s="1866"/>
      <c r="HK64" s="1866"/>
      <c r="HL64" s="1866"/>
      <c r="HM64" s="1866"/>
      <c r="HN64" s="1866"/>
      <c r="HO64" s="1866"/>
      <c r="HP64" s="1866"/>
      <c r="HQ64" s="1866"/>
      <c r="HR64" s="1866"/>
      <c r="HS64" s="1866"/>
      <c r="HT64" s="1866"/>
      <c r="HU64" s="1866"/>
      <c r="HV64" s="1866"/>
      <c r="HW64" s="1866"/>
      <c r="HX64" s="1866"/>
      <c r="HY64" s="1866"/>
      <c r="HZ64" s="1866"/>
      <c r="IA64" s="1866"/>
      <c r="IB64" s="1866"/>
      <c r="IC64" s="1866"/>
      <c r="ID64" s="1866"/>
      <c r="IE64" s="1866"/>
      <c r="IF64" s="1866"/>
      <c r="IG64" s="1866"/>
      <c r="IH64" s="1866"/>
      <c r="II64" s="1866"/>
      <c r="IJ64" s="1866"/>
      <c r="IK64" s="1866"/>
      <c r="IL64" s="1866"/>
      <c r="IM64" s="1866"/>
      <c r="IN64" s="1866"/>
      <c r="IO64" s="1866"/>
      <c r="IP64" s="1866"/>
      <c r="IQ64" s="1866"/>
      <c r="IR64" s="1866"/>
      <c r="IS64" s="1866"/>
      <c r="IT64" s="1866"/>
      <c r="IU64" s="1866"/>
      <c r="IV64" s="1866"/>
    </row>
    <row r="65" spans="1:256" ht="18" hidden="1" customHeight="1">
      <c r="A65" s="1866"/>
      <c r="B65" s="1695"/>
      <c r="C65" s="1365"/>
      <c r="D65" s="1696"/>
      <c r="E65" s="1696"/>
      <c r="F65" s="1696"/>
      <c r="G65" s="1696"/>
      <c r="H65" s="1696"/>
      <c r="I65" s="1696"/>
      <c r="J65" s="1696"/>
      <c r="K65" s="1696"/>
      <c r="L65" s="1696"/>
      <c r="M65" s="1721"/>
      <c r="N65" s="1182"/>
      <c r="O65" s="1366"/>
      <c r="P65" s="1701"/>
      <c r="Q65" s="1866"/>
      <c r="R65" s="1866"/>
      <c r="S65" s="1866"/>
      <c r="T65" s="1866"/>
      <c r="U65" s="1866"/>
      <c r="V65" s="1866"/>
      <c r="W65" s="1866"/>
      <c r="X65" s="1866"/>
      <c r="Y65" s="1866"/>
      <c r="Z65" s="1866"/>
      <c r="AA65" s="1866"/>
      <c r="AB65" s="1866"/>
      <c r="AC65" s="1866"/>
      <c r="AD65" s="1866"/>
      <c r="AE65" s="1866"/>
      <c r="AF65" s="1866"/>
      <c r="AG65" s="1866"/>
      <c r="AH65" s="1866"/>
      <c r="AI65" s="1866"/>
      <c r="AJ65" s="1866"/>
      <c r="AK65" s="1866"/>
      <c r="AL65" s="1866"/>
      <c r="AM65" s="1866"/>
      <c r="AN65" s="1866"/>
      <c r="AO65" s="1866"/>
      <c r="AP65" s="1866"/>
      <c r="AQ65" s="1866"/>
      <c r="AR65" s="1866"/>
      <c r="AS65" s="1866"/>
      <c r="AT65" s="1866"/>
      <c r="AU65" s="1866"/>
      <c r="AV65" s="1866"/>
      <c r="AW65" s="1866"/>
      <c r="AX65" s="1866"/>
      <c r="AY65" s="1866"/>
      <c r="AZ65" s="1866"/>
      <c r="BA65" s="1866"/>
      <c r="BB65" s="1866"/>
      <c r="BC65" s="1866"/>
      <c r="BD65" s="1866"/>
      <c r="BE65" s="1866"/>
      <c r="BF65" s="1866"/>
      <c r="BG65" s="1866"/>
      <c r="BH65" s="1866"/>
      <c r="BI65" s="1866"/>
      <c r="BJ65" s="1866"/>
      <c r="BK65" s="1866"/>
      <c r="BL65" s="1866"/>
      <c r="BM65" s="1866"/>
      <c r="BN65" s="1866"/>
      <c r="BO65" s="1866"/>
      <c r="BP65" s="1866"/>
      <c r="BQ65" s="1866"/>
      <c r="BR65" s="1866"/>
      <c r="BS65" s="1866"/>
      <c r="BT65" s="1866"/>
      <c r="BU65" s="1866"/>
      <c r="BV65" s="1866"/>
      <c r="BW65" s="1866"/>
      <c r="BX65" s="1866"/>
      <c r="BY65" s="1866"/>
      <c r="BZ65" s="1866"/>
      <c r="CA65" s="1866"/>
      <c r="CB65" s="1866"/>
      <c r="CC65" s="1866"/>
      <c r="CD65" s="1866"/>
      <c r="CE65" s="1866"/>
      <c r="CF65" s="1866"/>
      <c r="CG65" s="1866"/>
      <c r="CH65" s="1866"/>
      <c r="CI65" s="1866"/>
      <c r="CJ65" s="1866"/>
      <c r="CK65" s="1866"/>
      <c r="CL65" s="1866"/>
      <c r="CM65" s="1866"/>
      <c r="CN65" s="1866"/>
      <c r="CO65" s="1866"/>
      <c r="CP65" s="1866"/>
      <c r="CQ65" s="1866"/>
      <c r="CR65" s="1866"/>
      <c r="CS65" s="1866"/>
      <c r="CT65" s="1866"/>
      <c r="CU65" s="1866"/>
      <c r="CV65" s="1866"/>
      <c r="CW65" s="1866"/>
      <c r="CX65" s="1866"/>
      <c r="CY65" s="1866"/>
      <c r="CZ65" s="1866"/>
      <c r="DA65" s="1866"/>
      <c r="DB65" s="1866"/>
      <c r="DC65" s="1866"/>
      <c r="DD65" s="1866"/>
      <c r="DE65" s="1866"/>
      <c r="DF65" s="1866"/>
      <c r="DG65" s="1866"/>
      <c r="DH65" s="1866"/>
      <c r="DI65" s="1866"/>
      <c r="DJ65" s="1866"/>
      <c r="DK65" s="1866"/>
      <c r="DL65" s="1866"/>
      <c r="DM65" s="1866"/>
      <c r="DN65" s="1866"/>
      <c r="DO65" s="1866"/>
      <c r="DP65" s="1866"/>
      <c r="DQ65" s="1866"/>
      <c r="DR65" s="1866"/>
      <c r="DS65" s="1866"/>
      <c r="DT65" s="1866"/>
      <c r="DU65" s="1866"/>
      <c r="DV65" s="1866"/>
      <c r="DW65" s="1866"/>
      <c r="DX65" s="1866"/>
      <c r="DY65" s="1866"/>
      <c r="DZ65" s="1866"/>
      <c r="EA65" s="1866"/>
      <c r="EB65" s="1866"/>
      <c r="EC65" s="1866"/>
      <c r="ED65" s="1866"/>
      <c r="EE65" s="1866"/>
      <c r="EF65" s="1866"/>
      <c r="EG65" s="1866"/>
      <c r="EH65" s="1866"/>
      <c r="EI65" s="1866"/>
      <c r="EJ65" s="1866"/>
      <c r="EK65" s="1866"/>
      <c r="EL65" s="1866"/>
      <c r="EM65" s="1866"/>
      <c r="EN65" s="1866"/>
      <c r="EO65" s="1866"/>
      <c r="EP65" s="1866"/>
      <c r="EQ65" s="1866"/>
      <c r="ER65" s="1866"/>
      <c r="ES65" s="1866"/>
      <c r="ET65" s="1866"/>
      <c r="EU65" s="1866"/>
      <c r="EV65" s="1866"/>
      <c r="EW65" s="1866"/>
      <c r="EX65" s="1866"/>
      <c r="EY65" s="1866"/>
      <c r="EZ65" s="1866"/>
      <c r="FA65" s="1866"/>
      <c r="FB65" s="1866"/>
      <c r="FC65" s="1866"/>
      <c r="FD65" s="1866"/>
      <c r="FE65" s="1866"/>
      <c r="FF65" s="1866"/>
      <c r="FG65" s="1866"/>
      <c r="FH65" s="1866"/>
      <c r="FI65" s="1866"/>
      <c r="FJ65" s="1866"/>
      <c r="FK65" s="1866"/>
      <c r="FL65" s="1866"/>
      <c r="FM65" s="1866"/>
      <c r="FN65" s="1866"/>
      <c r="FO65" s="1866"/>
      <c r="FP65" s="1866"/>
      <c r="FQ65" s="1866"/>
      <c r="FR65" s="1866"/>
      <c r="FS65" s="1866"/>
      <c r="FT65" s="1866"/>
      <c r="FU65" s="1866"/>
      <c r="FV65" s="1866"/>
      <c r="FW65" s="1866"/>
      <c r="FX65" s="1866"/>
      <c r="FY65" s="1866"/>
      <c r="FZ65" s="1866"/>
      <c r="GA65" s="1866"/>
      <c r="GB65" s="1866"/>
      <c r="GC65" s="1866"/>
      <c r="GD65" s="1866"/>
      <c r="GE65" s="1866"/>
      <c r="GF65" s="1866"/>
      <c r="GG65" s="1866"/>
      <c r="GH65" s="1866"/>
      <c r="GI65" s="1866"/>
      <c r="GJ65" s="1866"/>
      <c r="GK65" s="1866"/>
      <c r="GL65" s="1866"/>
      <c r="GM65" s="1866"/>
      <c r="GN65" s="1866"/>
      <c r="GO65" s="1866"/>
      <c r="GP65" s="1866"/>
      <c r="GQ65" s="1866"/>
      <c r="GR65" s="1866"/>
      <c r="GS65" s="1866"/>
      <c r="GT65" s="1866"/>
      <c r="GU65" s="1866"/>
      <c r="GV65" s="1866"/>
      <c r="GW65" s="1866"/>
      <c r="GX65" s="1866"/>
      <c r="GY65" s="1866"/>
      <c r="GZ65" s="1866"/>
      <c r="HA65" s="1866"/>
      <c r="HB65" s="1866"/>
      <c r="HC65" s="1866"/>
      <c r="HD65" s="1866"/>
      <c r="HE65" s="1866"/>
      <c r="HF65" s="1866"/>
      <c r="HG65" s="1866"/>
      <c r="HH65" s="1866"/>
      <c r="HI65" s="1866"/>
      <c r="HJ65" s="1866"/>
      <c r="HK65" s="1866"/>
      <c r="HL65" s="1866"/>
      <c r="HM65" s="1866"/>
      <c r="HN65" s="1866"/>
      <c r="HO65" s="1866"/>
      <c r="HP65" s="1866"/>
      <c r="HQ65" s="1866"/>
      <c r="HR65" s="1866"/>
      <c r="HS65" s="1866"/>
      <c r="HT65" s="1866"/>
      <c r="HU65" s="1866"/>
      <c r="HV65" s="1866"/>
      <c r="HW65" s="1866"/>
      <c r="HX65" s="1866"/>
      <c r="HY65" s="1866"/>
      <c r="HZ65" s="1866"/>
      <c r="IA65" s="1866"/>
      <c r="IB65" s="1866"/>
      <c r="IC65" s="1866"/>
      <c r="ID65" s="1866"/>
      <c r="IE65" s="1866"/>
      <c r="IF65" s="1866"/>
      <c r="IG65" s="1866"/>
      <c r="IH65" s="1866"/>
      <c r="II65" s="1866"/>
      <c r="IJ65" s="1866"/>
      <c r="IK65" s="1866"/>
      <c r="IL65" s="1866"/>
      <c r="IM65" s="1866"/>
      <c r="IN65" s="1866"/>
      <c r="IO65" s="1866"/>
      <c r="IP65" s="1866"/>
      <c r="IQ65" s="1866"/>
      <c r="IR65" s="1866"/>
      <c r="IS65" s="1866"/>
      <c r="IT65" s="1866"/>
      <c r="IU65" s="1866"/>
      <c r="IV65" s="1866"/>
    </row>
    <row r="66" spans="1:256" ht="18" hidden="1" customHeight="1">
      <c r="A66" s="1866"/>
      <c r="B66" s="1695"/>
      <c r="C66" s="1365"/>
      <c r="D66" s="1722" t="s">
        <v>679</v>
      </c>
      <c r="E66" s="1696"/>
      <c r="F66" s="1696"/>
      <c r="G66" s="1696"/>
      <c r="H66" s="1696"/>
      <c r="I66" s="1190" t="s">
        <v>255</v>
      </c>
      <c r="J66" s="1190" t="s">
        <v>256</v>
      </c>
      <c r="K66" s="1190" t="s">
        <v>257</v>
      </c>
      <c r="L66" s="1711" t="s">
        <v>675</v>
      </c>
      <c r="M66" s="1711" t="s">
        <v>680</v>
      </c>
      <c r="N66" s="1182"/>
      <c r="O66" s="1366"/>
      <c r="P66" s="1701"/>
      <c r="Q66" s="1866"/>
      <c r="R66" s="1866"/>
      <c r="S66" s="1866"/>
      <c r="T66" s="1866"/>
      <c r="U66" s="1866"/>
      <c r="V66" s="1866"/>
      <c r="W66" s="1866"/>
      <c r="X66" s="1866"/>
      <c r="Y66" s="1866"/>
      <c r="Z66" s="1866"/>
      <c r="AA66" s="1866"/>
      <c r="AB66" s="1866"/>
      <c r="AC66" s="1866"/>
      <c r="AD66" s="1866"/>
      <c r="AE66" s="1866"/>
      <c r="AF66" s="1866"/>
      <c r="AG66" s="1866"/>
      <c r="AH66" s="1866"/>
      <c r="AI66" s="1866"/>
      <c r="AJ66" s="1866"/>
      <c r="AK66" s="1866"/>
      <c r="AL66" s="1866"/>
      <c r="AM66" s="1866"/>
      <c r="AN66" s="1866"/>
      <c r="AO66" s="1866"/>
      <c r="AP66" s="1866"/>
      <c r="AQ66" s="1866"/>
      <c r="AR66" s="1866"/>
      <c r="AS66" s="1866"/>
      <c r="AT66" s="1866"/>
      <c r="AU66" s="1866"/>
      <c r="AV66" s="1866"/>
      <c r="AW66" s="1866"/>
      <c r="AX66" s="1866"/>
      <c r="AY66" s="1866"/>
      <c r="AZ66" s="1866"/>
      <c r="BA66" s="1866"/>
      <c r="BB66" s="1866"/>
      <c r="BC66" s="1866"/>
      <c r="BD66" s="1866"/>
      <c r="BE66" s="1866"/>
      <c r="BF66" s="1866"/>
      <c r="BG66" s="1866"/>
      <c r="BH66" s="1866"/>
      <c r="BI66" s="1866"/>
      <c r="BJ66" s="1866"/>
      <c r="BK66" s="1866"/>
      <c r="BL66" s="1866"/>
      <c r="BM66" s="1866"/>
      <c r="BN66" s="1866"/>
      <c r="BO66" s="1866"/>
      <c r="BP66" s="1866"/>
      <c r="BQ66" s="1866"/>
      <c r="BR66" s="1866"/>
      <c r="BS66" s="1866"/>
      <c r="BT66" s="1866"/>
      <c r="BU66" s="1866"/>
      <c r="BV66" s="1866"/>
      <c r="BW66" s="1866"/>
      <c r="BX66" s="1866"/>
      <c r="BY66" s="1866"/>
      <c r="BZ66" s="1866"/>
      <c r="CA66" s="1866"/>
      <c r="CB66" s="1866"/>
      <c r="CC66" s="1866"/>
      <c r="CD66" s="1866"/>
      <c r="CE66" s="1866"/>
      <c r="CF66" s="1866"/>
      <c r="CG66" s="1866"/>
      <c r="CH66" s="1866"/>
      <c r="CI66" s="1866"/>
      <c r="CJ66" s="1866"/>
      <c r="CK66" s="1866"/>
      <c r="CL66" s="1866"/>
      <c r="CM66" s="1866"/>
      <c r="CN66" s="1866"/>
      <c r="CO66" s="1866"/>
      <c r="CP66" s="1866"/>
      <c r="CQ66" s="1866"/>
      <c r="CR66" s="1866"/>
      <c r="CS66" s="1866"/>
      <c r="CT66" s="1866"/>
      <c r="CU66" s="1866"/>
      <c r="CV66" s="1866"/>
      <c r="CW66" s="1866"/>
      <c r="CX66" s="1866"/>
      <c r="CY66" s="1866"/>
      <c r="CZ66" s="1866"/>
      <c r="DA66" s="1866"/>
      <c r="DB66" s="1866"/>
      <c r="DC66" s="1866"/>
      <c r="DD66" s="1866"/>
      <c r="DE66" s="1866"/>
      <c r="DF66" s="1866"/>
      <c r="DG66" s="1866"/>
      <c r="DH66" s="1866"/>
      <c r="DI66" s="1866"/>
      <c r="DJ66" s="1866"/>
      <c r="DK66" s="1866"/>
      <c r="DL66" s="1866"/>
      <c r="DM66" s="1866"/>
      <c r="DN66" s="1866"/>
      <c r="DO66" s="1866"/>
      <c r="DP66" s="1866"/>
      <c r="DQ66" s="1866"/>
      <c r="DR66" s="1866"/>
      <c r="DS66" s="1866"/>
      <c r="DT66" s="1866"/>
      <c r="DU66" s="1866"/>
      <c r="DV66" s="1866"/>
      <c r="DW66" s="1866"/>
      <c r="DX66" s="1866"/>
      <c r="DY66" s="1866"/>
      <c r="DZ66" s="1866"/>
      <c r="EA66" s="1866"/>
      <c r="EB66" s="1866"/>
      <c r="EC66" s="1866"/>
      <c r="ED66" s="1866"/>
      <c r="EE66" s="1866"/>
      <c r="EF66" s="1866"/>
      <c r="EG66" s="1866"/>
      <c r="EH66" s="1866"/>
      <c r="EI66" s="1866"/>
      <c r="EJ66" s="1866"/>
      <c r="EK66" s="1866"/>
      <c r="EL66" s="1866"/>
      <c r="EM66" s="1866"/>
      <c r="EN66" s="1866"/>
      <c r="EO66" s="1866"/>
      <c r="EP66" s="1866"/>
      <c r="EQ66" s="1866"/>
      <c r="ER66" s="1866"/>
      <c r="ES66" s="1866"/>
      <c r="ET66" s="1866"/>
      <c r="EU66" s="1866"/>
      <c r="EV66" s="1866"/>
      <c r="EW66" s="1866"/>
      <c r="EX66" s="1866"/>
      <c r="EY66" s="1866"/>
      <c r="EZ66" s="1866"/>
      <c r="FA66" s="1866"/>
      <c r="FB66" s="1866"/>
      <c r="FC66" s="1866"/>
      <c r="FD66" s="1866"/>
      <c r="FE66" s="1866"/>
      <c r="FF66" s="1866"/>
      <c r="FG66" s="1866"/>
      <c r="FH66" s="1866"/>
      <c r="FI66" s="1866"/>
      <c r="FJ66" s="1866"/>
      <c r="FK66" s="1866"/>
      <c r="FL66" s="1866"/>
      <c r="FM66" s="1866"/>
      <c r="FN66" s="1866"/>
      <c r="FO66" s="1866"/>
      <c r="FP66" s="1866"/>
      <c r="FQ66" s="1866"/>
      <c r="FR66" s="1866"/>
      <c r="FS66" s="1866"/>
      <c r="FT66" s="1866"/>
      <c r="FU66" s="1866"/>
      <c r="FV66" s="1866"/>
      <c r="FW66" s="1866"/>
      <c r="FX66" s="1866"/>
      <c r="FY66" s="1866"/>
      <c r="FZ66" s="1866"/>
      <c r="GA66" s="1866"/>
      <c r="GB66" s="1866"/>
      <c r="GC66" s="1866"/>
      <c r="GD66" s="1866"/>
      <c r="GE66" s="1866"/>
      <c r="GF66" s="1866"/>
      <c r="GG66" s="1866"/>
      <c r="GH66" s="1866"/>
      <c r="GI66" s="1866"/>
      <c r="GJ66" s="1866"/>
      <c r="GK66" s="1866"/>
      <c r="GL66" s="1866"/>
      <c r="GM66" s="1866"/>
      <c r="GN66" s="1866"/>
      <c r="GO66" s="1866"/>
      <c r="GP66" s="1866"/>
      <c r="GQ66" s="1866"/>
      <c r="GR66" s="1866"/>
      <c r="GS66" s="1866"/>
      <c r="GT66" s="1866"/>
      <c r="GU66" s="1866"/>
      <c r="GV66" s="1866"/>
      <c r="GW66" s="1866"/>
      <c r="GX66" s="1866"/>
      <c r="GY66" s="1866"/>
      <c r="GZ66" s="1866"/>
      <c r="HA66" s="1866"/>
      <c r="HB66" s="1866"/>
      <c r="HC66" s="1866"/>
      <c r="HD66" s="1866"/>
      <c r="HE66" s="1866"/>
      <c r="HF66" s="1866"/>
      <c r="HG66" s="1866"/>
      <c r="HH66" s="1866"/>
      <c r="HI66" s="1866"/>
      <c r="HJ66" s="1866"/>
      <c r="HK66" s="1866"/>
      <c r="HL66" s="1866"/>
      <c r="HM66" s="1866"/>
      <c r="HN66" s="1866"/>
      <c r="HO66" s="1866"/>
      <c r="HP66" s="1866"/>
      <c r="HQ66" s="1866"/>
      <c r="HR66" s="1866"/>
      <c r="HS66" s="1866"/>
      <c r="HT66" s="1866"/>
      <c r="HU66" s="1866"/>
      <c r="HV66" s="1866"/>
      <c r="HW66" s="1866"/>
      <c r="HX66" s="1866"/>
      <c r="HY66" s="1866"/>
      <c r="HZ66" s="1866"/>
      <c r="IA66" s="1866"/>
      <c r="IB66" s="1866"/>
      <c r="IC66" s="1866"/>
      <c r="ID66" s="1866"/>
      <c r="IE66" s="1866"/>
      <c r="IF66" s="1866"/>
      <c r="IG66" s="1866"/>
      <c r="IH66" s="1866"/>
      <c r="II66" s="1866"/>
      <c r="IJ66" s="1866"/>
      <c r="IK66" s="1866"/>
      <c r="IL66" s="1866"/>
      <c r="IM66" s="1866"/>
      <c r="IN66" s="1866"/>
      <c r="IO66" s="1866"/>
      <c r="IP66" s="1866"/>
      <c r="IQ66" s="1866"/>
      <c r="IR66" s="1866"/>
      <c r="IS66" s="1866"/>
      <c r="IT66" s="1866"/>
      <c r="IU66" s="1866"/>
      <c r="IV66" s="1866"/>
    </row>
    <row r="67" spans="1:256" ht="18" hidden="1" customHeight="1">
      <c r="A67" s="1866"/>
      <c r="B67" s="1695"/>
      <c r="C67" s="1365"/>
      <c r="D67" s="1696"/>
      <c r="E67" s="1696"/>
      <c r="F67" s="1696"/>
      <c r="G67" s="1696"/>
      <c r="H67" s="1696"/>
      <c r="I67" s="1723">
        <v>1</v>
      </c>
      <c r="J67" s="1724">
        <v>0.97499999999999998</v>
      </c>
      <c r="K67" s="1723">
        <v>0.95</v>
      </c>
      <c r="L67" s="1715"/>
      <c r="M67" s="1725">
        <f>IF(L67&gt;=5,$K67,IF(L67&gt;=4,$J67,$I67))</f>
        <v>1</v>
      </c>
      <c r="N67" s="1182"/>
      <c r="O67" s="1366"/>
      <c r="P67" s="1701"/>
      <c r="Q67" s="1866"/>
      <c r="R67" s="1866"/>
      <c r="S67" s="1866"/>
      <c r="T67" s="1866"/>
      <c r="U67" s="1866"/>
      <c r="V67" s="1866"/>
      <c r="W67" s="1866"/>
      <c r="X67" s="1866"/>
      <c r="Y67" s="1866"/>
      <c r="Z67" s="1866"/>
      <c r="AA67" s="1866"/>
      <c r="AB67" s="1866"/>
      <c r="AC67" s="1866"/>
      <c r="AD67" s="1866"/>
      <c r="AE67" s="1866"/>
      <c r="AF67" s="1866"/>
      <c r="AG67" s="1866"/>
      <c r="AH67" s="1866"/>
      <c r="AI67" s="1866"/>
      <c r="AJ67" s="1866"/>
      <c r="AK67" s="1866"/>
      <c r="AL67" s="1866"/>
      <c r="AM67" s="1866"/>
      <c r="AN67" s="1866"/>
      <c r="AO67" s="1866"/>
      <c r="AP67" s="1866"/>
      <c r="AQ67" s="1866"/>
      <c r="AR67" s="1866"/>
      <c r="AS67" s="1866"/>
      <c r="AT67" s="1866"/>
      <c r="AU67" s="1866"/>
      <c r="AV67" s="1866"/>
      <c r="AW67" s="1866"/>
      <c r="AX67" s="1866"/>
      <c r="AY67" s="1866"/>
      <c r="AZ67" s="1866"/>
      <c r="BA67" s="1866"/>
      <c r="BB67" s="1866"/>
      <c r="BC67" s="1866"/>
      <c r="BD67" s="1866"/>
      <c r="BE67" s="1866"/>
      <c r="BF67" s="1866"/>
      <c r="BG67" s="1866"/>
      <c r="BH67" s="1866"/>
      <c r="BI67" s="1866"/>
      <c r="BJ67" s="1866"/>
      <c r="BK67" s="1866"/>
      <c r="BL67" s="1866"/>
      <c r="BM67" s="1866"/>
      <c r="BN67" s="1866"/>
      <c r="BO67" s="1866"/>
      <c r="BP67" s="1866"/>
      <c r="BQ67" s="1866"/>
      <c r="BR67" s="1866"/>
      <c r="BS67" s="1866"/>
      <c r="BT67" s="1866"/>
      <c r="BU67" s="1866"/>
      <c r="BV67" s="1866"/>
      <c r="BW67" s="1866"/>
      <c r="BX67" s="1866"/>
      <c r="BY67" s="1866"/>
      <c r="BZ67" s="1866"/>
      <c r="CA67" s="1866"/>
      <c r="CB67" s="1866"/>
      <c r="CC67" s="1866"/>
      <c r="CD67" s="1866"/>
      <c r="CE67" s="1866"/>
      <c r="CF67" s="1866"/>
      <c r="CG67" s="1866"/>
      <c r="CH67" s="1866"/>
      <c r="CI67" s="1866"/>
      <c r="CJ67" s="1866"/>
      <c r="CK67" s="1866"/>
      <c r="CL67" s="1866"/>
      <c r="CM67" s="1866"/>
      <c r="CN67" s="1866"/>
      <c r="CO67" s="1866"/>
      <c r="CP67" s="1866"/>
      <c r="CQ67" s="1866"/>
      <c r="CR67" s="1866"/>
      <c r="CS67" s="1866"/>
      <c r="CT67" s="1866"/>
      <c r="CU67" s="1866"/>
      <c r="CV67" s="1866"/>
      <c r="CW67" s="1866"/>
      <c r="CX67" s="1866"/>
      <c r="CY67" s="1866"/>
      <c r="CZ67" s="1866"/>
      <c r="DA67" s="1866"/>
      <c r="DB67" s="1866"/>
      <c r="DC67" s="1866"/>
      <c r="DD67" s="1866"/>
      <c r="DE67" s="1866"/>
      <c r="DF67" s="1866"/>
      <c r="DG67" s="1866"/>
      <c r="DH67" s="1866"/>
      <c r="DI67" s="1866"/>
      <c r="DJ67" s="1866"/>
      <c r="DK67" s="1866"/>
      <c r="DL67" s="1866"/>
      <c r="DM67" s="1866"/>
      <c r="DN67" s="1866"/>
      <c r="DO67" s="1866"/>
      <c r="DP67" s="1866"/>
      <c r="DQ67" s="1866"/>
      <c r="DR67" s="1866"/>
      <c r="DS67" s="1866"/>
      <c r="DT67" s="1866"/>
      <c r="DU67" s="1866"/>
      <c r="DV67" s="1866"/>
      <c r="DW67" s="1866"/>
      <c r="DX67" s="1866"/>
      <c r="DY67" s="1866"/>
      <c r="DZ67" s="1866"/>
      <c r="EA67" s="1866"/>
      <c r="EB67" s="1866"/>
      <c r="EC67" s="1866"/>
      <c r="ED67" s="1866"/>
      <c r="EE67" s="1866"/>
      <c r="EF67" s="1866"/>
      <c r="EG67" s="1866"/>
      <c r="EH67" s="1866"/>
      <c r="EI67" s="1866"/>
      <c r="EJ67" s="1866"/>
      <c r="EK67" s="1866"/>
      <c r="EL67" s="1866"/>
      <c r="EM67" s="1866"/>
      <c r="EN67" s="1866"/>
      <c r="EO67" s="1866"/>
      <c r="EP67" s="1866"/>
      <c r="EQ67" s="1866"/>
      <c r="ER67" s="1866"/>
      <c r="ES67" s="1866"/>
      <c r="ET67" s="1866"/>
      <c r="EU67" s="1866"/>
      <c r="EV67" s="1866"/>
      <c r="EW67" s="1866"/>
      <c r="EX67" s="1866"/>
      <c r="EY67" s="1866"/>
      <c r="EZ67" s="1866"/>
      <c r="FA67" s="1866"/>
      <c r="FB67" s="1866"/>
      <c r="FC67" s="1866"/>
      <c r="FD67" s="1866"/>
      <c r="FE67" s="1866"/>
      <c r="FF67" s="1866"/>
      <c r="FG67" s="1866"/>
      <c r="FH67" s="1866"/>
      <c r="FI67" s="1866"/>
      <c r="FJ67" s="1866"/>
      <c r="FK67" s="1866"/>
      <c r="FL67" s="1866"/>
      <c r="FM67" s="1866"/>
      <c r="FN67" s="1866"/>
      <c r="FO67" s="1866"/>
      <c r="FP67" s="1866"/>
      <c r="FQ67" s="1866"/>
      <c r="FR67" s="1866"/>
      <c r="FS67" s="1866"/>
      <c r="FT67" s="1866"/>
      <c r="FU67" s="1866"/>
      <c r="FV67" s="1866"/>
      <c r="FW67" s="1866"/>
      <c r="FX67" s="1866"/>
      <c r="FY67" s="1866"/>
      <c r="FZ67" s="1866"/>
      <c r="GA67" s="1866"/>
      <c r="GB67" s="1866"/>
      <c r="GC67" s="1866"/>
      <c r="GD67" s="1866"/>
      <c r="GE67" s="1866"/>
      <c r="GF67" s="1866"/>
      <c r="GG67" s="1866"/>
      <c r="GH67" s="1866"/>
      <c r="GI67" s="1866"/>
      <c r="GJ67" s="1866"/>
      <c r="GK67" s="1866"/>
      <c r="GL67" s="1866"/>
      <c r="GM67" s="1866"/>
      <c r="GN67" s="1866"/>
      <c r="GO67" s="1866"/>
      <c r="GP67" s="1866"/>
      <c r="GQ67" s="1866"/>
      <c r="GR67" s="1866"/>
      <c r="GS67" s="1866"/>
      <c r="GT67" s="1866"/>
      <c r="GU67" s="1866"/>
      <c r="GV67" s="1866"/>
      <c r="GW67" s="1866"/>
      <c r="GX67" s="1866"/>
      <c r="GY67" s="1866"/>
      <c r="GZ67" s="1866"/>
      <c r="HA67" s="1866"/>
      <c r="HB67" s="1866"/>
      <c r="HC67" s="1866"/>
      <c r="HD67" s="1866"/>
      <c r="HE67" s="1866"/>
      <c r="HF67" s="1866"/>
      <c r="HG67" s="1866"/>
      <c r="HH67" s="1866"/>
      <c r="HI67" s="1866"/>
      <c r="HJ67" s="1866"/>
      <c r="HK67" s="1866"/>
      <c r="HL67" s="1866"/>
      <c r="HM67" s="1866"/>
      <c r="HN67" s="1866"/>
      <c r="HO67" s="1866"/>
      <c r="HP67" s="1866"/>
      <c r="HQ67" s="1866"/>
      <c r="HR67" s="1866"/>
      <c r="HS67" s="1866"/>
      <c r="HT67" s="1866"/>
      <c r="HU67" s="1866"/>
      <c r="HV67" s="1866"/>
      <c r="HW67" s="1866"/>
      <c r="HX67" s="1866"/>
      <c r="HY67" s="1866"/>
      <c r="HZ67" s="1866"/>
      <c r="IA67" s="1866"/>
      <c r="IB67" s="1866"/>
      <c r="IC67" s="1866"/>
      <c r="ID67" s="1866"/>
      <c r="IE67" s="1866"/>
      <c r="IF67" s="1866"/>
      <c r="IG67" s="1866"/>
      <c r="IH67" s="1866"/>
      <c r="II67" s="1866"/>
      <c r="IJ67" s="1866"/>
      <c r="IK67" s="1866"/>
      <c r="IL67" s="1866"/>
      <c r="IM67" s="1866"/>
      <c r="IN67" s="1866"/>
      <c r="IO67" s="1866"/>
      <c r="IP67" s="1866"/>
      <c r="IQ67" s="1866"/>
      <c r="IR67" s="1866"/>
      <c r="IS67" s="1866"/>
      <c r="IT67" s="1866"/>
      <c r="IU67" s="1866"/>
      <c r="IV67" s="1866"/>
    </row>
    <row r="68" spans="1:256" ht="18" customHeight="1" thickBot="1">
      <c r="A68" s="1866"/>
      <c r="B68" s="1695"/>
      <c r="C68" s="1696"/>
      <c r="D68" s="1696"/>
      <c r="E68" s="1696"/>
      <c r="F68" s="1696"/>
      <c r="G68" s="1696"/>
      <c r="H68" s="1696"/>
      <c r="I68" s="1696"/>
      <c r="J68" s="1696"/>
      <c r="K68" s="1696"/>
      <c r="L68" s="1696"/>
      <c r="M68" s="1202"/>
      <c r="N68" s="1182"/>
      <c r="O68" s="1182"/>
      <c r="P68" s="1298"/>
      <c r="Q68" s="1866"/>
      <c r="R68" s="1866"/>
      <c r="S68" s="1866"/>
      <c r="T68" s="1866"/>
      <c r="U68" s="1866"/>
      <c r="V68" s="1866"/>
      <c r="W68" s="1866"/>
      <c r="X68" s="1866"/>
      <c r="Y68" s="1866"/>
      <c r="Z68" s="1866"/>
      <c r="AA68" s="1866"/>
      <c r="AB68" s="1866"/>
      <c r="AC68" s="1866"/>
      <c r="AD68" s="1866"/>
      <c r="AE68" s="1866"/>
      <c r="AF68" s="1866"/>
      <c r="AG68" s="1866"/>
      <c r="AH68" s="1866"/>
      <c r="AI68" s="1866"/>
      <c r="AJ68" s="1866"/>
      <c r="AK68" s="1866"/>
      <c r="AL68" s="1866"/>
      <c r="AM68" s="1866"/>
      <c r="AN68" s="1866"/>
      <c r="AO68" s="1866"/>
      <c r="AP68" s="1866"/>
      <c r="AQ68" s="1866"/>
      <c r="AR68" s="1866"/>
      <c r="AS68" s="1866"/>
      <c r="AT68" s="1866"/>
      <c r="AU68" s="1866"/>
      <c r="AV68" s="1866"/>
      <c r="AW68" s="1866"/>
      <c r="AX68" s="1866"/>
      <c r="AY68" s="1866"/>
      <c r="AZ68" s="1866"/>
      <c r="BA68" s="1866"/>
      <c r="BB68" s="1866"/>
      <c r="BC68" s="1866"/>
      <c r="BD68" s="1866"/>
      <c r="BE68" s="1866"/>
      <c r="BF68" s="1866"/>
      <c r="BG68" s="1866"/>
      <c r="BH68" s="1866"/>
      <c r="BI68" s="1866"/>
      <c r="BJ68" s="1866"/>
      <c r="BK68" s="1866"/>
      <c r="BL68" s="1866"/>
      <c r="BM68" s="1866"/>
      <c r="BN68" s="1866"/>
      <c r="BO68" s="1866"/>
      <c r="BP68" s="1866"/>
      <c r="BQ68" s="1866"/>
      <c r="BR68" s="1866"/>
      <c r="BS68" s="1866"/>
      <c r="BT68" s="1866"/>
      <c r="BU68" s="1866"/>
      <c r="BV68" s="1866"/>
      <c r="BW68" s="1866"/>
      <c r="BX68" s="1866"/>
      <c r="BY68" s="1866"/>
      <c r="BZ68" s="1866"/>
      <c r="CA68" s="1866"/>
      <c r="CB68" s="1866"/>
      <c r="CC68" s="1866"/>
      <c r="CD68" s="1866"/>
      <c r="CE68" s="1866"/>
      <c r="CF68" s="1866"/>
      <c r="CG68" s="1866"/>
      <c r="CH68" s="1866"/>
      <c r="CI68" s="1866"/>
      <c r="CJ68" s="1866"/>
      <c r="CK68" s="1866"/>
      <c r="CL68" s="1866"/>
      <c r="CM68" s="1866"/>
      <c r="CN68" s="1866"/>
      <c r="CO68" s="1866"/>
      <c r="CP68" s="1866"/>
      <c r="CQ68" s="1866"/>
      <c r="CR68" s="1866"/>
      <c r="CS68" s="1866"/>
      <c r="CT68" s="1866"/>
      <c r="CU68" s="1866"/>
      <c r="CV68" s="1866"/>
      <c r="CW68" s="1866"/>
      <c r="CX68" s="1866"/>
      <c r="CY68" s="1866"/>
      <c r="CZ68" s="1866"/>
      <c r="DA68" s="1866"/>
      <c r="DB68" s="1866"/>
      <c r="DC68" s="1866"/>
      <c r="DD68" s="1866"/>
      <c r="DE68" s="1866"/>
      <c r="DF68" s="1866"/>
      <c r="DG68" s="1866"/>
      <c r="DH68" s="1866"/>
      <c r="DI68" s="1866"/>
      <c r="DJ68" s="1866"/>
      <c r="DK68" s="1866"/>
      <c r="DL68" s="1866"/>
      <c r="DM68" s="1866"/>
      <c r="DN68" s="1866"/>
      <c r="DO68" s="1866"/>
      <c r="DP68" s="1866"/>
      <c r="DQ68" s="1866"/>
      <c r="DR68" s="1866"/>
      <c r="DS68" s="1866"/>
      <c r="DT68" s="1866"/>
      <c r="DU68" s="1866"/>
      <c r="DV68" s="1866"/>
      <c r="DW68" s="1866"/>
      <c r="DX68" s="1866"/>
      <c r="DY68" s="1866"/>
      <c r="DZ68" s="1866"/>
      <c r="EA68" s="1866"/>
      <c r="EB68" s="1866"/>
      <c r="EC68" s="1866"/>
      <c r="ED68" s="1866"/>
      <c r="EE68" s="1866"/>
      <c r="EF68" s="1866"/>
      <c r="EG68" s="1866"/>
      <c r="EH68" s="1866"/>
      <c r="EI68" s="1866"/>
      <c r="EJ68" s="1866"/>
      <c r="EK68" s="1866"/>
      <c r="EL68" s="1866"/>
      <c r="EM68" s="1866"/>
      <c r="EN68" s="1866"/>
      <c r="EO68" s="1866"/>
      <c r="EP68" s="1866"/>
      <c r="EQ68" s="1866"/>
      <c r="ER68" s="1866"/>
      <c r="ES68" s="1866"/>
      <c r="ET68" s="1866"/>
      <c r="EU68" s="1866"/>
      <c r="EV68" s="1866"/>
      <c r="EW68" s="1866"/>
      <c r="EX68" s="1866"/>
      <c r="EY68" s="1866"/>
      <c r="EZ68" s="1866"/>
      <c r="FA68" s="1866"/>
      <c r="FB68" s="1866"/>
      <c r="FC68" s="1866"/>
      <c r="FD68" s="1866"/>
      <c r="FE68" s="1866"/>
      <c r="FF68" s="1866"/>
      <c r="FG68" s="1866"/>
      <c r="FH68" s="1866"/>
      <c r="FI68" s="1866"/>
      <c r="FJ68" s="1866"/>
      <c r="FK68" s="1866"/>
      <c r="FL68" s="1866"/>
      <c r="FM68" s="1866"/>
      <c r="FN68" s="1866"/>
      <c r="FO68" s="1866"/>
      <c r="FP68" s="1866"/>
      <c r="FQ68" s="1866"/>
      <c r="FR68" s="1866"/>
      <c r="FS68" s="1866"/>
      <c r="FT68" s="1866"/>
      <c r="FU68" s="1866"/>
      <c r="FV68" s="1866"/>
      <c r="FW68" s="1866"/>
      <c r="FX68" s="1866"/>
      <c r="FY68" s="1866"/>
      <c r="FZ68" s="1866"/>
      <c r="GA68" s="1866"/>
      <c r="GB68" s="1866"/>
      <c r="GC68" s="1866"/>
      <c r="GD68" s="1866"/>
      <c r="GE68" s="1866"/>
      <c r="GF68" s="1866"/>
      <c r="GG68" s="1866"/>
      <c r="GH68" s="1866"/>
      <c r="GI68" s="1866"/>
      <c r="GJ68" s="1866"/>
      <c r="GK68" s="1866"/>
      <c r="GL68" s="1866"/>
      <c r="GM68" s="1866"/>
      <c r="GN68" s="1866"/>
      <c r="GO68" s="1866"/>
      <c r="GP68" s="1866"/>
      <c r="GQ68" s="1866"/>
      <c r="GR68" s="1866"/>
      <c r="GS68" s="1866"/>
      <c r="GT68" s="1866"/>
      <c r="GU68" s="1866"/>
      <c r="GV68" s="1866"/>
      <c r="GW68" s="1866"/>
      <c r="GX68" s="1866"/>
      <c r="GY68" s="1866"/>
      <c r="GZ68" s="1866"/>
      <c r="HA68" s="1866"/>
      <c r="HB68" s="1866"/>
      <c r="HC68" s="1866"/>
      <c r="HD68" s="1866"/>
      <c r="HE68" s="1866"/>
      <c r="HF68" s="1866"/>
      <c r="HG68" s="1866"/>
      <c r="HH68" s="1866"/>
      <c r="HI68" s="1866"/>
      <c r="HJ68" s="1866"/>
      <c r="HK68" s="1866"/>
      <c r="HL68" s="1866"/>
      <c r="HM68" s="1866"/>
      <c r="HN68" s="1866"/>
      <c r="HO68" s="1866"/>
      <c r="HP68" s="1866"/>
      <c r="HQ68" s="1866"/>
      <c r="HR68" s="1866"/>
      <c r="HS68" s="1866"/>
      <c r="HT68" s="1866"/>
      <c r="HU68" s="1866"/>
      <c r="HV68" s="1866"/>
      <c r="HW68" s="1866"/>
      <c r="HX68" s="1866"/>
      <c r="HY68" s="1866"/>
      <c r="HZ68" s="1866"/>
      <c r="IA68" s="1866"/>
      <c r="IB68" s="1866"/>
      <c r="IC68" s="1866"/>
      <c r="ID68" s="1866"/>
      <c r="IE68" s="1866"/>
      <c r="IF68" s="1866"/>
      <c r="IG68" s="1866"/>
      <c r="IH68" s="1866"/>
      <c r="II68" s="1866"/>
      <c r="IJ68" s="1866"/>
      <c r="IK68" s="1866"/>
      <c r="IL68" s="1866"/>
      <c r="IM68" s="1866"/>
      <c r="IN68" s="1866"/>
      <c r="IO68" s="1866"/>
      <c r="IP68" s="1866"/>
      <c r="IQ68" s="1866"/>
      <c r="IR68" s="1866"/>
      <c r="IS68" s="1866"/>
      <c r="IT68" s="1866"/>
      <c r="IU68" s="1866"/>
      <c r="IV68" s="1866"/>
    </row>
    <row r="69" spans="1:256" ht="18" customHeight="1" thickBot="1">
      <c r="A69" s="1866"/>
      <c r="B69" s="1726"/>
      <c r="C69" s="1365" t="s">
        <v>681</v>
      </c>
      <c r="D69" s="1696"/>
      <c r="E69" s="1696"/>
      <c r="F69" s="1696"/>
      <c r="G69" s="1696"/>
      <c r="H69" s="1696"/>
      <c r="I69" s="1696"/>
      <c r="J69" s="1696"/>
      <c r="K69" s="1696"/>
      <c r="L69" s="1698" t="s">
        <v>1036</v>
      </c>
      <c r="M69" s="1727" t="e">
        <f>M73+M64</f>
        <v>#VALUE!</v>
      </c>
      <c r="N69" s="1696"/>
      <c r="O69" s="1696"/>
      <c r="P69" s="1728"/>
      <c r="Q69" s="1866"/>
      <c r="R69" s="1866"/>
      <c r="S69" s="1866" t="s">
        <v>682</v>
      </c>
      <c r="T69" s="1866"/>
      <c r="U69" s="1866"/>
      <c r="V69" s="1866"/>
      <c r="W69" s="1866"/>
      <c r="X69" s="1866"/>
      <c r="Y69" s="1866"/>
      <c r="Z69" s="1866"/>
      <c r="AA69" s="1866"/>
      <c r="AB69" s="1866"/>
      <c r="AC69" s="1866"/>
      <c r="AD69" s="1866"/>
      <c r="AE69" s="1866"/>
      <c r="AF69" s="1866"/>
      <c r="AG69" s="1866"/>
      <c r="AH69" s="1866"/>
      <c r="AI69" s="1866"/>
      <c r="AJ69" s="1866"/>
      <c r="AK69" s="1866"/>
      <c r="AL69" s="1866"/>
      <c r="AM69" s="1866"/>
      <c r="AN69" s="1866"/>
      <c r="AO69" s="1866"/>
      <c r="AP69" s="1866"/>
      <c r="AQ69" s="1866"/>
      <c r="AR69" s="1866"/>
      <c r="AS69" s="1866"/>
      <c r="AT69" s="1866"/>
      <c r="AU69" s="1866"/>
      <c r="AV69" s="1866"/>
      <c r="AW69" s="1866"/>
      <c r="AX69" s="1866"/>
      <c r="AY69" s="1866"/>
      <c r="AZ69" s="1866"/>
      <c r="BA69" s="1866"/>
      <c r="BB69" s="1866"/>
      <c r="BC69" s="1866"/>
      <c r="BD69" s="1866"/>
      <c r="BE69" s="1866"/>
      <c r="BF69" s="1866"/>
      <c r="BG69" s="1866"/>
      <c r="BH69" s="1866"/>
      <c r="BI69" s="1866"/>
      <c r="BJ69" s="1866"/>
      <c r="BK69" s="1866"/>
      <c r="BL69" s="1866"/>
      <c r="BM69" s="1866"/>
      <c r="BN69" s="1866"/>
      <c r="BO69" s="1866"/>
      <c r="BP69" s="1866"/>
      <c r="BQ69" s="1866"/>
      <c r="BR69" s="1866"/>
      <c r="BS69" s="1866"/>
      <c r="BT69" s="1866"/>
      <c r="BU69" s="1866"/>
      <c r="BV69" s="1866"/>
      <c r="BW69" s="1866"/>
      <c r="BX69" s="1866"/>
      <c r="BY69" s="1866"/>
      <c r="BZ69" s="1866"/>
      <c r="CA69" s="1866"/>
      <c r="CB69" s="1866"/>
      <c r="CC69" s="1866"/>
      <c r="CD69" s="1866"/>
      <c r="CE69" s="1866"/>
      <c r="CF69" s="1866"/>
      <c r="CG69" s="1866"/>
      <c r="CH69" s="1866"/>
      <c r="CI69" s="1866"/>
      <c r="CJ69" s="1866"/>
      <c r="CK69" s="1866"/>
      <c r="CL69" s="1866"/>
      <c r="CM69" s="1866"/>
      <c r="CN69" s="1866"/>
      <c r="CO69" s="1866"/>
      <c r="CP69" s="1866"/>
      <c r="CQ69" s="1866"/>
      <c r="CR69" s="1866"/>
      <c r="CS69" s="1866"/>
      <c r="CT69" s="1866"/>
      <c r="CU69" s="1866"/>
      <c r="CV69" s="1866"/>
      <c r="CW69" s="1866"/>
      <c r="CX69" s="1866"/>
      <c r="CY69" s="1866"/>
      <c r="CZ69" s="1866"/>
      <c r="DA69" s="1866"/>
      <c r="DB69" s="1866"/>
      <c r="DC69" s="1866"/>
      <c r="DD69" s="1866"/>
      <c r="DE69" s="1866"/>
      <c r="DF69" s="1866"/>
      <c r="DG69" s="1866"/>
      <c r="DH69" s="1866"/>
      <c r="DI69" s="1866"/>
      <c r="DJ69" s="1866"/>
      <c r="DK69" s="1866"/>
      <c r="DL69" s="1866"/>
      <c r="DM69" s="1866"/>
      <c r="DN69" s="1866"/>
      <c r="DO69" s="1866"/>
      <c r="DP69" s="1866"/>
      <c r="DQ69" s="1866"/>
      <c r="DR69" s="1866"/>
      <c r="DS69" s="1866"/>
      <c r="DT69" s="1866"/>
      <c r="DU69" s="1866"/>
      <c r="DV69" s="1866"/>
      <c r="DW69" s="1866"/>
      <c r="DX69" s="1866"/>
      <c r="DY69" s="1866"/>
      <c r="DZ69" s="1866"/>
      <c r="EA69" s="1866"/>
      <c r="EB69" s="1866"/>
      <c r="EC69" s="1866"/>
      <c r="ED69" s="1866"/>
      <c r="EE69" s="1866"/>
      <c r="EF69" s="1866"/>
      <c r="EG69" s="1866"/>
      <c r="EH69" s="1866"/>
      <c r="EI69" s="1866"/>
      <c r="EJ69" s="1866"/>
      <c r="EK69" s="1866"/>
      <c r="EL69" s="1866"/>
      <c r="EM69" s="1866"/>
      <c r="EN69" s="1866"/>
      <c r="EO69" s="1866"/>
      <c r="EP69" s="1866"/>
      <c r="EQ69" s="1866"/>
      <c r="ER69" s="1866"/>
      <c r="ES69" s="1866"/>
      <c r="ET69" s="1866"/>
      <c r="EU69" s="1866"/>
      <c r="EV69" s="1866"/>
      <c r="EW69" s="1866"/>
      <c r="EX69" s="1866"/>
      <c r="EY69" s="1866"/>
      <c r="EZ69" s="1866"/>
      <c r="FA69" s="1866"/>
      <c r="FB69" s="1866"/>
      <c r="FC69" s="1866"/>
      <c r="FD69" s="1866"/>
      <c r="FE69" s="1866"/>
      <c r="FF69" s="1866"/>
      <c r="FG69" s="1866"/>
      <c r="FH69" s="1866"/>
      <c r="FI69" s="1866"/>
      <c r="FJ69" s="1866"/>
      <c r="FK69" s="1866"/>
      <c r="FL69" s="1866"/>
      <c r="FM69" s="1866"/>
      <c r="FN69" s="1866"/>
      <c r="FO69" s="1866"/>
      <c r="FP69" s="1866"/>
      <c r="FQ69" s="1866"/>
      <c r="FR69" s="1866"/>
      <c r="FS69" s="1866"/>
      <c r="FT69" s="1866"/>
      <c r="FU69" s="1866"/>
      <c r="FV69" s="1866"/>
      <c r="FW69" s="1866"/>
      <c r="FX69" s="1866"/>
      <c r="FY69" s="1866"/>
      <c r="FZ69" s="1866"/>
      <c r="GA69" s="1866"/>
      <c r="GB69" s="1866"/>
      <c r="GC69" s="1866"/>
      <c r="GD69" s="1866"/>
      <c r="GE69" s="1866"/>
      <c r="GF69" s="1866"/>
      <c r="GG69" s="1866"/>
      <c r="GH69" s="1866"/>
      <c r="GI69" s="1866"/>
      <c r="GJ69" s="1866"/>
      <c r="GK69" s="1866"/>
      <c r="GL69" s="1866"/>
      <c r="GM69" s="1866"/>
      <c r="GN69" s="1866"/>
      <c r="GO69" s="1866"/>
      <c r="GP69" s="1866"/>
      <c r="GQ69" s="1866"/>
      <c r="GR69" s="1866"/>
      <c r="GS69" s="1866"/>
      <c r="GT69" s="1866"/>
      <c r="GU69" s="1866"/>
      <c r="GV69" s="1866"/>
      <c r="GW69" s="1866"/>
      <c r="GX69" s="1866"/>
      <c r="GY69" s="1866"/>
      <c r="GZ69" s="1866"/>
      <c r="HA69" s="1866"/>
      <c r="HB69" s="1866"/>
      <c r="HC69" s="1866"/>
      <c r="HD69" s="1866"/>
      <c r="HE69" s="1866"/>
      <c r="HF69" s="1866"/>
      <c r="HG69" s="1866"/>
      <c r="HH69" s="1866"/>
      <c r="HI69" s="1866"/>
      <c r="HJ69" s="1866"/>
      <c r="HK69" s="1866"/>
      <c r="HL69" s="1866"/>
      <c r="HM69" s="1866"/>
      <c r="HN69" s="1866"/>
      <c r="HO69" s="1866"/>
      <c r="HP69" s="1866"/>
      <c r="HQ69" s="1866"/>
      <c r="HR69" s="1866"/>
      <c r="HS69" s="1866"/>
      <c r="HT69" s="1866"/>
      <c r="HU69" s="1866"/>
      <c r="HV69" s="1866"/>
      <c r="HW69" s="1866"/>
      <c r="HX69" s="1866"/>
      <c r="HY69" s="1866"/>
      <c r="HZ69" s="1866"/>
      <c r="IA69" s="1866"/>
      <c r="IB69" s="1866"/>
      <c r="IC69" s="1866"/>
      <c r="ID69" s="1866"/>
      <c r="IE69" s="1866"/>
      <c r="IF69" s="1866"/>
      <c r="IG69" s="1866"/>
      <c r="IH69" s="1866"/>
      <c r="II69" s="1866"/>
      <c r="IJ69" s="1866"/>
      <c r="IK69" s="1866"/>
      <c r="IL69" s="1866"/>
      <c r="IM69" s="1866"/>
      <c r="IN69" s="1866"/>
      <c r="IO69" s="1866"/>
      <c r="IP69" s="1866"/>
      <c r="IQ69" s="1866"/>
      <c r="IR69" s="1866"/>
      <c r="IS69" s="1866"/>
      <c r="IT69" s="1866"/>
      <c r="IU69" s="1866"/>
      <c r="IV69" s="1866"/>
    </row>
    <row r="70" spans="1:256" ht="18" customHeight="1">
      <c r="A70" s="1866"/>
      <c r="B70" s="1726"/>
      <c r="C70" s="1365"/>
      <c r="D70" s="1696"/>
      <c r="E70" s="1696" t="s">
        <v>1059</v>
      </c>
      <c r="F70" s="1696"/>
      <c r="G70" s="1696"/>
      <c r="H70" s="1696"/>
      <c r="I70" s="1719">
        <f>採点LR1!H22</f>
        <v>32879</v>
      </c>
      <c r="J70" s="1703" t="s">
        <v>650</v>
      </c>
      <c r="K70" s="1696"/>
      <c r="L70" s="1696"/>
      <c r="M70" s="1696"/>
      <c r="N70" s="1696"/>
      <c r="O70" s="1696"/>
      <c r="P70" s="1728"/>
      <c r="Q70" s="1866"/>
      <c r="R70" s="1866"/>
      <c r="S70" s="1866"/>
      <c r="T70" s="1866"/>
      <c r="U70" s="1866"/>
      <c r="V70" s="1866"/>
      <c r="W70" s="1866"/>
      <c r="X70" s="1866"/>
      <c r="Y70" s="1866"/>
      <c r="Z70" s="1866"/>
      <c r="AA70" s="1866"/>
      <c r="AB70" s="1866"/>
      <c r="AC70" s="1866"/>
      <c r="AD70" s="1866"/>
      <c r="AE70" s="1866"/>
      <c r="AF70" s="1866"/>
      <c r="AG70" s="1866"/>
      <c r="AH70" s="1866"/>
      <c r="AI70" s="1866"/>
      <c r="AJ70" s="1866"/>
      <c r="AK70" s="1866"/>
      <c r="AL70" s="1866"/>
      <c r="AM70" s="1866"/>
      <c r="AN70" s="1866"/>
      <c r="AO70" s="1866"/>
      <c r="AP70" s="1866"/>
      <c r="AQ70" s="1866"/>
      <c r="AR70" s="1866"/>
      <c r="AS70" s="1866"/>
      <c r="AT70" s="1866"/>
      <c r="AU70" s="1866"/>
      <c r="AV70" s="1866"/>
      <c r="AW70" s="1866"/>
      <c r="AX70" s="1866"/>
      <c r="AY70" s="1866"/>
      <c r="AZ70" s="1866"/>
      <c r="BA70" s="1866"/>
      <c r="BB70" s="1866"/>
      <c r="BC70" s="1866"/>
      <c r="BD70" s="1866"/>
      <c r="BE70" s="1866"/>
      <c r="BF70" s="1866"/>
      <c r="BG70" s="1866"/>
      <c r="BH70" s="1866"/>
      <c r="BI70" s="1866"/>
      <c r="BJ70" s="1866"/>
      <c r="BK70" s="1866"/>
      <c r="BL70" s="1866"/>
      <c r="BM70" s="1866"/>
      <c r="BN70" s="1866"/>
      <c r="BO70" s="1866"/>
      <c r="BP70" s="1866"/>
      <c r="BQ70" s="1866"/>
      <c r="BR70" s="1866"/>
      <c r="BS70" s="1866"/>
      <c r="BT70" s="1866"/>
      <c r="BU70" s="1866"/>
      <c r="BV70" s="1866"/>
      <c r="BW70" s="1866"/>
      <c r="BX70" s="1866"/>
      <c r="BY70" s="1866"/>
      <c r="BZ70" s="1866"/>
      <c r="CA70" s="1866"/>
      <c r="CB70" s="1866"/>
      <c r="CC70" s="1866"/>
      <c r="CD70" s="1866"/>
      <c r="CE70" s="1866"/>
      <c r="CF70" s="1866"/>
      <c r="CG70" s="1866"/>
      <c r="CH70" s="1866"/>
      <c r="CI70" s="1866"/>
      <c r="CJ70" s="1866"/>
      <c r="CK70" s="1866"/>
      <c r="CL70" s="1866"/>
      <c r="CM70" s="1866"/>
      <c r="CN70" s="1866"/>
      <c r="CO70" s="1866"/>
      <c r="CP70" s="1866"/>
      <c r="CQ70" s="1866"/>
      <c r="CR70" s="1866"/>
      <c r="CS70" s="1866"/>
      <c r="CT70" s="1866"/>
      <c r="CU70" s="1866"/>
      <c r="CV70" s="1866"/>
      <c r="CW70" s="1866"/>
      <c r="CX70" s="1866"/>
      <c r="CY70" s="1866"/>
      <c r="CZ70" s="1866"/>
      <c r="DA70" s="1866"/>
      <c r="DB70" s="1866"/>
      <c r="DC70" s="1866"/>
      <c r="DD70" s="1866"/>
      <c r="DE70" s="1866"/>
      <c r="DF70" s="1866"/>
      <c r="DG70" s="1866"/>
      <c r="DH70" s="1866"/>
      <c r="DI70" s="1866"/>
      <c r="DJ70" s="1866"/>
      <c r="DK70" s="1866"/>
      <c r="DL70" s="1866"/>
      <c r="DM70" s="1866"/>
      <c r="DN70" s="1866"/>
      <c r="DO70" s="1866"/>
      <c r="DP70" s="1866"/>
      <c r="DQ70" s="1866"/>
      <c r="DR70" s="1866"/>
      <c r="DS70" s="1866"/>
      <c r="DT70" s="1866"/>
      <c r="DU70" s="1866"/>
      <c r="DV70" s="1866"/>
      <c r="DW70" s="1866"/>
      <c r="DX70" s="1866"/>
      <c r="DY70" s="1866"/>
      <c r="DZ70" s="1866"/>
      <c r="EA70" s="1866"/>
      <c r="EB70" s="1866"/>
      <c r="EC70" s="1866"/>
      <c r="ED70" s="1866"/>
      <c r="EE70" s="1866"/>
      <c r="EF70" s="1866"/>
      <c r="EG70" s="1866"/>
      <c r="EH70" s="1866"/>
      <c r="EI70" s="1866"/>
      <c r="EJ70" s="1866"/>
      <c r="EK70" s="1866"/>
      <c r="EL70" s="1866"/>
      <c r="EM70" s="1866"/>
      <c r="EN70" s="1866"/>
      <c r="EO70" s="1866"/>
      <c r="EP70" s="1866"/>
      <c r="EQ70" s="1866"/>
      <c r="ER70" s="1866"/>
      <c r="ES70" s="1866"/>
      <c r="ET70" s="1866"/>
      <c r="EU70" s="1866"/>
      <c r="EV70" s="1866"/>
      <c r="EW70" s="1866"/>
      <c r="EX70" s="1866"/>
      <c r="EY70" s="1866"/>
      <c r="EZ70" s="1866"/>
      <c r="FA70" s="1866"/>
      <c r="FB70" s="1866"/>
      <c r="FC70" s="1866"/>
      <c r="FD70" s="1866"/>
      <c r="FE70" s="1866"/>
      <c r="FF70" s="1866"/>
      <c r="FG70" s="1866"/>
      <c r="FH70" s="1866"/>
      <c r="FI70" s="1866"/>
      <c r="FJ70" s="1866"/>
      <c r="FK70" s="1866"/>
      <c r="FL70" s="1866"/>
      <c r="FM70" s="1866"/>
      <c r="FN70" s="1866"/>
      <c r="FO70" s="1866"/>
      <c r="FP70" s="1866"/>
      <c r="FQ70" s="1866"/>
      <c r="FR70" s="1866"/>
      <c r="FS70" s="1866"/>
      <c r="FT70" s="1866"/>
      <c r="FU70" s="1866"/>
      <c r="FV70" s="1866"/>
      <c r="FW70" s="1866"/>
      <c r="FX70" s="1866"/>
      <c r="FY70" s="1866"/>
      <c r="FZ70" s="1866"/>
      <c r="GA70" s="1866"/>
      <c r="GB70" s="1866"/>
      <c r="GC70" s="1866"/>
      <c r="GD70" s="1866"/>
      <c r="GE70" s="1866"/>
      <c r="GF70" s="1866"/>
      <c r="GG70" s="1866"/>
      <c r="GH70" s="1866"/>
      <c r="GI70" s="1866"/>
      <c r="GJ70" s="1866"/>
      <c r="GK70" s="1866"/>
      <c r="GL70" s="1866"/>
      <c r="GM70" s="1866"/>
      <c r="GN70" s="1866"/>
      <c r="GO70" s="1866"/>
      <c r="GP70" s="1866"/>
      <c r="GQ70" s="1866"/>
      <c r="GR70" s="1866"/>
      <c r="GS70" s="1866"/>
      <c r="GT70" s="1866"/>
      <c r="GU70" s="1866"/>
      <c r="GV70" s="1866"/>
      <c r="GW70" s="1866"/>
      <c r="GX70" s="1866"/>
      <c r="GY70" s="1866"/>
      <c r="GZ70" s="1866"/>
      <c r="HA70" s="1866"/>
      <c r="HB70" s="1866"/>
      <c r="HC70" s="1866"/>
      <c r="HD70" s="1866"/>
      <c r="HE70" s="1866"/>
      <c r="HF70" s="1866"/>
      <c r="HG70" s="1866"/>
      <c r="HH70" s="1866"/>
      <c r="HI70" s="1866"/>
      <c r="HJ70" s="1866"/>
      <c r="HK70" s="1866"/>
      <c r="HL70" s="1866"/>
      <c r="HM70" s="1866"/>
      <c r="HN70" s="1866"/>
      <c r="HO70" s="1866"/>
      <c r="HP70" s="1866"/>
      <c r="HQ70" s="1866"/>
      <c r="HR70" s="1866"/>
      <c r="HS70" s="1866"/>
      <c r="HT70" s="1866"/>
      <c r="HU70" s="1866"/>
      <c r="HV70" s="1866"/>
      <c r="HW70" s="1866"/>
      <c r="HX70" s="1866"/>
      <c r="HY70" s="1866"/>
      <c r="HZ70" s="1866"/>
      <c r="IA70" s="1866"/>
      <c r="IB70" s="1866"/>
      <c r="IC70" s="1866"/>
      <c r="ID70" s="1866"/>
      <c r="IE70" s="1866"/>
      <c r="IF70" s="1866"/>
      <c r="IG70" s="1866"/>
      <c r="IH70" s="1866"/>
      <c r="II70" s="1866"/>
      <c r="IJ70" s="1866"/>
      <c r="IK70" s="1866"/>
      <c r="IL70" s="1866"/>
      <c r="IM70" s="1866"/>
      <c r="IN70" s="1866"/>
      <c r="IO70" s="1866"/>
      <c r="IP70" s="1866"/>
      <c r="IQ70" s="1866"/>
      <c r="IR70" s="1866"/>
      <c r="IS70" s="1866"/>
      <c r="IT70" s="1866"/>
      <c r="IU70" s="1866"/>
      <c r="IV70" s="1866"/>
    </row>
    <row r="71" spans="1:256" ht="13.5">
      <c r="A71" s="1866"/>
      <c r="B71" s="1726"/>
      <c r="C71" s="1365"/>
      <c r="D71" s="1696"/>
      <c r="E71" s="1696"/>
      <c r="F71" s="1696"/>
      <c r="G71" s="1696"/>
      <c r="H71" s="1696"/>
      <c r="I71" s="1798"/>
      <c r="J71" s="1707" t="s">
        <v>1014</v>
      </c>
      <c r="K71" s="1696" t="s">
        <v>1136</v>
      </c>
      <c r="L71" s="1696"/>
      <c r="M71" s="1696"/>
      <c r="N71" s="1696"/>
      <c r="O71" s="1696"/>
      <c r="P71" s="1728"/>
      <c r="Q71" s="1866"/>
      <c r="R71" s="1866"/>
      <c r="S71" s="1029" t="s">
        <v>789</v>
      </c>
      <c r="T71" s="1866"/>
      <c r="U71" s="1866"/>
      <c r="V71" s="1866"/>
      <c r="W71" s="1866"/>
      <c r="X71" s="1866"/>
      <c r="Y71" s="1866"/>
      <c r="Z71" s="1866"/>
      <c r="AA71" s="1866"/>
      <c r="AB71" s="1866"/>
      <c r="AC71" s="1866"/>
      <c r="AD71" s="1866"/>
      <c r="AE71" s="1866"/>
      <c r="AF71" s="1866"/>
      <c r="AG71" s="1866"/>
      <c r="AH71" s="1866"/>
      <c r="AI71" s="1866"/>
      <c r="AJ71" s="1866"/>
      <c r="AK71" s="1866"/>
      <c r="AL71" s="1866"/>
      <c r="AM71" s="1866"/>
      <c r="AN71" s="1866"/>
      <c r="AO71" s="1866"/>
      <c r="AP71" s="1866"/>
      <c r="AQ71" s="1866"/>
      <c r="AR71" s="1866"/>
      <c r="AS71" s="1866"/>
      <c r="AT71" s="1866"/>
      <c r="AU71" s="1866"/>
      <c r="AV71" s="1866"/>
      <c r="AW71" s="1866"/>
      <c r="AX71" s="1866"/>
      <c r="AY71" s="1866"/>
      <c r="AZ71" s="1866"/>
      <c r="BA71" s="1866"/>
      <c r="BB71" s="1866"/>
      <c r="BC71" s="1866"/>
      <c r="BD71" s="1866"/>
      <c r="BE71" s="1866"/>
      <c r="BF71" s="1866"/>
      <c r="BG71" s="1866"/>
      <c r="BH71" s="1866"/>
      <c r="BI71" s="1866"/>
      <c r="BJ71" s="1866"/>
      <c r="BK71" s="1866"/>
      <c r="BL71" s="1866"/>
      <c r="BM71" s="1866"/>
      <c r="BN71" s="1866"/>
      <c r="BO71" s="1866"/>
      <c r="BP71" s="1866"/>
      <c r="BQ71" s="1866"/>
      <c r="BR71" s="1866"/>
      <c r="BS71" s="1866"/>
      <c r="BT71" s="1866"/>
      <c r="BU71" s="1866"/>
      <c r="BV71" s="1866"/>
      <c r="BW71" s="1866"/>
      <c r="BX71" s="1866"/>
      <c r="BY71" s="1866"/>
      <c r="BZ71" s="1866"/>
      <c r="CA71" s="1866"/>
      <c r="CB71" s="1866"/>
      <c r="CC71" s="1866"/>
      <c r="CD71" s="1866"/>
      <c r="CE71" s="1866"/>
      <c r="CF71" s="1866"/>
      <c r="CG71" s="1866"/>
      <c r="CH71" s="1866"/>
      <c r="CI71" s="1866"/>
      <c r="CJ71" s="1866"/>
      <c r="CK71" s="1866"/>
      <c r="CL71" s="1866"/>
      <c r="CM71" s="1866"/>
      <c r="CN71" s="1866"/>
      <c r="CO71" s="1866"/>
      <c r="CP71" s="1866"/>
      <c r="CQ71" s="1866"/>
      <c r="CR71" s="1866"/>
      <c r="CS71" s="1866"/>
      <c r="CT71" s="1866"/>
      <c r="CU71" s="1866"/>
      <c r="CV71" s="1866"/>
      <c r="CW71" s="1866"/>
      <c r="CX71" s="1866"/>
      <c r="CY71" s="1866"/>
      <c r="CZ71" s="1866"/>
      <c r="DA71" s="1866"/>
      <c r="DB71" s="1866"/>
      <c r="DC71" s="1866"/>
      <c r="DD71" s="1866"/>
      <c r="DE71" s="1866"/>
      <c r="DF71" s="1866"/>
      <c r="DG71" s="1866"/>
      <c r="DH71" s="1866"/>
      <c r="DI71" s="1866"/>
      <c r="DJ71" s="1866"/>
      <c r="DK71" s="1866"/>
      <c r="DL71" s="1866"/>
      <c r="DM71" s="1866"/>
      <c r="DN71" s="1866"/>
      <c r="DO71" s="1866"/>
      <c r="DP71" s="1866"/>
      <c r="DQ71" s="1866"/>
      <c r="DR71" s="1866"/>
      <c r="DS71" s="1866"/>
      <c r="DT71" s="1866"/>
      <c r="DU71" s="1866"/>
      <c r="DV71" s="1866"/>
      <c r="DW71" s="1866"/>
      <c r="DX71" s="1866"/>
      <c r="DY71" s="1866"/>
      <c r="DZ71" s="1866"/>
      <c r="EA71" s="1866"/>
      <c r="EB71" s="1866"/>
      <c r="EC71" s="1866"/>
      <c r="ED71" s="1866"/>
      <c r="EE71" s="1866"/>
      <c r="EF71" s="1866"/>
      <c r="EG71" s="1866"/>
      <c r="EH71" s="1866"/>
      <c r="EI71" s="1866"/>
      <c r="EJ71" s="1866"/>
      <c r="EK71" s="1866"/>
      <c r="EL71" s="1866"/>
      <c r="EM71" s="1866"/>
      <c r="EN71" s="1866"/>
      <c r="EO71" s="1866"/>
      <c r="EP71" s="1866"/>
      <c r="EQ71" s="1866"/>
      <c r="ER71" s="1866"/>
      <c r="ES71" s="1866"/>
      <c r="ET71" s="1866"/>
      <c r="EU71" s="1866"/>
      <c r="EV71" s="1866"/>
      <c r="EW71" s="1866"/>
      <c r="EX71" s="1866"/>
      <c r="EY71" s="1866"/>
      <c r="EZ71" s="1866"/>
      <c r="FA71" s="1866"/>
      <c r="FB71" s="1866"/>
      <c r="FC71" s="1866"/>
      <c r="FD71" s="1866"/>
      <c r="FE71" s="1866"/>
      <c r="FF71" s="1866"/>
      <c r="FG71" s="1866"/>
      <c r="FH71" s="1866"/>
      <c r="FI71" s="1866"/>
      <c r="FJ71" s="1866"/>
      <c r="FK71" s="1866"/>
      <c r="FL71" s="1866"/>
      <c r="FM71" s="1866"/>
      <c r="FN71" s="1866"/>
      <c r="FO71" s="1866"/>
      <c r="FP71" s="1866"/>
      <c r="FQ71" s="1866"/>
      <c r="FR71" s="1866"/>
      <c r="FS71" s="1866"/>
      <c r="FT71" s="1866"/>
      <c r="FU71" s="1866"/>
      <c r="FV71" s="1866"/>
      <c r="FW71" s="1866"/>
      <c r="FX71" s="1866"/>
      <c r="FY71" s="1866"/>
      <c r="FZ71" s="1866"/>
      <c r="GA71" s="1866"/>
      <c r="GB71" s="1866"/>
      <c r="GC71" s="1866"/>
      <c r="GD71" s="1866"/>
      <c r="GE71" s="1866"/>
      <c r="GF71" s="1866"/>
      <c r="GG71" s="1866"/>
      <c r="GH71" s="1866"/>
      <c r="GI71" s="1866"/>
      <c r="GJ71" s="1866"/>
      <c r="GK71" s="1866"/>
      <c r="GL71" s="1866"/>
      <c r="GM71" s="1866"/>
      <c r="GN71" s="1866"/>
      <c r="GO71" s="1866"/>
      <c r="GP71" s="1866"/>
      <c r="GQ71" s="1866"/>
      <c r="GR71" s="1866"/>
      <c r="GS71" s="1866"/>
      <c r="GT71" s="1866"/>
      <c r="GU71" s="1866"/>
      <c r="GV71" s="1866"/>
      <c r="GW71" s="1866"/>
      <c r="GX71" s="1866"/>
      <c r="GY71" s="1866"/>
      <c r="GZ71" s="1866"/>
      <c r="HA71" s="1866"/>
      <c r="HB71" s="1866"/>
      <c r="HC71" s="1866"/>
      <c r="HD71" s="1866"/>
      <c r="HE71" s="1866"/>
      <c r="HF71" s="1866"/>
      <c r="HG71" s="1866"/>
      <c r="HH71" s="1866"/>
      <c r="HI71" s="1866"/>
      <c r="HJ71" s="1866"/>
      <c r="HK71" s="1866"/>
      <c r="HL71" s="1866"/>
      <c r="HM71" s="1866"/>
      <c r="HN71" s="1866"/>
      <c r="HO71" s="1866"/>
      <c r="HP71" s="1866"/>
      <c r="HQ71" s="1866"/>
      <c r="HR71" s="1866"/>
      <c r="HS71" s="1866"/>
      <c r="HT71" s="1866"/>
      <c r="HU71" s="1866"/>
      <c r="HV71" s="1866"/>
      <c r="HW71" s="1866"/>
      <c r="HX71" s="1866"/>
      <c r="HY71" s="1866"/>
      <c r="HZ71" s="1866"/>
      <c r="IA71" s="1866"/>
      <c r="IB71" s="1866"/>
      <c r="IC71" s="1866"/>
      <c r="ID71" s="1866"/>
      <c r="IE71" s="1866"/>
      <c r="IF71" s="1866"/>
      <c r="IG71" s="1866"/>
      <c r="IH71" s="1866"/>
      <c r="II71" s="1866"/>
      <c r="IJ71" s="1866"/>
      <c r="IK71" s="1866"/>
      <c r="IL71" s="1866"/>
      <c r="IM71" s="1866"/>
      <c r="IN71" s="1866"/>
      <c r="IO71" s="1866"/>
      <c r="IP71" s="1866"/>
      <c r="IQ71" s="1866"/>
      <c r="IR71" s="1866"/>
      <c r="IS71" s="1866"/>
      <c r="IT71" s="1866"/>
      <c r="IU71" s="1866"/>
      <c r="IV71" s="1866"/>
    </row>
    <row r="72" spans="1:256" ht="14.25">
      <c r="A72" s="1866"/>
      <c r="B72" s="1726"/>
      <c r="C72" s="1365"/>
      <c r="D72" s="1696"/>
      <c r="E72" s="1696"/>
      <c r="F72" s="1696"/>
      <c r="G72" s="1202" t="s">
        <v>1133</v>
      </c>
      <c r="H72" s="1696"/>
      <c r="I72" s="1793"/>
      <c r="J72" s="1793" t="s">
        <v>650</v>
      </c>
      <c r="K72" s="1181" t="s">
        <v>1015</v>
      </c>
      <c r="L72" s="1696"/>
      <c r="M72" s="1202" t="s">
        <v>774</v>
      </c>
      <c r="N72" s="1696"/>
      <c r="O72" s="1696"/>
      <c r="P72" s="1728"/>
      <c r="Q72" s="1866"/>
      <c r="R72" s="1866"/>
      <c r="S72" s="1029" t="str">
        <f>電気排出係数!D5</f>
        <v>N.A.</v>
      </c>
      <c r="T72" s="1866"/>
      <c r="U72" s="1866"/>
      <c r="V72" s="1866"/>
      <c r="W72" s="1866"/>
      <c r="X72" s="1866"/>
      <c r="Y72" s="1866"/>
      <c r="Z72" s="1866"/>
      <c r="AA72" s="1866"/>
      <c r="AB72" s="1866"/>
      <c r="AC72" s="1866"/>
      <c r="AD72" s="1866"/>
      <c r="AE72" s="1866"/>
      <c r="AF72" s="1866"/>
      <c r="AG72" s="1866"/>
      <c r="AH72" s="1866"/>
      <c r="AI72" s="1866"/>
      <c r="AJ72" s="1866"/>
      <c r="AK72" s="1866"/>
      <c r="AL72" s="1866"/>
      <c r="AM72" s="1866"/>
      <c r="AN72" s="1866"/>
      <c r="AO72" s="1866"/>
      <c r="AP72" s="1866"/>
      <c r="AQ72" s="1866"/>
      <c r="AR72" s="1866"/>
      <c r="AS72" s="1866"/>
      <c r="AT72" s="1866"/>
      <c r="AU72" s="1866"/>
      <c r="AV72" s="1866"/>
      <c r="AW72" s="1866"/>
      <c r="AX72" s="1866"/>
      <c r="AY72" s="1866"/>
      <c r="AZ72" s="1866"/>
      <c r="BA72" s="1866"/>
      <c r="BB72" s="1866"/>
      <c r="BC72" s="1866"/>
      <c r="BD72" s="1866"/>
      <c r="BE72" s="1866"/>
      <c r="BF72" s="1866"/>
      <c r="BG72" s="1866"/>
      <c r="BH72" s="1866"/>
      <c r="BI72" s="1866"/>
      <c r="BJ72" s="1866"/>
      <c r="BK72" s="1866"/>
      <c r="BL72" s="1866"/>
      <c r="BM72" s="1866"/>
      <c r="BN72" s="1866"/>
      <c r="BO72" s="1866"/>
      <c r="BP72" s="1866"/>
      <c r="BQ72" s="1866"/>
      <c r="BR72" s="1866"/>
      <c r="BS72" s="1866"/>
      <c r="BT72" s="1866"/>
      <c r="BU72" s="1866"/>
      <c r="BV72" s="1866"/>
      <c r="BW72" s="1866"/>
      <c r="BX72" s="1866"/>
      <c r="BY72" s="1866"/>
      <c r="BZ72" s="1866"/>
      <c r="CA72" s="1866"/>
      <c r="CB72" s="1866"/>
      <c r="CC72" s="1866"/>
      <c r="CD72" s="1866"/>
      <c r="CE72" s="1866"/>
      <c r="CF72" s="1866"/>
      <c r="CG72" s="1866"/>
      <c r="CH72" s="1866"/>
      <c r="CI72" s="1866"/>
      <c r="CJ72" s="1866"/>
      <c r="CK72" s="1866"/>
      <c r="CL72" s="1866"/>
      <c r="CM72" s="1866"/>
      <c r="CN72" s="1866"/>
      <c r="CO72" s="1866"/>
      <c r="CP72" s="1866"/>
      <c r="CQ72" s="1866"/>
      <c r="CR72" s="1866"/>
      <c r="CS72" s="1866"/>
      <c r="CT72" s="1866"/>
      <c r="CU72" s="1866"/>
      <c r="CV72" s="1866"/>
      <c r="CW72" s="1866"/>
      <c r="CX72" s="1866"/>
      <c r="CY72" s="1866"/>
      <c r="CZ72" s="1866"/>
      <c r="DA72" s="1866"/>
      <c r="DB72" s="1866"/>
      <c r="DC72" s="1866"/>
      <c r="DD72" s="1866"/>
      <c r="DE72" s="1866"/>
      <c r="DF72" s="1866"/>
      <c r="DG72" s="1866"/>
      <c r="DH72" s="1866"/>
      <c r="DI72" s="1866"/>
      <c r="DJ72" s="1866"/>
      <c r="DK72" s="1866"/>
      <c r="DL72" s="1866"/>
      <c r="DM72" s="1866"/>
      <c r="DN72" s="1866"/>
      <c r="DO72" s="1866"/>
      <c r="DP72" s="1866"/>
      <c r="DQ72" s="1866"/>
      <c r="DR72" s="1866"/>
      <c r="DS72" s="1866"/>
      <c r="DT72" s="1866"/>
      <c r="DU72" s="1866"/>
      <c r="DV72" s="1866"/>
      <c r="DW72" s="1866"/>
      <c r="DX72" s="1866"/>
      <c r="DY72" s="1866"/>
      <c r="DZ72" s="1866"/>
      <c r="EA72" s="1866"/>
      <c r="EB72" s="1866"/>
      <c r="EC72" s="1866"/>
      <c r="ED72" s="1866"/>
      <c r="EE72" s="1866"/>
      <c r="EF72" s="1866"/>
      <c r="EG72" s="1866"/>
      <c r="EH72" s="1866"/>
      <c r="EI72" s="1866"/>
      <c r="EJ72" s="1866"/>
      <c r="EK72" s="1866"/>
      <c r="EL72" s="1866"/>
      <c r="EM72" s="1866"/>
      <c r="EN72" s="1866"/>
      <c r="EO72" s="1866"/>
      <c r="EP72" s="1866"/>
      <c r="EQ72" s="1866"/>
      <c r="ER72" s="1866"/>
      <c r="ES72" s="1866"/>
      <c r="ET72" s="1866"/>
      <c r="EU72" s="1866"/>
      <c r="EV72" s="1866"/>
      <c r="EW72" s="1866"/>
      <c r="EX72" s="1866"/>
      <c r="EY72" s="1866"/>
      <c r="EZ72" s="1866"/>
      <c r="FA72" s="1866"/>
      <c r="FB72" s="1866"/>
      <c r="FC72" s="1866"/>
      <c r="FD72" s="1866"/>
      <c r="FE72" s="1866"/>
      <c r="FF72" s="1866"/>
      <c r="FG72" s="1866"/>
      <c r="FH72" s="1866"/>
      <c r="FI72" s="1866"/>
      <c r="FJ72" s="1866"/>
      <c r="FK72" s="1866"/>
      <c r="FL72" s="1866"/>
      <c r="FM72" s="1866"/>
      <c r="FN72" s="1866"/>
      <c r="FO72" s="1866"/>
      <c r="FP72" s="1866"/>
      <c r="FQ72" s="1866"/>
      <c r="FR72" s="1866"/>
      <c r="FS72" s="1866"/>
      <c r="FT72" s="1866"/>
      <c r="FU72" s="1866"/>
      <c r="FV72" s="1866"/>
      <c r="FW72" s="1866"/>
      <c r="FX72" s="1866"/>
      <c r="FY72" s="1866"/>
      <c r="FZ72" s="1866"/>
      <c r="GA72" s="1866"/>
      <c r="GB72" s="1866"/>
      <c r="GC72" s="1866"/>
      <c r="GD72" s="1866"/>
      <c r="GE72" s="1866"/>
      <c r="GF72" s="1866"/>
      <c r="GG72" s="1866"/>
      <c r="GH72" s="1866"/>
      <c r="GI72" s="1866"/>
      <c r="GJ72" s="1866"/>
      <c r="GK72" s="1866"/>
      <c r="GL72" s="1866"/>
      <c r="GM72" s="1866"/>
      <c r="GN72" s="1866"/>
      <c r="GO72" s="1866"/>
      <c r="GP72" s="1866"/>
      <c r="GQ72" s="1866"/>
      <c r="GR72" s="1866"/>
      <c r="GS72" s="1866"/>
      <c r="GT72" s="1866"/>
      <c r="GU72" s="1866"/>
      <c r="GV72" s="1866"/>
      <c r="GW72" s="1866"/>
      <c r="GX72" s="1866"/>
      <c r="GY72" s="1866"/>
      <c r="GZ72" s="1866"/>
      <c r="HA72" s="1866"/>
      <c r="HB72" s="1866"/>
      <c r="HC72" s="1866"/>
      <c r="HD72" s="1866"/>
      <c r="HE72" s="1866"/>
      <c r="HF72" s="1866"/>
      <c r="HG72" s="1866"/>
      <c r="HH72" s="1866"/>
      <c r="HI72" s="1866"/>
      <c r="HJ72" s="1866"/>
      <c r="HK72" s="1866"/>
      <c r="HL72" s="1866"/>
      <c r="HM72" s="1866"/>
      <c r="HN72" s="1866"/>
      <c r="HO72" s="1866"/>
      <c r="HP72" s="1866"/>
      <c r="HQ72" s="1866"/>
      <c r="HR72" s="1866"/>
      <c r="HS72" s="1866"/>
      <c r="HT72" s="1866"/>
      <c r="HU72" s="1866"/>
      <c r="HV72" s="1866"/>
      <c r="HW72" s="1866"/>
      <c r="HX72" s="1866"/>
      <c r="HY72" s="1866"/>
      <c r="HZ72" s="1866"/>
      <c r="IA72" s="1866"/>
      <c r="IB72" s="1866"/>
      <c r="IC72" s="1866"/>
      <c r="ID72" s="1866"/>
      <c r="IE72" s="1866"/>
      <c r="IF72" s="1866"/>
      <c r="IG72" s="1866"/>
      <c r="IH72" s="1866"/>
      <c r="II72" s="1866"/>
      <c r="IJ72" s="1866"/>
      <c r="IK72" s="1866"/>
      <c r="IL72" s="1866"/>
      <c r="IM72" s="1866"/>
      <c r="IN72" s="1866"/>
      <c r="IO72" s="1866"/>
      <c r="IP72" s="1866"/>
      <c r="IQ72" s="1866"/>
      <c r="IR72" s="1866"/>
      <c r="IS72" s="1866"/>
      <c r="IT72" s="1866"/>
      <c r="IU72" s="1866"/>
      <c r="IV72" s="1866"/>
    </row>
    <row r="73" spans="1:256" s="991" customFormat="1" ht="13.5">
      <c r="A73" s="1208"/>
      <c r="B73" s="1304"/>
      <c r="C73" s="1209"/>
      <c r="D73" s="1210"/>
      <c r="E73" s="1696"/>
      <c r="F73" s="1707" t="s">
        <v>1013</v>
      </c>
      <c r="G73" s="1719">
        <f>G55</f>
        <v>0</v>
      </c>
      <c r="H73" s="1696"/>
      <c r="I73" s="1793" t="s">
        <v>1016</v>
      </c>
      <c r="J73" s="1860">
        <f>IF(採点LR1!J29=採点LR1!T28,J55-I70,J59*G73)</f>
        <v>25932</v>
      </c>
      <c r="K73" s="1704" t="e">
        <f>K55</f>
        <v>#VALUE!</v>
      </c>
      <c r="L73" s="1696"/>
      <c r="M73" s="1719" t="e">
        <f>J73*K73/G73</f>
        <v>#VALUE!</v>
      </c>
      <c r="N73" s="1212"/>
      <c r="O73" s="1212"/>
      <c r="P73" s="1367"/>
    </row>
    <row r="74" spans="1:256" s="991" customFormat="1" ht="13.5">
      <c r="A74" s="1208"/>
      <c r="B74" s="1304"/>
      <c r="C74" s="1209"/>
      <c r="D74" s="1210"/>
      <c r="E74" s="1696"/>
      <c r="F74" s="1707"/>
      <c r="G74" s="1798"/>
      <c r="H74" s="1696"/>
      <c r="I74" s="1793"/>
      <c r="J74" s="1799"/>
      <c r="K74" s="1706"/>
      <c r="L74" s="1696"/>
      <c r="M74" s="1798"/>
      <c r="N74" s="1212"/>
      <c r="O74" s="1212"/>
      <c r="P74" s="1367"/>
    </row>
    <row r="75" spans="1:256" ht="17.25" thickBot="1">
      <c r="A75" s="1170"/>
      <c r="B75" s="1695" t="s">
        <v>1046</v>
      </c>
      <c r="C75" s="1182"/>
      <c r="D75" s="1181"/>
      <c r="E75" s="1182"/>
      <c r="F75" s="1182"/>
      <c r="G75" s="1199"/>
      <c r="H75" s="1199"/>
      <c r="I75" s="1199"/>
      <c r="J75" s="1199"/>
      <c r="K75" s="1199"/>
      <c r="L75" s="1206"/>
      <c r="M75" s="1202" t="s">
        <v>774</v>
      </c>
      <c r="N75" s="1182"/>
      <c r="O75" s="1182"/>
      <c r="P75" s="1298" t="s">
        <v>774</v>
      </c>
      <c r="S75" s="1866"/>
    </row>
    <row r="76" spans="1:256" ht="18" customHeight="1">
      <c r="A76" s="1170"/>
      <c r="B76" s="1297"/>
      <c r="C76" s="1182"/>
      <c r="D76" s="1181"/>
      <c r="E76" s="1182"/>
      <c r="F76" s="1182"/>
      <c r="G76" s="1199"/>
      <c r="H76" s="1199"/>
      <c r="I76" s="1199"/>
      <c r="J76" s="1199"/>
      <c r="K76" s="1199"/>
      <c r="L76" s="1206"/>
      <c r="M76" s="1290" t="s">
        <v>472</v>
      </c>
      <c r="N76" s="1182"/>
      <c r="O76" s="1187"/>
      <c r="P76" s="1290" t="s">
        <v>258</v>
      </c>
      <c r="S76" s="1866" t="s">
        <v>200</v>
      </c>
    </row>
    <row r="77" spans="1:256" ht="18" customHeight="1">
      <c r="A77" s="1170"/>
      <c r="B77" s="1295"/>
      <c r="C77" s="1235" t="s">
        <v>142</v>
      </c>
      <c r="D77" s="1203"/>
      <c r="E77" s="1203"/>
      <c r="F77" s="1203"/>
      <c r="G77" s="1204"/>
      <c r="H77" s="1199"/>
      <c r="I77" s="1199"/>
      <c r="J77" s="1199"/>
      <c r="K77" s="1199"/>
      <c r="L77" s="1206"/>
      <c r="M77" s="1291" t="e">
        <f>M30</f>
        <v>#DIV/0!</v>
      </c>
      <c r="N77" s="1182"/>
      <c r="O77" s="1182"/>
      <c r="P77" s="1291">
        <f>P30</f>
        <v>6.13</v>
      </c>
    </row>
    <row r="78" spans="1:256" ht="18" customHeight="1">
      <c r="A78" s="1170"/>
      <c r="B78" s="1295"/>
      <c r="C78" s="1235" t="s">
        <v>337</v>
      </c>
      <c r="D78" s="1203"/>
      <c r="E78" s="1203"/>
      <c r="F78" s="1203"/>
      <c r="G78" s="1204"/>
      <c r="H78" s="1199"/>
      <c r="I78" s="1199"/>
      <c r="J78" s="1199"/>
      <c r="K78" s="1199"/>
      <c r="L78" s="1206"/>
      <c r="M78" s="1291" t="e">
        <f>M49</f>
        <v>#DIV/0!</v>
      </c>
      <c r="N78" s="1182"/>
      <c r="O78" s="1182"/>
      <c r="P78" s="1291">
        <f>P49</f>
        <v>2.37</v>
      </c>
    </row>
    <row r="79" spans="1:256" ht="18" customHeight="1">
      <c r="A79" s="1170"/>
      <c r="B79" s="1295"/>
      <c r="C79" s="1235" t="s">
        <v>143</v>
      </c>
      <c r="D79" s="1203"/>
      <c r="E79" s="1203"/>
      <c r="F79" s="1203"/>
      <c r="G79" s="1204"/>
      <c r="H79" s="1199"/>
      <c r="I79" s="1199"/>
      <c r="J79" s="1199"/>
      <c r="K79" s="1199"/>
      <c r="L79" s="1206"/>
      <c r="M79" s="1361" t="e">
        <f>M69</f>
        <v>#VALUE!</v>
      </c>
      <c r="N79" s="1182"/>
      <c r="O79" s="1182"/>
      <c r="P79" s="1292" t="e">
        <f>P52</f>
        <v>#VALUE!</v>
      </c>
    </row>
    <row r="80" spans="1:256" ht="18" customHeight="1" thickBot="1">
      <c r="A80" s="1170"/>
      <c r="B80" s="1305"/>
      <c r="C80" s="1306" t="s">
        <v>70</v>
      </c>
      <c r="D80" s="1307"/>
      <c r="E80" s="1308"/>
      <c r="F80" s="1308"/>
      <c r="G80" s="1309"/>
      <c r="H80" s="1310"/>
      <c r="I80" s="1311"/>
      <c r="J80" s="1311"/>
      <c r="K80" s="1311"/>
      <c r="L80" s="1312"/>
      <c r="M80" s="1362" t="e">
        <f>SUM(M77:M79)</f>
        <v>#DIV/0!</v>
      </c>
      <c r="N80" s="1313"/>
      <c r="O80" s="1313"/>
      <c r="P80" s="1293" t="e">
        <f>IF(COUNTIF(P77:P79,$S$76)&gt;0,$S$76,SUM(P77:P79))</f>
        <v>#VALUE!</v>
      </c>
    </row>
    <row r="81" spans="1:16" ht="11.25" customHeight="1">
      <c r="A81" s="1170"/>
      <c r="B81" s="1171"/>
      <c r="C81" s="1170"/>
      <c r="D81" s="1172"/>
      <c r="E81" s="1170"/>
      <c r="F81" s="1170"/>
      <c r="G81" s="1171"/>
      <c r="H81" s="1171"/>
      <c r="I81" s="1171"/>
      <c r="J81" s="1171"/>
      <c r="K81" s="1171"/>
      <c r="L81" s="1173"/>
      <c r="M81" s="1170"/>
      <c r="N81" s="1170"/>
      <c r="O81" s="1170"/>
      <c r="P81" s="1170"/>
    </row>
    <row r="82" spans="1:16" ht="18" hidden="1" customHeight="1"/>
    <row r="83" spans="1:16" ht="18" hidden="1" customHeight="1"/>
    <row r="84" spans="1:16" ht="18" hidden="1" customHeight="1"/>
    <row r="85" spans="1:16" ht="18" hidden="1" customHeight="1"/>
    <row r="86" spans="1:16" ht="18" hidden="1" customHeight="1"/>
    <row r="87" spans="1:16" ht="18" hidden="1" customHeight="1"/>
    <row r="88" spans="1:16" ht="18" hidden="1" customHeight="1"/>
    <row r="89" spans="1:16" ht="18" hidden="1" customHeight="1"/>
    <row r="90" spans="1:16" ht="18" hidden="1" customHeight="1"/>
    <row r="91" spans="1:16" ht="18" hidden="1" customHeight="1"/>
    <row r="92" spans="1:16" ht="18" hidden="1" customHeight="1"/>
    <row r="93" spans="1:16" ht="18" hidden="1" customHeight="1"/>
    <row r="94" spans="1:16" ht="18" hidden="1" customHeight="1"/>
    <row r="95" spans="1:16" ht="18" hidden="1" customHeight="1"/>
    <row r="96" spans="1:16" ht="18" hidden="1" customHeight="1"/>
    <row r="97" ht="18" hidden="1" customHeight="1"/>
    <row r="98" ht="18" hidden="1" customHeight="1"/>
    <row r="99" ht="18" hidden="1" customHeight="1"/>
    <row r="100" ht="18" hidden="1" customHeight="1"/>
    <row r="101" ht="18" hidden="1" customHeight="1"/>
    <row r="102" ht="18" hidden="1" customHeight="1"/>
    <row r="103" ht="18" hidden="1" customHeight="1"/>
    <row r="104" ht="18" hidden="1" customHeight="1"/>
    <row r="105" ht="18" hidden="1" customHeight="1"/>
    <row r="106" ht="18" hidden="1" customHeight="1"/>
    <row r="107" ht="18" hidden="1" customHeight="1"/>
    <row r="108" ht="18" hidden="1" customHeight="1"/>
    <row r="109" ht="18" hidden="1" customHeight="1"/>
    <row r="110" ht="18" hidden="1" customHeight="1"/>
    <row r="111" ht="18" hidden="1" customHeight="1"/>
    <row r="112" ht="18" hidden="1" customHeight="1"/>
    <row r="113" ht="18" hidden="1" customHeight="1"/>
    <row r="114" ht="18" hidden="1" customHeight="1"/>
    <row r="115" ht="18" hidden="1" customHeight="1"/>
    <row r="116" ht="18" hidden="1" customHeight="1"/>
    <row r="117" ht="18" hidden="1" customHeight="1"/>
    <row r="118" ht="18" hidden="1" customHeight="1"/>
    <row r="119" ht="18" hidden="1" customHeight="1"/>
    <row r="120" ht="18" hidden="1" customHeight="1"/>
    <row r="121" ht="18" hidden="1" customHeight="1"/>
    <row r="122" ht="18" hidden="1" customHeight="1"/>
    <row r="123" ht="18" hidden="1" customHeight="1"/>
    <row r="124" ht="18" hidden="1" customHeight="1"/>
    <row r="125" ht="18" hidden="1" customHeight="1"/>
    <row r="126" ht="18" hidden="1" customHeight="1"/>
    <row r="127" ht="18" hidden="1" customHeight="1"/>
    <row r="128" ht="18" hidden="1" customHeight="1"/>
    <row r="129" ht="18" hidden="1" customHeight="1"/>
    <row r="130" ht="18" hidden="1" customHeight="1"/>
    <row r="131" ht="18" hidden="1" customHeight="1"/>
    <row r="132" ht="18" hidden="1" customHeight="1"/>
    <row r="133" ht="18" hidden="1" customHeight="1"/>
    <row r="134" ht="18" hidden="1" customHeight="1"/>
    <row r="135" ht="18" hidden="1" customHeight="1"/>
  </sheetData>
  <mergeCells count="7">
    <mergeCell ref="L35:M35"/>
    <mergeCell ref="O35:P35"/>
    <mergeCell ref="L2:M2"/>
    <mergeCell ref="L3:M3"/>
    <mergeCell ref="L9:M9"/>
    <mergeCell ref="O9:P9"/>
    <mergeCell ref="L20:M20"/>
  </mergeCells>
  <phoneticPr fontId="4"/>
  <conditionalFormatting sqref="F79 F77 S77:S65556 Q33:Q34 I35 I7 Q11:Q17 I9 Q7:Q8 R7:IV17 Q5:IV6 Q51:IV51 Q73:R65556 T73:IV65556 G19 G30:G31 Q18:IV32 G49:G50 Q37:Q50 R33:IV50">
    <cfRule type="cellIs" dxfId="190" priority="4" stopIfTrue="1" operator="equal">
      <formula>5</formula>
    </cfRule>
    <cfRule type="cellIs" dxfId="189" priority="5" stopIfTrue="1" operator="equal">
      <formula>4</formula>
    </cfRule>
    <cfRule type="cellIs" dxfId="188" priority="6" stopIfTrue="1" operator="equal">
      <formula>2</formula>
    </cfRule>
  </conditionalFormatting>
  <conditionalFormatting sqref="I20">
    <cfRule type="cellIs" dxfId="187" priority="1" stopIfTrue="1" operator="equal">
      <formula>5</formula>
    </cfRule>
    <cfRule type="cellIs" dxfId="186" priority="2" stopIfTrue="1" operator="equal">
      <formula>4</formula>
    </cfRule>
    <cfRule type="cellIs" dxfId="185" priority="3" stopIfTrue="1" operator="equal">
      <formula>2</formula>
    </cfRule>
  </conditionalFormatting>
  <printOptions horizontalCentered="1"/>
  <pageMargins left="1.1811023622047245" right="0.98425196850393704" top="0.78740157480314965" bottom="0.78740157480314965" header="0.51181102362204722" footer="0.51181102362204722"/>
  <pageSetup paperSize="9" scale="62" fitToHeight="0" orientation="portrait" horizontalDpi="300" verticalDpi="300" r:id="rId1"/>
  <headerFooter alignWithMargins="0">
    <oddHeader>&amp;L&amp;F&amp;R&amp;A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IU189"/>
  <sheetViews>
    <sheetView showGridLines="0" topLeftCell="B1" zoomScaleNormal="90" workbookViewId="0">
      <selection activeCell="F4" sqref="F4"/>
    </sheetView>
  </sheetViews>
  <sheetFormatPr defaultColWidth="0" defaultRowHeight="15.75" zeroHeight="1"/>
  <cols>
    <col min="1" max="1" width="1.375" style="5" customWidth="1"/>
    <col min="2" max="2" width="4.5" style="622" customWidth="1"/>
    <col min="3" max="3" width="1.5" style="5" customWidth="1"/>
    <col min="4" max="4" width="11.125" style="5" customWidth="1"/>
    <col min="5" max="11" width="11.125" style="304" customWidth="1"/>
    <col min="12" max="12" width="11.5" style="304" customWidth="1"/>
    <col min="13" max="13" width="11.125" style="304" customWidth="1"/>
    <col min="14" max="14" width="2.875" style="5" customWidth="1"/>
    <col min="15" max="15" width="15.875" style="5" hidden="1" customWidth="1"/>
    <col min="16" max="16" width="30.625" style="5" hidden="1" customWidth="1"/>
    <col min="17" max="17" width="12.875" style="5" hidden="1" customWidth="1"/>
    <col min="18" max="18" width="10" style="5" hidden="1" customWidth="1"/>
    <col min="19" max="19" width="14.875" style="5" hidden="1" customWidth="1"/>
    <col min="20" max="20" width="6" style="5" hidden="1" customWidth="1"/>
    <col min="21" max="21" width="7.5" style="5" hidden="1" customWidth="1"/>
    <col min="22" max="22" width="2.25" style="5" hidden="1" customWidth="1"/>
    <col min="23" max="23" width="3.625" style="5" hidden="1" customWidth="1"/>
    <col min="24" max="24" width="9.625" style="5" hidden="1" customWidth="1"/>
    <col min="25" max="25" width="11.5" style="5" hidden="1" customWidth="1"/>
    <col min="26" max="255" width="0" style="5" hidden="1" customWidth="1"/>
    <col min="256" max="16384" width="2" style="5" hidden="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ht="21.75" thickBot="1">
      <c r="A3" s="2"/>
      <c r="B3" s="312" t="s">
        <v>1068</v>
      </c>
      <c r="C3" s="31"/>
      <c r="D3" s="30"/>
      <c r="E3" s="55"/>
      <c r="F3" s="55"/>
      <c r="H3" s="150"/>
      <c r="I3" s="56" t="s">
        <v>73</v>
      </c>
      <c r="J3" s="32"/>
      <c r="K3" s="55"/>
      <c r="L3" s="55"/>
      <c r="M3" s="159"/>
      <c r="N3" s="2"/>
      <c r="O3" s="134"/>
      <c r="P3" s="319" t="s">
        <v>100</v>
      </c>
      <c r="Q3" s="134"/>
      <c r="R3" s="148"/>
      <c r="T3" s="416" t="s">
        <v>103</v>
      </c>
      <c r="U3" s="420" t="s">
        <v>104</v>
      </c>
      <c r="V3" s="148"/>
      <c r="W3" s="416"/>
      <c r="X3" s="148"/>
      <c r="Y3" s="416" t="str">
        <f>メイン!N31</f>
        <v>基本設計段階</v>
      </c>
    </row>
    <row r="4" spans="1:25" ht="6" customHeight="1">
      <c r="A4" s="2"/>
      <c r="B4" s="168"/>
      <c r="C4" s="31"/>
      <c r="D4" s="30"/>
      <c r="E4" s="55"/>
      <c r="F4" s="55"/>
      <c r="G4" s="51"/>
      <c r="H4" s="55"/>
      <c r="I4" s="32"/>
      <c r="J4" s="32"/>
      <c r="K4" s="55"/>
      <c r="L4" s="55"/>
      <c r="M4" s="55"/>
      <c r="N4" s="2"/>
      <c r="O4" s="148"/>
      <c r="P4" s="148"/>
      <c r="Q4" s="148"/>
      <c r="R4" s="148"/>
      <c r="T4" s="416" t="s">
        <v>105</v>
      </c>
      <c r="U4" s="416"/>
      <c r="V4" s="148"/>
      <c r="W4" s="416" t="s">
        <v>106</v>
      </c>
      <c r="X4" s="148"/>
      <c r="Y4" s="416" t="str">
        <f>メイン!N32</f>
        <v>実施設計段階</v>
      </c>
    </row>
    <row r="5" spans="1:25" s="329" customFormat="1" ht="14.25" customHeight="1">
      <c r="A5" s="25"/>
      <c r="B5" s="168">
        <v>1</v>
      </c>
      <c r="C5" s="34" t="s">
        <v>621</v>
      </c>
      <c r="D5" s="34"/>
      <c r="E5" s="151"/>
      <c r="F5" s="151"/>
      <c r="G5" s="151"/>
      <c r="H5" s="151"/>
      <c r="I5" s="151"/>
      <c r="J5" s="151"/>
      <c r="K5" s="151"/>
      <c r="L5" s="151"/>
      <c r="M5" s="151"/>
      <c r="N5" s="25"/>
      <c r="O5" s="179"/>
      <c r="P5" s="179"/>
      <c r="Q5" s="179"/>
      <c r="R5" s="179"/>
      <c r="S5" s="179"/>
      <c r="T5" s="179"/>
      <c r="U5" s="179"/>
      <c r="V5" s="179"/>
      <c r="W5" s="179"/>
      <c r="X5" s="179"/>
      <c r="Y5" s="416" t="str">
        <f>メイン!N33</f>
        <v>竣工段階</v>
      </c>
    </row>
    <row r="6" spans="1:25" s="329" customFormat="1" ht="14.25" customHeight="1">
      <c r="A6" s="25"/>
      <c r="B6" s="1092">
        <v>1.1000000000000001</v>
      </c>
      <c r="C6" s="34" t="s">
        <v>567</v>
      </c>
      <c r="D6" s="34"/>
      <c r="E6" s="314"/>
      <c r="F6" s="151"/>
      <c r="G6" s="151"/>
      <c r="H6" s="151"/>
      <c r="I6" s="151"/>
      <c r="J6" s="151"/>
      <c r="K6" s="151"/>
      <c r="L6" s="151"/>
      <c r="M6" s="151"/>
      <c r="N6" s="25"/>
      <c r="O6" s="179"/>
      <c r="Q6" s="179"/>
      <c r="R6" s="179"/>
      <c r="S6" s="179"/>
      <c r="T6" s="179"/>
      <c r="U6" s="179"/>
      <c r="V6" s="179"/>
      <c r="W6" s="179"/>
      <c r="X6" s="179"/>
      <c r="Y6" s="148">
        <f>メイン!N30</f>
        <v>0</v>
      </c>
    </row>
    <row r="7" spans="1:25" ht="16.5" customHeight="1" thickBot="1">
      <c r="A7" s="2"/>
      <c r="B7" s="168"/>
      <c r="C7" s="32"/>
      <c r="D7" s="140"/>
      <c r="E7" s="314"/>
      <c r="F7" s="152"/>
      <c r="G7" s="138"/>
      <c r="H7" s="138"/>
      <c r="I7" s="151"/>
      <c r="J7" s="151"/>
      <c r="K7" s="151"/>
      <c r="L7" s="180" t="s">
        <v>2</v>
      </c>
      <c r="M7" s="52">
        <f>重み!M31</f>
        <v>0.3</v>
      </c>
      <c r="N7" s="2"/>
      <c r="O7" s="148">
        <f>C7</f>
        <v>0</v>
      </c>
      <c r="P7" s="148">
        <f>D7</f>
        <v>0</v>
      </c>
      <c r="Q7" s="148">
        <f>E7</f>
        <v>0</v>
      </c>
      <c r="R7" s="148">
        <f>F7</f>
        <v>0</v>
      </c>
      <c r="S7" s="148" t="str">
        <f>L7</f>
        <v>重み係数＝</v>
      </c>
      <c r="T7" s="148">
        <f>M7</f>
        <v>0.3</v>
      </c>
      <c r="U7" s="148">
        <f>I7</f>
        <v>0</v>
      </c>
      <c r="V7" s="148">
        <f>J7</f>
        <v>0</v>
      </c>
      <c r="W7" s="148">
        <f>K7</f>
        <v>0</v>
      </c>
      <c r="X7" s="148" t="str">
        <f>L7</f>
        <v>重み係数＝</v>
      </c>
      <c r="Y7" s="148">
        <f>M7</f>
        <v>0.3</v>
      </c>
    </row>
    <row r="8" spans="1:25" ht="16.5" customHeight="1" thickBot="1">
      <c r="A8" s="2"/>
      <c r="B8" s="168"/>
      <c r="C8" s="32"/>
      <c r="D8" s="1077">
        <v>3</v>
      </c>
      <c r="E8" s="2349" t="s">
        <v>467</v>
      </c>
      <c r="F8" s="2350"/>
      <c r="G8" s="2350"/>
      <c r="H8" s="2350"/>
      <c r="I8" s="2350"/>
      <c r="J8" s="2350"/>
      <c r="K8" s="2350"/>
      <c r="L8" s="2350"/>
      <c r="M8" s="2351"/>
      <c r="N8" s="2"/>
      <c r="O8" s="146"/>
      <c r="P8" s="148"/>
      <c r="Q8" s="146"/>
      <c r="R8" s="148"/>
      <c r="S8" s="148"/>
      <c r="T8" s="148"/>
      <c r="U8" s="148"/>
      <c r="V8" s="148"/>
      <c r="W8" s="148"/>
      <c r="X8" s="148"/>
      <c r="Y8" s="148"/>
    </row>
    <row r="9" spans="1:25" ht="16.5" customHeight="1">
      <c r="A9" s="2"/>
      <c r="B9" s="168"/>
      <c r="C9" s="32"/>
      <c r="D9" s="36" t="str">
        <f>IF(D8=$Q$14,$R$9,IF(ROUNDDOWN(D8,0)=$Q$9,$S$9,$R$9))</f>
        <v>　レベル　1</v>
      </c>
      <c r="E9" s="526" t="s">
        <v>459</v>
      </c>
      <c r="F9" s="524"/>
      <c r="G9" s="524"/>
      <c r="H9" s="524"/>
      <c r="I9" s="524"/>
      <c r="J9" s="524"/>
      <c r="K9" s="524"/>
      <c r="L9" s="524"/>
      <c r="M9" s="525"/>
      <c r="N9" s="2"/>
      <c r="O9" s="148"/>
      <c r="P9" s="588" t="s">
        <v>75</v>
      </c>
      <c r="Q9" s="320">
        <v>1</v>
      </c>
      <c r="R9" s="323" t="s">
        <v>538</v>
      </c>
      <c r="S9" s="321" t="s">
        <v>94</v>
      </c>
      <c r="T9" s="148"/>
      <c r="U9" s="588">
        <f>$Q$9</f>
        <v>1</v>
      </c>
      <c r="V9" s="148"/>
      <c r="W9" s="148"/>
      <c r="X9" s="148"/>
      <c r="Y9" s="148"/>
    </row>
    <row r="10" spans="1:25" ht="16.5" customHeight="1">
      <c r="A10" s="2"/>
      <c r="B10" s="168"/>
      <c r="C10" s="32"/>
      <c r="D10" s="39" t="str">
        <f>IF(D8=$Q$14,$R$10,IF(ROUNDDOWN(D8,0)=$Q$10,$S$10,$R$10))</f>
        <v>　レベル　2</v>
      </c>
      <c r="E10" s="527" t="s">
        <v>459</v>
      </c>
      <c r="F10" s="517"/>
      <c r="G10" s="517"/>
      <c r="H10" s="517"/>
      <c r="I10" s="517"/>
      <c r="J10" s="517"/>
      <c r="K10" s="517"/>
      <c r="L10" s="517"/>
      <c r="M10" s="518"/>
      <c r="N10" s="2"/>
      <c r="O10" s="148"/>
      <c r="P10" s="588" t="s">
        <v>909</v>
      </c>
      <c r="Q10" s="320">
        <v>2</v>
      </c>
      <c r="R10" s="323" t="s">
        <v>539</v>
      </c>
      <c r="S10" s="321" t="s">
        <v>95</v>
      </c>
      <c r="T10" s="148"/>
      <c r="U10" s="588">
        <f>$Q$10</f>
        <v>2</v>
      </c>
      <c r="V10" s="148"/>
      <c r="W10" s="148"/>
      <c r="X10" s="148"/>
      <c r="Y10" s="148"/>
    </row>
    <row r="11" spans="1:25" ht="16.5" customHeight="1">
      <c r="A11" s="2"/>
      <c r="B11" s="168"/>
      <c r="C11" s="32"/>
      <c r="D11" s="39" t="str">
        <f>IF(D8=$Q$14,$R$11,IF(ROUNDDOWN(D8,0)=$Q$11,$S$11,$R$11))</f>
        <v>■レベル　3</v>
      </c>
      <c r="E11" s="527" t="s">
        <v>717</v>
      </c>
      <c r="F11" s="517"/>
      <c r="G11" s="517"/>
      <c r="H11" s="517"/>
      <c r="I11" s="517"/>
      <c r="J11" s="517"/>
      <c r="K11" s="517"/>
      <c r="L11" s="517"/>
      <c r="M11" s="518"/>
      <c r="N11" s="2"/>
      <c r="O11" s="148"/>
      <c r="P11" s="588">
        <f>$Q$11</f>
        <v>3</v>
      </c>
      <c r="Q11" s="320">
        <v>3</v>
      </c>
      <c r="R11" s="323" t="s">
        <v>540</v>
      </c>
      <c r="S11" s="321" t="s">
        <v>96</v>
      </c>
      <c r="T11" s="148"/>
      <c r="U11" s="588">
        <f>$Q$11</f>
        <v>3</v>
      </c>
      <c r="V11" s="148"/>
      <c r="W11" s="148"/>
      <c r="X11" s="148"/>
      <c r="Y11" s="148"/>
    </row>
    <row r="12" spans="1:25" ht="16.5" customHeight="1">
      <c r="A12" s="2"/>
      <c r="B12" s="168"/>
      <c r="C12" s="32"/>
      <c r="D12" s="39" t="str">
        <f>IF(D8=$Q$14,$R$12,IF(ROUNDDOWN(D8,0)=$Q$12,$S$12,$R$12))</f>
        <v>　レベル　4</v>
      </c>
      <c r="E12" s="2365" t="s">
        <v>718</v>
      </c>
      <c r="F12" s="2366"/>
      <c r="G12" s="2366"/>
      <c r="H12" s="2366"/>
      <c r="I12" s="2366"/>
      <c r="J12" s="2366"/>
      <c r="K12" s="2366"/>
      <c r="L12" s="2366"/>
      <c r="M12" s="2367"/>
      <c r="N12" s="2"/>
      <c r="O12" s="148"/>
      <c r="P12" s="588">
        <f>$Q$12</f>
        <v>4</v>
      </c>
      <c r="Q12" s="320">
        <v>4</v>
      </c>
      <c r="R12" s="323" t="s">
        <v>541</v>
      </c>
      <c r="S12" s="321" t="s">
        <v>97</v>
      </c>
      <c r="T12" s="148"/>
      <c r="U12" s="588">
        <f>$Q$12</f>
        <v>4</v>
      </c>
      <c r="V12" s="148"/>
      <c r="W12" s="148"/>
      <c r="X12" s="148"/>
      <c r="Y12" s="148"/>
    </row>
    <row r="13" spans="1:25" ht="16.5" customHeight="1">
      <c r="A13" s="2"/>
      <c r="B13" s="168"/>
      <c r="C13" s="32"/>
      <c r="D13" s="37" t="str">
        <f>IF(D8=$Q$14,$R$13,IF(ROUNDDOWN(D8,0)=$Q$13,$S$13,$R$13))</f>
        <v>　レベル　5</v>
      </c>
      <c r="E13" s="2368" t="s">
        <v>719</v>
      </c>
      <c r="F13" s="2369"/>
      <c r="G13" s="2369"/>
      <c r="H13" s="2369"/>
      <c r="I13" s="2369"/>
      <c r="J13" s="2369"/>
      <c r="K13" s="2369"/>
      <c r="L13" s="2369"/>
      <c r="M13" s="2370"/>
      <c r="N13" s="2"/>
      <c r="O13" s="148"/>
      <c r="P13" s="588">
        <f>$Q$13</f>
        <v>5</v>
      </c>
      <c r="Q13" s="320">
        <v>5</v>
      </c>
      <c r="R13" s="323" t="s">
        <v>542</v>
      </c>
      <c r="S13" s="321" t="s">
        <v>98</v>
      </c>
      <c r="T13" s="148"/>
      <c r="U13" s="588">
        <f>$Q$13</f>
        <v>5</v>
      </c>
      <c r="V13" s="148"/>
      <c r="W13" s="148"/>
      <c r="X13" s="148"/>
      <c r="Y13" s="148"/>
    </row>
    <row r="14" spans="1:25" s="148" customFormat="1" ht="8.25" customHeight="1">
      <c r="A14" s="55"/>
      <c r="B14" s="168"/>
      <c r="C14" s="611"/>
      <c r="D14" s="313"/>
      <c r="E14" s="313"/>
      <c r="F14" s="2"/>
      <c r="G14" s="2"/>
      <c r="H14" s="2"/>
      <c r="I14" s="2"/>
      <c r="J14" s="2"/>
      <c r="K14" s="2"/>
      <c r="L14" s="2"/>
      <c r="M14" s="2"/>
      <c r="N14" s="154"/>
      <c r="P14" s="588" t="s">
        <v>75</v>
      </c>
      <c r="Q14" s="328" t="s">
        <v>99</v>
      </c>
      <c r="R14" s="5"/>
      <c r="S14" s="5"/>
      <c r="T14" s="136"/>
    </row>
    <row r="15" spans="1:25" s="148" customFormat="1" ht="21" customHeight="1">
      <c r="A15" s="55"/>
      <c r="B15" s="168"/>
      <c r="C15" s="611"/>
      <c r="E15" s="786" t="s">
        <v>3</v>
      </c>
      <c r="F15" s="787"/>
      <c r="G15" s="1242"/>
      <c r="H15" s="1242"/>
      <c r="I15" s="1241"/>
      <c r="J15" s="1243"/>
      <c r="K15" s="1243"/>
      <c r="L15" s="1243"/>
      <c r="M15" s="1244"/>
      <c r="N15" s="154"/>
      <c r="P15" s="619"/>
      <c r="Q15" s="328"/>
      <c r="R15" s="5"/>
      <c r="S15" s="5"/>
      <c r="T15" s="136"/>
      <c r="U15" s="619"/>
      <c r="V15" s="136"/>
      <c r="W15" s="136"/>
      <c r="X15" s="136"/>
      <c r="Y15" s="136"/>
    </row>
    <row r="16" spans="1:25" ht="14.25" customHeight="1">
      <c r="A16" s="2"/>
      <c r="B16" s="168"/>
      <c r="C16" s="32"/>
      <c r="D16" s="30"/>
      <c r="E16" s="614"/>
      <c r="F16" s="138"/>
      <c r="G16" s="138"/>
      <c r="H16" s="55"/>
      <c r="I16" s="151"/>
      <c r="J16" s="151"/>
      <c r="K16" s="151"/>
      <c r="L16" s="151"/>
      <c r="M16" s="151"/>
      <c r="N16" s="2"/>
      <c r="O16" s="148"/>
      <c r="P16" s="619"/>
      <c r="Q16" s="629"/>
      <c r="T16" s="148"/>
      <c r="U16" s="619"/>
      <c r="V16" s="148"/>
      <c r="W16" s="148"/>
      <c r="X16" s="148"/>
      <c r="Y16" s="148"/>
    </row>
    <row r="17" spans="1:25" ht="19.5" customHeight="1">
      <c r="A17" s="2"/>
      <c r="B17" s="1092">
        <v>1.2</v>
      </c>
      <c r="C17" s="34" t="s">
        <v>619</v>
      </c>
      <c r="D17" s="34"/>
      <c r="E17" s="55"/>
      <c r="F17" s="55"/>
      <c r="G17" s="55"/>
      <c r="H17" s="55"/>
      <c r="I17" s="55"/>
      <c r="J17" s="55"/>
      <c r="K17" s="55"/>
      <c r="L17" s="55"/>
      <c r="M17" s="55"/>
      <c r="N17" s="2"/>
      <c r="O17" s="148"/>
      <c r="P17" s="384"/>
      <c r="Q17" s="478"/>
      <c r="R17" s="478"/>
      <c r="S17" s="478"/>
      <c r="T17" s="148"/>
      <c r="U17" s="384"/>
      <c r="V17" s="148"/>
      <c r="W17" s="148"/>
      <c r="X17" s="148"/>
      <c r="Y17" s="148"/>
    </row>
    <row r="18" spans="1:25" ht="19.5" customHeight="1" thickBot="1">
      <c r="A18" s="2"/>
      <c r="B18" s="477"/>
      <c r="C18" s="34"/>
      <c r="D18" s="34"/>
      <c r="E18" s="55"/>
      <c r="F18" s="55"/>
      <c r="G18" s="55"/>
      <c r="H18" s="55"/>
      <c r="I18" s="55"/>
      <c r="J18" s="55"/>
      <c r="K18" s="55"/>
      <c r="L18" s="55"/>
      <c r="M18" s="55"/>
      <c r="N18" s="2"/>
      <c r="O18" s="148"/>
      <c r="P18" s="384"/>
      <c r="Q18" s="478"/>
      <c r="R18" s="478"/>
      <c r="S18" s="478"/>
      <c r="T18" s="148"/>
      <c r="U18" s="384"/>
      <c r="V18" s="148"/>
      <c r="W18" s="148"/>
      <c r="X18" s="148"/>
      <c r="Y18" s="148"/>
    </row>
    <row r="19" spans="1:25" ht="16.5" customHeight="1" thickBot="1">
      <c r="A19" s="2"/>
      <c r="B19" s="30"/>
      <c r="C19" s="30"/>
      <c r="D19" s="1079">
        <f>IF(D20+L30&lt;=5,D20+L30,5)</f>
        <v>3</v>
      </c>
      <c r="E19" s="417"/>
      <c r="F19" s="152"/>
      <c r="G19" s="6"/>
      <c r="H19" s="6"/>
      <c r="I19" s="55"/>
      <c r="J19" s="55"/>
      <c r="K19" s="55"/>
      <c r="L19" s="180" t="s">
        <v>2</v>
      </c>
      <c r="M19" s="52">
        <f>重み!M32</f>
        <v>0.1</v>
      </c>
      <c r="N19" s="2"/>
      <c r="O19" s="148">
        <f t="shared" ref="O19:Y19" si="0">C19</f>
        <v>0</v>
      </c>
      <c r="P19" s="148">
        <f t="shared" si="0"/>
        <v>3</v>
      </c>
      <c r="Q19" s="148">
        <f t="shared" si="0"/>
        <v>0</v>
      </c>
      <c r="R19" s="148">
        <f t="shared" si="0"/>
        <v>0</v>
      </c>
      <c r="S19" s="148">
        <f t="shared" si="0"/>
        <v>0</v>
      </c>
      <c r="T19" s="148">
        <f t="shared" si="0"/>
        <v>0</v>
      </c>
      <c r="U19" s="148">
        <f t="shared" si="0"/>
        <v>0</v>
      </c>
      <c r="V19" s="148">
        <f t="shared" si="0"/>
        <v>0</v>
      </c>
      <c r="W19" s="148">
        <f t="shared" si="0"/>
        <v>0</v>
      </c>
      <c r="X19" s="148" t="str">
        <f t="shared" si="0"/>
        <v>重み係数＝</v>
      </c>
      <c r="Y19" s="148">
        <f t="shared" si="0"/>
        <v>0.1</v>
      </c>
    </row>
    <row r="20" spans="1:25" ht="16.5" customHeight="1" thickBot="1">
      <c r="A20" s="2"/>
      <c r="B20" s="30"/>
      <c r="C20" s="30"/>
      <c r="D20" s="1077">
        <v>3</v>
      </c>
      <c r="E20" s="2349" t="s">
        <v>467</v>
      </c>
      <c r="F20" s="2350"/>
      <c r="G20" s="2350"/>
      <c r="H20" s="2350"/>
      <c r="I20" s="2350"/>
      <c r="J20" s="2350"/>
      <c r="K20" s="2350"/>
      <c r="L20" s="2350"/>
      <c r="M20" s="2351"/>
      <c r="N20" s="2"/>
      <c r="O20" s="146"/>
      <c r="P20" s="148"/>
      <c r="Q20" s="146"/>
      <c r="R20" s="148"/>
      <c r="S20" s="148"/>
      <c r="T20" s="148"/>
      <c r="U20" s="148"/>
      <c r="V20" s="148"/>
      <c r="W20" s="148"/>
      <c r="X20" s="148"/>
      <c r="Y20" s="148"/>
    </row>
    <row r="21" spans="1:25" ht="16.5" customHeight="1">
      <c r="A21" s="2"/>
      <c r="B21" s="30"/>
      <c r="C21" s="30"/>
      <c r="D21" s="36" t="str">
        <f>IF(D20=$Q$14,$R$9,IF(ROUNDDOWN(D20,0)=$Q$9,$S$9,$R$9))</f>
        <v>　レベル　1</v>
      </c>
      <c r="E21" s="1857" t="s">
        <v>1088</v>
      </c>
      <c r="F21" s="53"/>
      <c r="G21" s="53"/>
      <c r="H21" s="53"/>
      <c r="I21" s="53"/>
      <c r="J21" s="53"/>
      <c r="K21" s="53"/>
      <c r="L21" s="973"/>
      <c r="M21" s="974"/>
      <c r="N21" s="2"/>
      <c r="O21" s="146"/>
      <c r="P21" s="588">
        <f>$Q$9</f>
        <v>1</v>
      </c>
      <c r="Q21" s="146"/>
      <c r="R21" s="148"/>
      <c r="S21" s="148"/>
      <c r="T21" s="148"/>
      <c r="U21" s="588">
        <f>$Q$9</f>
        <v>1</v>
      </c>
      <c r="V21" s="148"/>
      <c r="W21" s="148"/>
      <c r="X21" s="148"/>
      <c r="Y21" s="148"/>
    </row>
    <row r="22" spans="1:25" ht="16.5" customHeight="1">
      <c r="A22" s="2"/>
      <c r="B22" s="168"/>
      <c r="C22" s="30"/>
      <c r="D22" s="39" t="str">
        <f>IF(D20=$Q$14,$R$10,IF(ROUNDDOWN(D20,0)=$Q$10,$S$10,$R$10))</f>
        <v>　レベル　2</v>
      </c>
      <c r="E22" s="1857" t="s">
        <v>622</v>
      </c>
      <c r="F22" s="607"/>
      <c r="G22" s="607"/>
      <c r="H22" s="607"/>
      <c r="I22" s="607"/>
      <c r="J22" s="607"/>
      <c r="K22" s="607"/>
      <c r="L22" s="969"/>
      <c r="M22" s="970"/>
      <c r="N22" s="2"/>
      <c r="O22" s="146"/>
      <c r="P22" s="588">
        <f>$Q$10</f>
        <v>2</v>
      </c>
      <c r="Q22" s="146"/>
      <c r="R22" s="148"/>
      <c r="S22" s="148"/>
      <c r="T22" s="148"/>
      <c r="U22" s="588">
        <f>$Q$10</f>
        <v>2</v>
      </c>
      <c r="V22" s="148"/>
      <c r="W22" s="148"/>
      <c r="X22" s="148"/>
      <c r="Y22" s="148"/>
    </row>
    <row r="23" spans="1:25" ht="16.5" customHeight="1">
      <c r="A23" s="2"/>
      <c r="B23" s="168"/>
      <c r="C23" s="30"/>
      <c r="D23" s="39" t="str">
        <f>IF(D20=$Q$14,$R$11,IF(ROUNDDOWN(D20,0)=$Q$11,$S$11,$R$11))</f>
        <v>■レベル　3</v>
      </c>
      <c r="E23" s="1857" t="s">
        <v>623</v>
      </c>
      <c r="F23" s="586"/>
      <c r="G23" s="586"/>
      <c r="H23" s="586"/>
      <c r="I23" s="586"/>
      <c r="J23" s="586"/>
      <c r="K23" s="586"/>
      <c r="L23" s="969"/>
      <c r="M23" s="970"/>
      <c r="N23" s="2"/>
      <c r="O23" s="146"/>
      <c r="P23" s="588">
        <f>$Q$11</f>
        <v>3</v>
      </c>
      <c r="Q23" s="146"/>
      <c r="R23" s="148"/>
      <c r="S23" s="148"/>
      <c r="T23" s="148"/>
      <c r="U23" s="588">
        <f>$Q$11</f>
        <v>3</v>
      </c>
      <c r="V23" s="148"/>
      <c r="W23" s="148"/>
      <c r="X23" s="148"/>
      <c r="Y23" s="148"/>
    </row>
    <row r="24" spans="1:25">
      <c r="A24" s="2"/>
      <c r="B24" s="168"/>
      <c r="C24" s="30"/>
      <c r="D24" s="39" t="str">
        <f>IF(D20=$Q$14,$R$12,IF(ROUNDDOWN(D20,0)=$Q$12,$S$12,$R$12))</f>
        <v>　レベル　4</v>
      </c>
      <c r="E24" s="539" t="s">
        <v>1089</v>
      </c>
      <c r="F24" s="589"/>
      <c r="G24" s="589"/>
      <c r="H24" s="589"/>
      <c r="I24" s="589"/>
      <c r="J24" s="589"/>
      <c r="K24" s="589"/>
      <c r="L24" s="969"/>
      <c r="M24" s="970"/>
      <c r="N24" s="2"/>
      <c r="O24" s="146"/>
      <c r="P24" s="588">
        <f>$Q$12</f>
        <v>4</v>
      </c>
      <c r="Q24" s="146"/>
      <c r="R24" s="148"/>
      <c r="S24" s="148"/>
      <c r="T24" s="148"/>
      <c r="U24" s="588">
        <f>$Q$12</f>
        <v>4</v>
      </c>
      <c r="V24" s="148"/>
      <c r="W24" s="148"/>
      <c r="X24" s="148"/>
      <c r="Y24" s="148"/>
    </row>
    <row r="25" spans="1:25">
      <c r="A25" s="2"/>
      <c r="B25" s="168"/>
      <c r="C25" s="30"/>
      <c r="D25" s="37" t="str">
        <f>IF(D20=$Q$14,$R$13,IF(ROUNDDOWN(D20,0)=$Q$13,$S$13,$R$13))</f>
        <v>　レベル　5</v>
      </c>
      <c r="E25" s="565" t="s">
        <v>269</v>
      </c>
      <c r="F25" s="591"/>
      <c r="G25" s="591"/>
      <c r="H25" s="591"/>
      <c r="I25" s="591"/>
      <c r="J25" s="591"/>
      <c r="K25" s="591"/>
      <c r="L25" s="971"/>
      <c r="M25" s="972"/>
      <c r="N25" s="2"/>
      <c r="O25" s="146"/>
      <c r="P25" s="588" t="s">
        <v>451</v>
      </c>
      <c r="Q25" s="146"/>
      <c r="R25" s="148"/>
      <c r="S25" s="148"/>
      <c r="T25" s="148"/>
      <c r="U25" s="588">
        <f>$Q$13</f>
        <v>5</v>
      </c>
      <c r="V25" s="148"/>
      <c r="W25" s="148"/>
      <c r="X25" s="148"/>
      <c r="Y25" s="148"/>
    </row>
    <row r="26" spans="1:25" ht="16.5" thickBot="1">
      <c r="A26" s="2"/>
      <c r="B26" s="168"/>
      <c r="C26" s="30"/>
      <c r="D26" s="30"/>
      <c r="E26" s="1087" t="s">
        <v>425</v>
      </c>
      <c r="F26" s="55"/>
      <c r="G26" s="55"/>
      <c r="H26" s="55"/>
      <c r="I26" s="55"/>
      <c r="J26" s="55"/>
      <c r="K26" s="55"/>
      <c r="L26" s="55"/>
      <c r="M26" s="55"/>
      <c r="N26" s="2"/>
      <c r="O26" s="146"/>
      <c r="P26" s="588" t="s">
        <v>75</v>
      </c>
      <c r="Q26" s="146"/>
      <c r="R26" s="148"/>
      <c r="S26" s="148"/>
      <c r="T26" s="148"/>
      <c r="U26" s="588" t="str">
        <f>$Q$14</f>
        <v>対象外</v>
      </c>
      <c r="V26" s="148"/>
      <c r="W26" s="148"/>
      <c r="X26" s="148"/>
      <c r="Y26" s="148"/>
    </row>
    <row r="27" spans="1:25" ht="24" customHeight="1">
      <c r="A27" s="2"/>
      <c r="B27" s="168"/>
      <c r="C27" s="30"/>
      <c r="D27" s="30"/>
      <c r="E27" s="747"/>
      <c r="F27" s="516" t="s">
        <v>4</v>
      </c>
      <c r="G27" s="2355" t="s">
        <v>426</v>
      </c>
      <c r="H27" s="2356"/>
      <c r="I27" s="2356"/>
      <c r="J27" s="2356"/>
      <c r="K27" s="2356"/>
      <c r="L27" s="2356"/>
      <c r="M27" s="2357"/>
      <c r="N27" s="2"/>
      <c r="O27" s="146"/>
      <c r="P27" s="619"/>
      <c r="Q27" s="146"/>
      <c r="R27" s="148"/>
      <c r="S27" s="148"/>
      <c r="T27" s="148"/>
      <c r="U27" s="619"/>
      <c r="V27" s="148"/>
      <c r="W27" s="148"/>
      <c r="X27" s="148"/>
      <c r="Y27" s="148"/>
    </row>
    <row r="28" spans="1:25" ht="24" customHeight="1">
      <c r="A28" s="2"/>
      <c r="B28" s="168"/>
      <c r="C28" s="30"/>
      <c r="D28" s="30"/>
      <c r="E28" s="537"/>
      <c r="F28" s="552" t="s">
        <v>5</v>
      </c>
      <c r="G28" s="2352" t="s">
        <v>427</v>
      </c>
      <c r="H28" s="2353"/>
      <c r="I28" s="2353"/>
      <c r="J28" s="2353"/>
      <c r="K28" s="2353"/>
      <c r="L28" s="2353"/>
      <c r="M28" s="2354"/>
      <c r="N28" s="2"/>
      <c r="O28" s="146"/>
      <c r="P28" s="619"/>
      <c r="Q28" s="146"/>
      <c r="R28" s="148"/>
      <c r="S28" s="148"/>
      <c r="T28" s="148"/>
      <c r="U28" s="619"/>
      <c r="V28" s="148"/>
      <c r="W28" s="148"/>
      <c r="X28" s="148"/>
      <c r="Y28" s="148"/>
    </row>
    <row r="29" spans="1:25" ht="16.5" thickBot="1">
      <c r="A29" s="2"/>
      <c r="B29" s="168"/>
      <c r="C29" s="30"/>
      <c r="D29" s="30"/>
      <c r="E29" s="575"/>
      <c r="F29" s="800" t="s">
        <v>6</v>
      </c>
      <c r="G29" s="565" t="s">
        <v>428</v>
      </c>
      <c r="H29" s="547"/>
      <c r="I29" s="547"/>
      <c r="J29" s="547"/>
      <c r="K29" s="547"/>
      <c r="L29" s="547"/>
      <c r="M29" s="794"/>
      <c r="N29" s="2"/>
      <c r="O29" s="146"/>
      <c r="P29" s="619"/>
      <c r="Q29" s="146"/>
      <c r="R29" s="148"/>
      <c r="S29" s="148"/>
      <c r="T29" s="148"/>
      <c r="U29" s="619"/>
      <c r="V29" s="148"/>
      <c r="W29" s="148"/>
      <c r="X29" s="148"/>
      <c r="Y29" s="148"/>
    </row>
    <row r="30" spans="1:25" ht="16.5" customHeight="1">
      <c r="A30" s="2"/>
      <c r="B30" s="168"/>
      <c r="C30" s="30"/>
      <c r="D30" s="30"/>
      <c r="E30" s="811"/>
      <c r="F30" s="532"/>
      <c r="G30" s="532"/>
      <c r="H30" s="532"/>
      <c r="I30" s="532"/>
      <c r="J30" s="532"/>
      <c r="K30" s="532" t="s">
        <v>449</v>
      </c>
      <c r="L30" s="1086">
        <f>IF(COUNTIF(E27:E29,U3)&gt;0,1,0)</f>
        <v>0</v>
      </c>
      <c r="M30" s="531" t="s">
        <v>450</v>
      </c>
      <c r="N30" s="2"/>
      <c r="O30" s="146"/>
      <c r="P30" s="619"/>
      <c r="Q30" s="146"/>
      <c r="R30" s="148"/>
      <c r="S30" s="148"/>
      <c r="T30" s="148"/>
      <c r="U30" s="619"/>
      <c r="V30" s="148"/>
      <c r="W30" s="148"/>
      <c r="X30" s="148"/>
      <c r="Y30" s="148"/>
    </row>
    <row r="31" spans="1:25" s="148" customFormat="1" ht="8.25" customHeight="1">
      <c r="A31" s="55"/>
      <c r="B31" s="168"/>
      <c r="C31" s="611"/>
      <c r="D31" s="313"/>
      <c r="E31" s="313"/>
      <c r="F31" s="2"/>
      <c r="G31" s="2"/>
      <c r="H31" s="2"/>
      <c r="I31" s="2"/>
      <c r="J31" s="2"/>
      <c r="K31" s="2"/>
      <c r="L31" s="2"/>
      <c r="M31" s="2"/>
      <c r="N31" s="154"/>
      <c r="P31" s="588" t="s">
        <v>75</v>
      </c>
      <c r="Q31" s="328" t="s">
        <v>99</v>
      </c>
      <c r="R31" s="5"/>
      <c r="S31" s="5"/>
      <c r="T31" s="136"/>
    </row>
    <row r="32" spans="1:25" s="148" customFormat="1" ht="21" customHeight="1">
      <c r="A32" s="55"/>
      <c r="B32" s="168"/>
      <c r="C32" s="611"/>
      <c r="E32" s="786" t="s">
        <v>3</v>
      </c>
      <c r="F32" s="787"/>
      <c r="G32" s="1242"/>
      <c r="H32" s="1242"/>
      <c r="I32" s="1241"/>
      <c r="J32" s="1243"/>
      <c r="K32" s="1243"/>
      <c r="L32" s="1243"/>
      <c r="M32" s="1244"/>
      <c r="N32" s="154"/>
      <c r="P32" s="619"/>
      <c r="Q32" s="328"/>
      <c r="R32" s="5"/>
      <c r="S32" s="5"/>
      <c r="T32" s="136"/>
      <c r="U32" s="619"/>
      <c r="V32" s="136"/>
      <c r="W32" s="136"/>
      <c r="X32" s="136"/>
      <c r="Y32" s="136"/>
    </row>
    <row r="33" spans="1:25">
      <c r="A33" s="2"/>
      <c r="B33" s="168"/>
      <c r="C33" s="30"/>
      <c r="D33" s="30"/>
      <c r="E33" s="610"/>
      <c r="F33" s="55"/>
      <c r="G33" s="55"/>
      <c r="H33" s="55"/>
      <c r="I33" s="55"/>
      <c r="J33" s="55"/>
      <c r="K33" s="55"/>
      <c r="L33" s="55"/>
      <c r="M33" s="55"/>
      <c r="N33" s="2"/>
      <c r="O33" s="146"/>
      <c r="P33" s="619"/>
      <c r="Q33" s="146"/>
      <c r="R33" s="148"/>
      <c r="S33" s="148"/>
      <c r="T33" s="148"/>
      <c r="U33" s="619"/>
      <c r="V33" s="148"/>
      <c r="W33" s="148"/>
      <c r="X33" s="148"/>
      <c r="Y33" s="148"/>
    </row>
    <row r="34" spans="1:25" ht="17.25" customHeight="1">
      <c r="A34" s="2"/>
      <c r="B34" s="1092">
        <v>1.3</v>
      </c>
      <c r="C34" s="34" t="s">
        <v>271</v>
      </c>
      <c r="D34" s="34"/>
      <c r="E34" s="55"/>
      <c r="F34" s="55"/>
      <c r="G34" s="55"/>
      <c r="H34" s="55"/>
      <c r="I34" s="55"/>
      <c r="J34" s="55"/>
      <c r="K34" s="55"/>
      <c r="L34" s="55"/>
      <c r="M34" s="55"/>
      <c r="N34" s="2"/>
      <c r="O34" s="146"/>
      <c r="P34" s="384"/>
      <c r="Q34" s="146"/>
      <c r="R34" s="148"/>
      <c r="S34" s="148"/>
      <c r="T34" s="148"/>
      <c r="U34" s="384"/>
      <c r="V34" s="148"/>
      <c r="W34" s="148"/>
      <c r="X34" s="148"/>
      <c r="Y34" s="148"/>
    </row>
    <row r="35" spans="1:25" ht="17.25" customHeight="1" thickBot="1">
      <c r="A35" s="2"/>
      <c r="B35" s="1092"/>
      <c r="C35" s="34"/>
      <c r="D35" s="34"/>
      <c r="E35" s="55"/>
      <c r="F35" s="55"/>
      <c r="G35" s="55"/>
      <c r="H35" s="55"/>
      <c r="I35" s="55"/>
      <c r="J35" s="55"/>
      <c r="K35" s="55"/>
      <c r="L35" s="55"/>
      <c r="M35" s="55"/>
      <c r="N35" s="2"/>
      <c r="O35" s="146"/>
      <c r="P35" s="384"/>
      <c r="Q35" s="146"/>
      <c r="R35" s="148"/>
      <c r="S35" s="148"/>
      <c r="T35" s="148"/>
      <c r="U35" s="384"/>
      <c r="V35" s="148"/>
      <c r="W35" s="148"/>
      <c r="X35" s="148"/>
      <c r="Y35" s="148"/>
    </row>
    <row r="36" spans="1:25" ht="16.5" customHeight="1" thickBot="1">
      <c r="A36" s="2"/>
      <c r="B36" s="168"/>
      <c r="C36" s="30"/>
      <c r="D36" s="1079">
        <f>IF(D37+L49&lt;=5,D37+L49,5)</f>
        <v>3</v>
      </c>
      <c r="E36" s="417"/>
      <c r="F36" s="152"/>
      <c r="G36" s="6"/>
      <c r="H36" s="6"/>
      <c r="I36" s="55"/>
      <c r="J36" s="55"/>
      <c r="K36" s="55"/>
      <c r="L36" s="180" t="s">
        <v>2</v>
      </c>
      <c r="M36" s="52">
        <f>重み!M33</f>
        <v>0.1</v>
      </c>
      <c r="N36" s="2"/>
      <c r="O36" s="148">
        <f t="shared" ref="O36:Y36" si="1">C36</f>
        <v>0</v>
      </c>
      <c r="P36" s="148">
        <f>D36</f>
        <v>3</v>
      </c>
      <c r="Q36" s="148">
        <f t="shared" si="1"/>
        <v>0</v>
      </c>
      <c r="R36" s="148">
        <f t="shared" si="1"/>
        <v>0</v>
      </c>
      <c r="S36" s="148">
        <f t="shared" si="1"/>
        <v>0</v>
      </c>
      <c r="T36" s="148">
        <f t="shared" si="1"/>
        <v>0</v>
      </c>
      <c r="U36" s="148">
        <f t="shared" si="1"/>
        <v>0</v>
      </c>
      <c r="V36" s="148">
        <f t="shared" si="1"/>
        <v>0</v>
      </c>
      <c r="W36" s="148">
        <f t="shared" si="1"/>
        <v>0</v>
      </c>
      <c r="X36" s="148" t="str">
        <f t="shared" si="1"/>
        <v>重み係数＝</v>
      </c>
      <c r="Y36" s="148">
        <f t="shared" si="1"/>
        <v>0.1</v>
      </c>
    </row>
    <row r="37" spans="1:25" ht="16.5" customHeight="1" thickBot="1">
      <c r="A37" s="2"/>
      <c r="B37" s="168"/>
      <c r="C37" s="30"/>
      <c r="D37" s="1078">
        <v>3</v>
      </c>
      <c r="E37" s="2349" t="s">
        <v>467</v>
      </c>
      <c r="F37" s="2350"/>
      <c r="G37" s="2350"/>
      <c r="H37" s="2350"/>
      <c r="I37" s="2350"/>
      <c r="J37" s="2350"/>
      <c r="K37" s="2350"/>
      <c r="L37" s="2350"/>
      <c r="M37" s="2351"/>
      <c r="N37" s="2"/>
      <c r="O37" s="146"/>
      <c r="P37" s="148"/>
      <c r="Q37" s="146"/>
      <c r="R37" s="148"/>
      <c r="S37" s="148"/>
      <c r="T37" s="148"/>
      <c r="U37" s="148"/>
      <c r="V37" s="148"/>
      <c r="W37" s="148"/>
      <c r="X37" s="148"/>
      <c r="Y37" s="148"/>
    </row>
    <row r="38" spans="1:25" ht="16.5" customHeight="1">
      <c r="A38" s="2"/>
      <c r="B38" s="168"/>
      <c r="C38" s="30"/>
      <c r="D38" s="36" t="str">
        <f>IF(D37=$Q$14,$R$9,IF(ROUNDDOWN(D37,0)=$Q$9,$S$9,$R$9))</f>
        <v>　レベル　1</v>
      </c>
      <c r="E38" s="170" t="s">
        <v>1088</v>
      </c>
      <c r="F38" s="53"/>
      <c r="G38" s="53"/>
      <c r="H38" s="53"/>
      <c r="I38" s="53"/>
      <c r="J38" s="53"/>
      <c r="K38" s="53"/>
      <c r="L38" s="973"/>
      <c r="M38" s="974"/>
      <c r="N38" s="2"/>
      <c r="O38" s="146"/>
      <c r="P38" s="588">
        <f>$Q$9</f>
        <v>1</v>
      </c>
      <c r="Q38" s="146"/>
      <c r="R38" s="148"/>
      <c r="S38" s="148"/>
      <c r="T38" s="148"/>
      <c r="U38" s="588">
        <f>$Q$9</f>
        <v>1</v>
      </c>
      <c r="V38" s="148"/>
      <c r="W38" s="148"/>
      <c r="X38" s="148"/>
      <c r="Y38" s="148"/>
    </row>
    <row r="39" spans="1:25" ht="16.5" customHeight="1">
      <c r="A39" s="2"/>
      <c r="B39" s="168"/>
      <c r="C39" s="30"/>
      <c r="D39" s="39" t="str">
        <f>IF(D37=$Q$14,$R$10,IF(ROUNDDOWN(D37,0)=$Q$10,$S$10,$R$10))</f>
        <v>　レベル　2</v>
      </c>
      <c r="E39" s="172" t="s">
        <v>622</v>
      </c>
      <c r="F39" s="607"/>
      <c r="G39" s="607"/>
      <c r="H39" s="607"/>
      <c r="I39" s="607"/>
      <c r="J39" s="607"/>
      <c r="K39" s="607"/>
      <c r="L39" s="969"/>
      <c r="M39" s="970"/>
      <c r="N39" s="2"/>
      <c r="O39" s="146"/>
      <c r="P39" s="588">
        <f>$Q$10</f>
        <v>2</v>
      </c>
      <c r="Q39" s="146"/>
      <c r="R39" s="148"/>
      <c r="S39" s="148"/>
      <c r="T39" s="148"/>
      <c r="U39" s="588">
        <f>$Q$10</f>
        <v>2</v>
      </c>
      <c r="V39" s="148"/>
      <c r="W39" s="148"/>
      <c r="X39" s="148"/>
      <c r="Y39" s="148"/>
    </row>
    <row r="40" spans="1:25" ht="16.5" customHeight="1">
      <c r="A40" s="2"/>
      <c r="B40" s="168"/>
      <c r="C40" s="30"/>
      <c r="D40" s="39" t="str">
        <f>IF(D37=$Q$14,$R$11,IF(ROUNDDOWN(D37,0)=$Q$11,$S$11,$R$11))</f>
        <v>■レベル　3</v>
      </c>
      <c r="E40" s="172" t="s">
        <v>623</v>
      </c>
      <c r="F40" s="607"/>
      <c r="G40" s="607"/>
      <c r="H40" s="607"/>
      <c r="I40" s="607"/>
      <c r="J40" s="607"/>
      <c r="K40" s="586"/>
      <c r="L40" s="969"/>
      <c r="M40" s="970"/>
      <c r="N40" s="2"/>
      <c r="O40" s="146"/>
      <c r="P40" s="588">
        <f>$Q$11</f>
        <v>3</v>
      </c>
      <c r="Q40" s="146"/>
      <c r="R40" s="148"/>
      <c r="S40" s="148"/>
      <c r="T40" s="148"/>
      <c r="U40" s="588">
        <f>$Q$11</f>
        <v>3</v>
      </c>
      <c r="V40" s="148"/>
      <c r="W40" s="148"/>
      <c r="X40" s="148"/>
      <c r="Y40" s="148"/>
    </row>
    <row r="41" spans="1:25" ht="16.5" customHeight="1">
      <c r="A41" s="2"/>
      <c r="B41" s="168"/>
      <c r="C41" s="30"/>
      <c r="D41" s="39" t="str">
        <f>IF(D37=$Q$14,$R$12,IF(ROUNDDOWN(D37,0)=$Q$12,$S$12,$R$12))</f>
        <v>　レベル　4</v>
      </c>
      <c r="E41" s="172" t="s">
        <v>1089</v>
      </c>
      <c r="F41" s="607"/>
      <c r="G41" s="607"/>
      <c r="H41" s="607"/>
      <c r="I41" s="607"/>
      <c r="J41" s="607"/>
      <c r="K41" s="589"/>
      <c r="L41" s="969"/>
      <c r="M41" s="970"/>
      <c r="N41" s="2"/>
      <c r="O41" s="146"/>
      <c r="P41" s="588">
        <f>$Q$12</f>
        <v>4</v>
      </c>
      <c r="Q41" s="146"/>
      <c r="R41" s="148"/>
      <c r="S41" s="148"/>
      <c r="T41" s="148"/>
      <c r="U41" s="588">
        <f>$Q$12</f>
        <v>4</v>
      </c>
      <c r="V41" s="148"/>
      <c r="W41" s="148"/>
      <c r="X41" s="148"/>
      <c r="Y41" s="148"/>
    </row>
    <row r="42" spans="1:25" ht="16.5" customHeight="1">
      <c r="A42" s="2"/>
      <c r="B42" s="168"/>
      <c r="C42" s="30"/>
      <c r="D42" s="37" t="str">
        <f>IF(D37=$Q$14,$R$13,IF(ROUNDDOWN(D37,0)=$Q$13,$S$13,$R$13))</f>
        <v>　レベル　5</v>
      </c>
      <c r="E42" s="565" t="s">
        <v>269</v>
      </c>
      <c r="F42" s="609"/>
      <c r="G42" s="609"/>
      <c r="H42" s="609"/>
      <c r="I42" s="609"/>
      <c r="J42" s="609"/>
      <c r="K42" s="591"/>
      <c r="L42" s="971"/>
      <c r="M42" s="972"/>
      <c r="N42" s="2"/>
      <c r="O42" s="146"/>
      <c r="P42" s="588" t="s">
        <v>451</v>
      </c>
      <c r="Q42" s="146"/>
      <c r="R42" s="148"/>
      <c r="S42" s="148"/>
      <c r="T42" s="148"/>
      <c r="U42" s="588">
        <f>$Q$13</f>
        <v>5</v>
      </c>
      <c r="V42" s="148"/>
      <c r="W42" s="148"/>
      <c r="X42" s="148"/>
      <c r="Y42" s="148"/>
    </row>
    <row r="43" spans="1:25" ht="16.5" thickBot="1">
      <c r="A43" s="2"/>
      <c r="B43" s="168"/>
      <c r="C43" s="30"/>
      <c r="D43" s="30"/>
      <c r="E43" s="1087" t="s">
        <v>425</v>
      </c>
      <c r="F43" s="55"/>
      <c r="G43" s="55"/>
      <c r="H43" s="55"/>
      <c r="I43" s="55"/>
      <c r="J43" s="55"/>
      <c r="K43" s="55"/>
      <c r="L43" s="55"/>
      <c r="M43" s="55"/>
      <c r="N43" s="2"/>
      <c r="O43" s="146"/>
      <c r="P43" s="588" t="s">
        <v>75</v>
      </c>
      <c r="Q43" s="146"/>
      <c r="R43" s="148"/>
      <c r="S43" s="148"/>
      <c r="T43" s="148"/>
      <c r="U43" s="588" t="str">
        <f>$Q$14</f>
        <v>対象外</v>
      </c>
      <c r="V43" s="148"/>
      <c r="W43" s="148"/>
      <c r="X43" s="148"/>
      <c r="Y43" s="148"/>
    </row>
    <row r="44" spans="1:25" ht="24" customHeight="1" thickBot="1">
      <c r="A44" s="2"/>
      <c r="B44" s="168"/>
      <c r="C44" s="30"/>
      <c r="D44" s="30"/>
      <c r="E44" s="1314" t="s">
        <v>447</v>
      </c>
      <c r="F44" s="806" t="s">
        <v>430</v>
      </c>
      <c r="G44" s="804"/>
      <c r="H44" s="804"/>
      <c r="I44" s="803" t="s">
        <v>436</v>
      </c>
      <c r="J44" s="804"/>
      <c r="K44" s="804"/>
      <c r="L44" s="804"/>
      <c r="M44" s="806"/>
      <c r="N44" s="2"/>
      <c r="O44" s="146"/>
      <c r="P44" s="809" t="s">
        <v>447</v>
      </c>
      <c r="Q44" s="809" t="s">
        <v>448</v>
      </c>
      <c r="R44" s="148"/>
      <c r="S44" s="148"/>
      <c r="T44" s="148"/>
      <c r="U44" s="619"/>
      <c r="V44" s="148"/>
      <c r="W44" s="148"/>
      <c r="X44" s="148"/>
      <c r="Y44" s="148"/>
    </row>
    <row r="45" spans="1:25" ht="56.25" customHeight="1">
      <c r="A45" s="2"/>
      <c r="B45" s="168"/>
      <c r="C45" s="30"/>
      <c r="D45" s="30"/>
      <c r="E45" s="379"/>
      <c r="F45" s="802" t="s">
        <v>7</v>
      </c>
      <c r="G45" s="2355" t="s">
        <v>429</v>
      </c>
      <c r="H45" s="2357"/>
      <c r="I45" s="808" t="s">
        <v>437</v>
      </c>
      <c r="J45" s="578" t="s">
        <v>7</v>
      </c>
      <c r="K45" s="2355" t="s">
        <v>432</v>
      </c>
      <c r="L45" s="2356"/>
      <c r="M45" s="2357"/>
      <c r="N45" s="2"/>
      <c r="O45" s="146"/>
      <c r="Q45" s="146"/>
      <c r="R45" s="148"/>
      <c r="S45" s="148"/>
      <c r="T45" s="148"/>
      <c r="U45" s="619"/>
      <c r="V45" s="148"/>
      <c r="W45" s="148"/>
      <c r="X45" s="148"/>
      <c r="Y45" s="148"/>
    </row>
    <row r="46" spans="1:25" ht="37.5" customHeight="1">
      <c r="A46" s="2"/>
      <c r="B46" s="168"/>
      <c r="C46" s="30"/>
      <c r="D46" s="30"/>
      <c r="E46" s="810"/>
      <c r="F46" s="554" t="s">
        <v>5</v>
      </c>
      <c r="G46" s="2358" t="s">
        <v>431</v>
      </c>
      <c r="H46" s="2360"/>
      <c r="I46" s="807"/>
      <c r="J46" s="580" t="s">
        <v>5</v>
      </c>
      <c r="K46" s="2358" t="s">
        <v>433</v>
      </c>
      <c r="L46" s="2359"/>
      <c r="M46" s="2360"/>
      <c r="N46" s="2"/>
      <c r="O46" s="146"/>
      <c r="P46" s="5">
        <f>COUNTIF(E45:E46,U3)</f>
        <v>0</v>
      </c>
      <c r="Q46" s="146"/>
      <c r="R46" s="148"/>
      <c r="S46" s="148"/>
      <c r="T46" s="148"/>
      <c r="U46" s="619"/>
      <c r="V46" s="148"/>
      <c r="W46" s="148"/>
      <c r="X46" s="148"/>
      <c r="Y46" s="148"/>
    </row>
    <row r="47" spans="1:25">
      <c r="A47" s="2"/>
      <c r="B47" s="168"/>
      <c r="C47" s="30"/>
      <c r="D47" s="30"/>
      <c r="E47" s="774"/>
      <c r="F47" s="802"/>
      <c r="G47" s="540"/>
      <c r="H47" s="541"/>
      <c r="I47" s="808" t="s">
        <v>446</v>
      </c>
      <c r="J47" s="578" t="s">
        <v>7</v>
      </c>
      <c r="K47" s="541" t="s">
        <v>434</v>
      </c>
      <c r="L47" s="541"/>
      <c r="M47" s="543"/>
      <c r="N47" s="2"/>
      <c r="O47" s="146"/>
      <c r="P47" s="619"/>
      <c r="Q47" s="146"/>
      <c r="R47" s="148"/>
      <c r="S47" s="148"/>
      <c r="T47" s="148"/>
      <c r="U47" s="619"/>
      <c r="V47" s="148"/>
      <c r="W47" s="148"/>
      <c r="X47" s="148"/>
      <c r="Y47" s="148"/>
    </row>
    <row r="48" spans="1:25" ht="16.5" thickBot="1">
      <c r="A48" s="2"/>
      <c r="B48" s="168"/>
      <c r="C48" s="30"/>
      <c r="D48" s="30"/>
      <c r="E48" s="380"/>
      <c r="F48" s="554"/>
      <c r="G48" s="548"/>
      <c r="H48" s="532"/>
      <c r="I48" s="807" t="s">
        <v>445</v>
      </c>
      <c r="J48" s="580" t="s">
        <v>5</v>
      </c>
      <c r="K48" s="532" t="s">
        <v>435</v>
      </c>
      <c r="L48" s="532"/>
      <c r="M48" s="531"/>
      <c r="N48" s="2"/>
      <c r="O48" s="146"/>
      <c r="P48" s="5">
        <f>COUNTIF(E47:E48,U3)</f>
        <v>0</v>
      </c>
      <c r="Q48" s="146"/>
      <c r="R48" s="148"/>
      <c r="S48" s="148"/>
      <c r="T48" s="148"/>
      <c r="U48" s="619"/>
      <c r="V48" s="148"/>
      <c r="W48" s="148"/>
      <c r="X48" s="148"/>
      <c r="Y48" s="148"/>
    </row>
    <row r="49" spans="1:25" ht="17.25" customHeight="1">
      <c r="A49" s="2"/>
      <c r="B49" s="168"/>
      <c r="C49" s="30"/>
      <c r="D49" s="30"/>
      <c r="E49" s="811"/>
      <c r="F49" s="532"/>
      <c r="G49" s="532"/>
      <c r="H49" s="532"/>
      <c r="I49" s="532"/>
      <c r="J49" s="532"/>
      <c r="K49" s="532" t="s">
        <v>449</v>
      </c>
      <c r="L49" s="1086">
        <f>IF(E44=P44,IF(P46&gt;0,1,0),IF(P46&gt;0,1,0)+IF(P48&gt;0,1,0))</f>
        <v>0</v>
      </c>
      <c r="M49" s="531" t="s">
        <v>450</v>
      </c>
      <c r="N49" s="2"/>
      <c r="O49" s="146"/>
      <c r="P49" s="619"/>
      <c r="Q49" s="146"/>
      <c r="R49" s="148"/>
      <c r="S49" s="148"/>
      <c r="T49" s="148"/>
      <c r="U49" s="619"/>
      <c r="V49" s="148"/>
      <c r="W49" s="148"/>
      <c r="X49" s="148"/>
      <c r="Y49" s="148"/>
    </row>
    <row r="50" spans="1:25" s="148" customFormat="1" ht="8.25" customHeight="1">
      <c r="A50" s="55"/>
      <c r="B50" s="168"/>
      <c r="C50" s="611"/>
      <c r="D50" s="313"/>
      <c r="E50" s="313"/>
      <c r="F50" s="2"/>
      <c r="G50" s="2"/>
      <c r="H50" s="2"/>
      <c r="I50" s="2"/>
      <c r="J50" s="2"/>
      <c r="K50" s="2"/>
      <c r="L50" s="2"/>
      <c r="M50" s="2"/>
      <c r="N50" s="154"/>
      <c r="P50" s="588" t="s">
        <v>75</v>
      </c>
      <c r="Q50" s="328" t="s">
        <v>99</v>
      </c>
      <c r="R50" s="5"/>
      <c r="S50" s="5"/>
      <c r="T50" s="136"/>
    </row>
    <row r="51" spans="1:25" s="148" customFormat="1" ht="21" customHeight="1">
      <c r="A51" s="55"/>
      <c r="B51" s="168"/>
      <c r="C51" s="611"/>
      <c r="E51" s="786" t="s">
        <v>3</v>
      </c>
      <c r="F51" s="787"/>
      <c r="G51" s="1242"/>
      <c r="H51" s="1242"/>
      <c r="I51" s="1241"/>
      <c r="J51" s="1243"/>
      <c r="K51" s="1243"/>
      <c r="L51" s="1243"/>
      <c r="M51" s="1244"/>
      <c r="N51" s="154"/>
      <c r="P51" s="619"/>
      <c r="Q51" s="328"/>
      <c r="R51" s="5"/>
      <c r="S51" s="5"/>
      <c r="T51" s="136"/>
      <c r="U51" s="619"/>
      <c r="V51" s="136"/>
      <c r="W51" s="136"/>
      <c r="X51" s="136"/>
      <c r="Y51" s="136"/>
    </row>
    <row r="52" spans="1:25">
      <c r="A52" s="2"/>
      <c r="B52" s="168"/>
      <c r="C52" s="30"/>
      <c r="D52" s="30"/>
      <c r="E52" s="610"/>
      <c r="F52" s="55"/>
      <c r="G52" s="55"/>
      <c r="H52" s="55"/>
      <c r="I52" s="55"/>
      <c r="J52" s="55"/>
      <c r="K52" s="55"/>
      <c r="L52" s="55"/>
      <c r="M52" s="55"/>
      <c r="N52" s="2"/>
      <c r="O52" s="146"/>
      <c r="P52" s="619"/>
      <c r="Q52" s="146"/>
      <c r="R52" s="148"/>
      <c r="S52" s="148"/>
      <c r="T52" s="148"/>
      <c r="U52" s="619"/>
      <c r="V52" s="148"/>
      <c r="W52" s="148"/>
      <c r="X52" s="148"/>
      <c r="Y52" s="148"/>
    </row>
    <row r="53" spans="1:25" s="329" customFormat="1" ht="16.5" customHeight="1">
      <c r="A53" s="25"/>
      <c r="B53" s="1092">
        <v>1.4</v>
      </c>
      <c r="C53" s="34" t="s">
        <v>568</v>
      </c>
      <c r="D53" s="34"/>
      <c r="E53" s="314"/>
      <c r="F53" s="151"/>
      <c r="G53" s="151"/>
      <c r="H53" s="151"/>
      <c r="I53" s="151"/>
      <c r="J53" s="151"/>
      <c r="K53" s="151"/>
      <c r="L53" s="151"/>
      <c r="M53" s="606"/>
      <c r="N53" s="25"/>
      <c r="O53" s="734"/>
      <c r="P53" s="734"/>
      <c r="Q53" s="734"/>
    </row>
    <row r="54" spans="1:25" s="304" customFormat="1" ht="16.5" customHeight="1" thickBot="1">
      <c r="A54" s="137"/>
      <c r="B54" s="168"/>
      <c r="C54" s="32"/>
      <c r="D54" s="140"/>
      <c r="E54" s="417"/>
      <c r="F54" s="152"/>
      <c r="G54" s="138"/>
      <c r="H54" s="138"/>
      <c r="I54" s="55"/>
      <c r="J54" s="55"/>
      <c r="K54" s="55"/>
      <c r="L54" s="180" t="s">
        <v>2</v>
      </c>
      <c r="M54" s="52">
        <f>重み!M34</f>
        <v>0.3</v>
      </c>
      <c r="N54" s="137"/>
      <c r="O54" s="148">
        <f>C54</f>
        <v>0</v>
      </c>
      <c r="P54" s="148">
        <f>D54</f>
        <v>0</v>
      </c>
      <c r="Q54" s="148">
        <f>E54</f>
        <v>0</v>
      </c>
      <c r="R54" s="148">
        <f>F54</f>
        <v>0</v>
      </c>
      <c r="S54" s="148" t="str">
        <f>L54</f>
        <v>重み係数＝</v>
      </c>
      <c r="T54" s="148">
        <f>M54</f>
        <v>0.3</v>
      </c>
      <c r="U54" s="148">
        <f>I54</f>
        <v>0</v>
      </c>
      <c r="V54" s="148">
        <f>J54</f>
        <v>0</v>
      </c>
      <c r="W54" s="148">
        <f>K54</f>
        <v>0</v>
      </c>
      <c r="X54" s="148" t="e">
        <f>#REF!</f>
        <v>#REF!</v>
      </c>
      <c r="Y54" s="148" t="e">
        <f>#REF!</f>
        <v>#REF!</v>
      </c>
    </row>
    <row r="55" spans="1:25" s="304" customFormat="1" ht="16.5" customHeight="1" thickBot="1">
      <c r="A55" s="137"/>
      <c r="B55" s="168"/>
      <c r="C55" s="32"/>
      <c r="D55" s="1078">
        <v>3</v>
      </c>
      <c r="E55" s="2349" t="s">
        <v>467</v>
      </c>
      <c r="F55" s="2350"/>
      <c r="G55" s="2350"/>
      <c r="H55" s="2350"/>
      <c r="I55" s="2350"/>
      <c r="J55" s="2350"/>
      <c r="K55" s="2350"/>
      <c r="L55" s="2350"/>
      <c r="M55" s="2351"/>
      <c r="N55" s="137"/>
      <c r="O55" s="146"/>
      <c r="P55" s="148"/>
      <c r="Q55" s="146"/>
      <c r="R55" s="148"/>
      <c r="S55" s="148"/>
      <c r="T55" s="148"/>
      <c r="U55" s="148"/>
      <c r="V55" s="148"/>
      <c r="W55" s="148"/>
      <c r="X55" s="148"/>
      <c r="Y55" s="148"/>
    </row>
    <row r="56" spans="1:25" s="304" customFormat="1" ht="16.5" customHeight="1">
      <c r="A56" s="137"/>
      <c r="B56" s="168"/>
      <c r="C56" s="32"/>
      <c r="D56" s="476" t="str">
        <f>IF(D55=$Q$14,$R$9,IF(ROUNDDOWN(D55,0)=$Q$9,$S$9,$R$9))</f>
        <v>　レベル　1</v>
      </c>
      <c r="E56" s="526" t="s">
        <v>459</v>
      </c>
      <c r="F56" s="584"/>
      <c r="G56" s="584"/>
      <c r="H56" s="584"/>
      <c r="I56" s="584"/>
      <c r="J56" s="584"/>
      <c r="K56" s="584"/>
      <c r="L56" s="584"/>
      <c r="M56" s="585"/>
      <c r="N56" s="137"/>
      <c r="O56" s="146"/>
      <c r="P56" s="588" t="s">
        <v>909</v>
      </c>
      <c r="Q56" s="146"/>
      <c r="R56" s="148"/>
      <c r="S56" s="148"/>
      <c r="T56" s="148"/>
      <c r="U56" s="588">
        <f>$Q$9</f>
        <v>1</v>
      </c>
      <c r="V56" s="148"/>
      <c r="W56" s="148"/>
      <c r="X56" s="148"/>
      <c r="Y56" s="148"/>
    </row>
    <row r="57" spans="1:25" s="304" customFormat="1" ht="16.5" customHeight="1">
      <c r="A57" s="137"/>
      <c r="B57" s="168"/>
      <c r="C57" s="32"/>
      <c r="D57" s="43" t="str">
        <f>IF(D55=$Q$14,$R$10,IF(ROUNDDOWN(D55,0)=$Q$10,$S$10,$R$10))</f>
        <v>　レベル　2</v>
      </c>
      <c r="E57" s="527" t="s">
        <v>459</v>
      </c>
      <c r="F57" s="586"/>
      <c r="G57" s="586"/>
      <c r="H57" s="586"/>
      <c r="I57" s="586"/>
      <c r="J57" s="586"/>
      <c r="K57" s="586"/>
      <c r="L57" s="586"/>
      <c r="M57" s="587"/>
      <c r="N57" s="137"/>
      <c r="O57" s="146"/>
      <c r="P57" s="588" t="s">
        <v>924</v>
      </c>
      <c r="Q57" s="146"/>
      <c r="R57" s="148"/>
      <c r="S57" s="148"/>
      <c r="T57" s="148"/>
      <c r="U57" s="588">
        <f>$Q$10</f>
        <v>2</v>
      </c>
      <c r="V57" s="148"/>
      <c r="W57" s="148"/>
      <c r="X57" s="148"/>
      <c r="Y57" s="148"/>
    </row>
    <row r="58" spans="1:25" s="304" customFormat="1" ht="16.5" customHeight="1">
      <c r="A58" s="137"/>
      <c r="B58" s="168"/>
      <c r="C58" s="32"/>
      <c r="D58" s="43" t="str">
        <f>IF(D55=$Q$14,$R$11,IF(ROUNDDOWN(D55,0)=$Q$11,$S$11,$R$11))</f>
        <v>■レベル　3</v>
      </c>
      <c r="E58" s="527" t="s">
        <v>720</v>
      </c>
      <c r="F58" s="586"/>
      <c r="G58" s="586"/>
      <c r="H58" s="586"/>
      <c r="I58" s="586"/>
      <c r="J58" s="586"/>
      <c r="K58" s="586"/>
      <c r="L58" s="586"/>
      <c r="M58" s="587"/>
      <c r="N58" s="137"/>
      <c r="O58" s="146"/>
      <c r="P58" s="588">
        <f>$Q$11</f>
        <v>3</v>
      </c>
      <c r="Q58" s="146"/>
      <c r="R58" s="148"/>
      <c r="S58" s="148"/>
      <c r="T58" s="148"/>
      <c r="U58" s="588">
        <f>$Q$11</f>
        <v>3</v>
      </c>
      <c r="V58" s="148"/>
      <c r="W58" s="148"/>
      <c r="X58" s="148"/>
      <c r="Y58" s="148"/>
    </row>
    <row r="59" spans="1:25" s="304" customFormat="1" ht="16.5" customHeight="1">
      <c r="A59" s="137"/>
      <c r="B59" s="168"/>
      <c r="C59" s="32"/>
      <c r="D59" s="43" t="str">
        <f>IF(D55=$Q$14,$R$12,IF(ROUNDDOWN(D55,0)=$Q$12,$S$12,$R$12))</f>
        <v>　レベル　4</v>
      </c>
      <c r="E59" s="539" t="s">
        <v>721</v>
      </c>
      <c r="F59" s="589"/>
      <c r="G59" s="589"/>
      <c r="H59" s="589"/>
      <c r="I59" s="589"/>
      <c r="J59" s="589"/>
      <c r="K59" s="589"/>
      <c r="L59" s="589"/>
      <c r="M59" s="590"/>
      <c r="N59" s="137"/>
      <c r="O59" s="146"/>
      <c r="P59" s="588">
        <f>$Q$12</f>
        <v>4</v>
      </c>
      <c r="Q59" s="146"/>
      <c r="R59" s="148"/>
      <c r="S59" s="148"/>
      <c r="T59" s="148"/>
      <c r="U59" s="588">
        <f>$Q$12</f>
        <v>4</v>
      </c>
      <c r="V59" s="148"/>
      <c r="W59" s="148"/>
      <c r="X59" s="148"/>
      <c r="Y59" s="148"/>
    </row>
    <row r="60" spans="1:25" s="304" customFormat="1" ht="16.5" customHeight="1">
      <c r="A60" s="137"/>
      <c r="B60" s="138"/>
      <c r="C60" s="32"/>
      <c r="D60" s="415" t="str">
        <f>IF(D55=$Q$14,$R$13,IF(ROUNDDOWN(D55,0)=$Q$13,$S$13,$R$13))</f>
        <v>　レベル　5</v>
      </c>
      <c r="E60" s="565" t="s">
        <v>722</v>
      </c>
      <c r="F60" s="591"/>
      <c r="G60" s="591"/>
      <c r="H60" s="591"/>
      <c r="I60" s="591"/>
      <c r="J60" s="591"/>
      <c r="K60" s="591"/>
      <c r="L60" s="591"/>
      <c r="M60" s="592"/>
      <c r="N60" s="137"/>
      <c r="O60" s="146"/>
      <c r="P60" s="588">
        <f>$Q$13</f>
        <v>5</v>
      </c>
      <c r="Q60" s="146"/>
      <c r="R60" s="148"/>
      <c r="S60" s="148"/>
      <c r="T60" s="148"/>
      <c r="U60" s="588">
        <f>$Q$13</f>
        <v>5</v>
      </c>
      <c r="V60" s="148"/>
      <c r="W60" s="148"/>
      <c r="X60" s="148"/>
      <c r="Y60" s="148"/>
    </row>
    <row r="61" spans="1:25" s="148" customFormat="1" ht="8.25" customHeight="1">
      <c r="A61" s="55"/>
      <c r="B61" s="168"/>
      <c r="C61" s="611"/>
      <c r="D61" s="313"/>
      <c r="E61" s="313"/>
      <c r="F61" s="2"/>
      <c r="G61" s="2"/>
      <c r="H61" s="2"/>
      <c r="I61" s="2"/>
      <c r="J61" s="2"/>
      <c r="K61" s="2"/>
      <c r="L61" s="2"/>
      <c r="M61" s="2"/>
      <c r="N61" s="154"/>
      <c r="P61" s="588" t="s">
        <v>75</v>
      </c>
      <c r="Q61" s="328" t="s">
        <v>99</v>
      </c>
      <c r="R61" s="5"/>
      <c r="S61" s="5"/>
      <c r="T61" s="136"/>
    </row>
    <row r="62" spans="1:25" s="148" customFormat="1" ht="21" customHeight="1">
      <c r="A62" s="55"/>
      <c r="B62" s="168"/>
      <c r="C62" s="611"/>
      <c r="E62" s="786" t="s">
        <v>3</v>
      </c>
      <c r="F62" s="787"/>
      <c r="G62" s="1242"/>
      <c r="H62" s="1242"/>
      <c r="I62" s="1241"/>
      <c r="J62" s="1243"/>
      <c r="K62" s="1243"/>
      <c r="L62" s="1243"/>
      <c r="M62" s="1244"/>
      <c r="N62" s="154"/>
      <c r="P62" s="619"/>
      <c r="Q62" s="328"/>
      <c r="R62" s="5"/>
      <c r="S62" s="5"/>
      <c r="T62" s="136"/>
      <c r="U62" s="619"/>
      <c r="V62" s="136"/>
      <c r="W62" s="136"/>
      <c r="X62" s="136"/>
      <c r="Y62" s="136"/>
    </row>
    <row r="63" spans="1:25" ht="14.25" customHeight="1">
      <c r="A63" s="2"/>
      <c r="B63" s="168"/>
      <c r="C63" s="30"/>
      <c r="D63" s="30"/>
      <c r="E63" s="614"/>
      <c r="F63" s="138"/>
      <c r="G63" s="138"/>
      <c r="H63" s="55"/>
      <c r="I63" s="151"/>
      <c r="J63" s="151"/>
      <c r="K63" s="151"/>
      <c r="L63" s="151"/>
      <c r="M63" s="151"/>
      <c r="N63" s="2"/>
      <c r="O63" s="146"/>
      <c r="P63" s="619"/>
      <c r="Q63" s="146"/>
      <c r="R63" s="148"/>
      <c r="S63" s="148"/>
      <c r="T63" s="148"/>
      <c r="U63" s="619"/>
      <c r="V63" s="148"/>
      <c r="W63" s="148"/>
      <c r="X63" s="148"/>
      <c r="Y63" s="148"/>
    </row>
    <row r="64" spans="1:25" s="329" customFormat="1" ht="16.5" customHeight="1">
      <c r="A64" s="25"/>
      <c r="B64" s="477">
        <v>1.5</v>
      </c>
      <c r="C64" s="34" t="s">
        <v>569</v>
      </c>
      <c r="D64" s="34"/>
      <c r="E64" s="314"/>
      <c r="F64" s="151"/>
      <c r="G64" s="151"/>
      <c r="H64" s="151"/>
      <c r="I64" s="151"/>
      <c r="J64" s="151"/>
      <c r="K64" s="151"/>
      <c r="L64" s="151"/>
      <c r="M64" s="606"/>
      <c r="N64" s="25"/>
      <c r="O64" s="734"/>
      <c r="P64" s="734"/>
      <c r="Q64" s="734"/>
    </row>
    <row r="65" spans="1:25" ht="16.5" customHeight="1" thickBot="1">
      <c r="A65" s="2"/>
      <c r="B65" s="168"/>
      <c r="C65" s="38"/>
      <c r="D65" s="1044" t="s">
        <v>147</v>
      </c>
      <c r="E65" s="417"/>
      <c r="F65" s="152"/>
      <c r="G65" s="5"/>
      <c r="H65" s="5"/>
      <c r="I65" s="5"/>
      <c r="J65" s="5"/>
      <c r="K65" s="5"/>
      <c r="L65" s="180" t="s">
        <v>2</v>
      </c>
      <c r="M65" s="52">
        <f>重み!M36</f>
        <v>0.65</v>
      </c>
      <c r="N65" s="6"/>
      <c r="O65" s="148">
        <f>C65</f>
        <v>0</v>
      </c>
      <c r="P65" s="148" t="str">
        <f>D65</f>
        <v>1.5.1　火災に耐える構造</v>
      </c>
      <c r="Q65" s="148">
        <f>E65</f>
        <v>0</v>
      </c>
      <c r="R65" s="148">
        <f>F65</f>
        <v>0</v>
      </c>
      <c r="S65" s="148" t="str">
        <f>L65</f>
        <v>重み係数＝</v>
      </c>
      <c r="T65" s="148">
        <f>M65</f>
        <v>0.65</v>
      </c>
    </row>
    <row r="66" spans="1:25" ht="16.5" customHeight="1" thickBot="1">
      <c r="A66" s="2"/>
      <c r="B66" s="168"/>
      <c r="C66" s="38"/>
      <c r="D66" s="1078" t="s">
        <v>99</v>
      </c>
      <c r="E66" s="2349" t="s">
        <v>467</v>
      </c>
      <c r="F66" s="2350"/>
      <c r="G66" s="2350"/>
      <c r="H66" s="2350"/>
      <c r="I66" s="2350"/>
      <c r="J66" s="2350"/>
      <c r="K66" s="2350"/>
      <c r="L66" s="2350"/>
      <c r="M66" s="2351"/>
      <c r="N66" s="2"/>
      <c r="O66" s="146"/>
      <c r="P66" s="148"/>
      <c r="Q66" s="146"/>
      <c r="R66" s="148"/>
      <c r="S66" s="148"/>
      <c r="T66" s="148"/>
    </row>
    <row r="67" spans="1:25" ht="16.5" customHeight="1">
      <c r="A67" s="2"/>
      <c r="B67" s="168"/>
      <c r="C67" s="50"/>
      <c r="D67" s="476" t="str">
        <f>IF(D66=$Q$14,$R$9,IF(ROUNDDOWN(D66,0)=$Q$9,$S$9,$R$9))</f>
        <v>　レベル　1</v>
      </c>
      <c r="E67" s="632" t="s">
        <v>723</v>
      </c>
      <c r="F67" s="788"/>
      <c r="G67" s="788"/>
      <c r="H67" s="788"/>
      <c r="I67" s="788"/>
      <c r="J67" s="788"/>
      <c r="K67" s="788"/>
      <c r="L67" s="788"/>
      <c r="M67" s="789"/>
      <c r="N67" s="2"/>
      <c r="O67" s="146"/>
      <c r="P67" s="588">
        <f>$Q$9</f>
        <v>1</v>
      </c>
      <c r="Q67" s="146"/>
      <c r="R67" s="148"/>
      <c r="S67" s="148"/>
      <c r="T67" s="148"/>
    </row>
    <row r="68" spans="1:25" ht="16.5" customHeight="1">
      <c r="A68" s="2"/>
      <c r="B68" s="168"/>
      <c r="C68" s="50"/>
      <c r="D68" s="43" t="str">
        <f>IF(D66=$Q$14,$R$10,IF(ROUNDDOWN(D66,0)=$Q$10,$S$10,$R$10))</f>
        <v>　レベル　2</v>
      </c>
      <c r="E68" s="178" t="s">
        <v>459</v>
      </c>
      <c r="F68" s="607"/>
      <c r="G68" s="607"/>
      <c r="H68" s="607"/>
      <c r="I68" s="607"/>
      <c r="J68" s="607"/>
      <c r="K68" s="607"/>
      <c r="L68" s="607"/>
      <c r="M68" s="608"/>
      <c r="N68" s="2"/>
      <c r="O68" s="146"/>
      <c r="P68" s="588" t="s">
        <v>924</v>
      </c>
      <c r="Q68" s="146"/>
      <c r="R68" s="148"/>
      <c r="S68" s="148"/>
      <c r="T68" s="148"/>
    </row>
    <row r="69" spans="1:25" ht="16.5" customHeight="1">
      <c r="A69" s="2"/>
      <c r="B69" s="168"/>
      <c r="C69" s="50"/>
      <c r="D69" s="43" t="str">
        <f>IF(D66=$Q$14,$R$11,IF(ROUNDDOWN(D66,0)=$Q$11,$S$11,$R$11))</f>
        <v>　レベル　3</v>
      </c>
      <c r="E69" s="178" t="s">
        <v>724</v>
      </c>
      <c r="F69" s="779"/>
      <c r="G69" s="779"/>
      <c r="H69" s="779"/>
      <c r="I69" s="779"/>
      <c r="J69" s="779"/>
      <c r="K69" s="779"/>
      <c r="L69" s="779"/>
      <c r="M69" s="780"/>
      <c r="N69" s="2"/>
      <c r="O69" s="146"/>
      <c r="P69" s="588">
        <f>$Q$11</f>
        <v>3</v>
      </c>
      <c r="Q69" s="146"/>
      <c r="R69" s="148"/>
      <c r="S69" s="148"/>
      <c r="T69" s="148"/>
    </row>
    <row r="70" spans="1:25" ht="16.5" customHeight="1">
      <c r="A70" s="2"/>
      <c r="B70" s="168"/>
      <c r="C70" s="50"/>
      <c r="D70" s="43" t="str">
        <f>IF(D66=$Q$14,$R$12,IF(ROUNDDOWN(D66,0)=$Q$12,$S$12,$R$12))</f>
        <v>　レベル　4</v>
      </c>
      <c r="E70" s="178" t="s">
        <v>725</v>
      </c>
      <c r="F70" s="779"/>
      <c r="G70" s="779"/>
      <c r="H70" s="779"/>
      <c r="I70" s="779"/>
      <c r="J70" s="779"/>
      <c r="K70" s="779"/>
      <c r="L70" s="779"/>
      <c r="M70" s="780"/>
      <c r="N70" s="2"/>
      <c r="O70" s="146"/>
      <c r="P70" s="588">
        <f>$Q$12</f>
        <v>4</v>
      </c>
      <c r="Q70" s="146"/>
      <c r="R70" s="148"/>
      <c r="S70" s="148"/>
      <c r="T70" s="148"/>
    </row>
    <row r="71" spans="1:25" ht="16.5" customHeight="1">
      <c r="A71" s="2"/>
      <c r="B71" s="168"/>
      <c r="C71" s="50"/>
      <c r="D71" s="415" t="str">
        <f>IF(D66=$Q$14,$R$13,IF(ROUNDDOWN(D66,0)=$Q$13,$S$13,$R$13))</f>
        <v>　レベル　5</v>
      </c>
      <c r="E71" s="783" t="s">
        <v>726</v>
      </c>
      <c r="F71" s="781"/>
      <c r="G71" s="781"/>
      <c r="H71" s="781"/>
      <c r="I71" s="781"/>
      <c r="J71" s="781"/>
      <c r="K71" s="781"/>
      <c r="L71" s="781"/>
      <c r="M71" s="782"/>
      <c r="N71" s="2"/>
      <c r="O71" s="146"/>
      <c r="P71" s="588">
        <f>$Q$13</f>
        <v>5</v>
      </c>
      <c r="Q71" s="146"/>
      <c r="R71" s="148"/>
      <c r="S71" s="148"/>
      <c r="T71" s="148"/>
    </row>
    <row r="72" spans="1:25" s="148" customFormat="1" ht="8.25" customHeight="1">
      <c r="A72" s="55"/>
      <c r="B72" s="168"/>
      <c r="C72" s="611"/>
      <c r="D72" s="313"/>
      <c r="E72" s="313"/>
      <c r="F72" s="2"/>
      <c r="G72" s="2"/>
      <c r="H72" s="2"/>
      <c r="I72" s="2"/>
      <c r="J72" s="2"/>
      <c r="K72" s="2"/>
      <c r="L72" s="2"/>
      <c r="M72" s="2"/>
      <c r="N72" s="154"/>
      <c r="P72" s="1237" t="s">
        <v>99</v>
      </c>
      <c r="Q72" s="328" t="s">
        <v>99</v>
      </c>
      <c r="R72" s="5"/>
      <c r="S72" s="5"/>
      <c r="T72" s="136"/>
    </row>
    <row r="73" spans="1:25" s="148" customFormat="1" ht="21" customHeight="1">
      <c r="A73" s="55"/>
      <c r="B73" s="168"/>
      <c r="C73" s="611"/>
      <c r="E73" s="786" t="s">
        <v>3</v>
      </c>
      <c r="F73" s="787"/>
      <c r="G73" s="1242"/>
      <c r="H73" s="1242"/>
      <c r="I73" s="1241"/>
      <c r="J73" s="1243"/>
      <c r="K73" s="1243"/>
      <c r="L73" s="1243"/>
      <c r="M73" s="1244"/>
      <c r="N73" s="154"/>
      <c r="P73" s="619"/>
      <c r="Q73" s="328"/>
      <c r="R73" s="5"/>
      <c r="S73" s="5"/>
      <c r="T73" s="136"/>
      <c r="U73" s="619"/>
      <c r="V73" s="136"/>
      <c r="W73" s="136"/>
      <c r="X73" s="136"/>
      <c r="Y73" s="136"/>
    </row>
    <row r="74" spans="1:25">
      <c r="A74" s="2"/>
      <c r="B74" s="168"/>
      <c r="C74" s="30"/>
      <c r="D74" s="309"/>
      <c r="E74" s="614"/>
      <c r="F74" s="138"/>
      <c r="G74" s="138"/>
      <c r="H74" s="55"/>
      <c r="I74" s="151"/>
      <c r="J74" s="151"/>
      <c r="K74" s="151"/>
      <c r="L74" s="151"/>
      <c r="M74" s="151"/>
      <c r="N74" s="2"/>
      <c r="O74" s="146"/>
      <c r="P74" s="619"/>
      <c r="Q74" s="146"/>
      <c r="R74" s="148"/>
      <c r="S74" s="148"/>
      <c r="T74" s="148"/>
      <c r="U74" s="619"/>
      <c r="V74" s="148"/>
      <c r="W74" s="148"/>
      <c r="X74" s="148"/>
      <c r="Y74" s="148"/>
    </row>
    <row r="75" spans="1:25" ht="16.5" customHeight="1" thickBot="1">
      <c r="A75" s="2"/>
      <c r="B75" s="168"/>
      <c r="C75" s="30"/>
      <c r="D75" s="1044" t="s">
        <v>420</v>
      </c>
      <c r="E75" s="417"/>
      <c r="F75" s="152"/>
      <c r="G75" s="5"/>
      <c r="H75" s="5"/>
      <c r="I75" s="151"/>
      <c r="J75" s="151"/>
      <c r="K75" s="151"/>
      <c r="L75" s="180" t="s">
        <v>391</v>
      </c>
      <c r="M75" s="52">
        <f>重み!M37</f>
        <v>0.35</v>
      </c>
      <c r="N75" s="2"/>
      <c r="O75" s="146"/>
      <c r="P75" s="148" t="str">
        <f>D75</f>
        <v>1.5.2　火災の早期感知</v>
      </c>
      <c r="Q75" s="148">
        <f>E75</f>
        <v>0</v>
      </c>
      <c r="R75" s="148">
        <f>F75</f>
        <v>0</v>
      </c>
      <c r="S75" s="148" t="str">
        <f>L75</f>
        <v>重み係数(既定）＝</v>
      </c>
      <c r="T75" s="148">
        <f>M75</f>
        <v>0.35</v>
      </c>
      <c r="U75" s="619"/>
      <c r="V75" s="148"/>
      <c r="W75" s="148"/>
      <c r="X75" s="148"/>
      <c r="Y75" s="148"/>
    </row>
    <row r="76" spans="1:25" ht="16.5" customHeight="1" thickBot="1">
      <c r="A76" s="2"/>
      <c r="B76" s="168"/>
      <c r="C76" s="30"/>
      <c r="D76" s="1078">
        <v>3</v>
      </c>
      <c r="E76" s="2349" t="s">
        <v>467</v>
      </c>
      <c r="F76" s="2350"/>
      <c r="G76" s="2350"/>
      <c r="H76" s="2350"/>
      <c r="I76" s="2350"/>
      <c r="J76" s="2350"/>
      <c r="K76" s="2350"/>
      <c r="L76" s="2350"/>
      <c r="M76" s="2351"/>
      <c r="N76" s="2"/>
      <c r="O76" s="146"/>
      <c r="P76" s="148"/>
      <c r="Q76" s="148"/>
      <c r="R76" s="148"/>
      <c r="S76" s="148"/>
      <c r="T76" s="148"/>
      <c r="U76" s="619"/>
      <c r="V76" s="148"/>
      <c r="W76" s="148"/>
      <c r="X76" s="148"/>
      <c r="Y76" s="148"/>
    </row>
    <row r="77" spans="1:25" ht="16.5" customHeight="1">
      <c r="A77" s="2"/>
      <c r="B77" s="168"/>
      <c r="C77" s="30"/>
      <c r="D77" s="36" t="str">
        <f>IF(D76=$Q$14,$R$9,IF(ROUNDDOWN(D76,0)=$Q$9,$S$9,$R$9))</f>
        <v>　レベル　1</v>
      </c>
      <c r="E77" s="632" t="s">
        <v>459</v>
      </c>
      <c r="F77" s="772"/>
      <c r="G77" s="772"/>
      <c r="H77" s="772"/>
      <c r="I77" s="772"/>
      <c r="J77" s="772"/>
      <c r="K77" s="772"/>
      <c r="L77" s="772"/>
      <c r="M77" s="773"/>
      <c r="N77" s="2"/>
      <c r="O77" s="146"/>
      <c r="P77" s="588" t="s">
        <v>925</v>
      </c>
      <c r="Q77" s="148"/>
      <c r="R77" s="148"/>
      <c r="S77" s="148"/>
      <c r="T77" s="148"/>
      <c r="U77" s="619"/>
      <c r="V77" s="148"/>
      <c r="W77" s="148"/>
      <c r="X77" s="148"/>
      <c r="Y77" s="148"/>
    </row>
    <row r="78" spans="1:25" ht="16.5" customHeight="1">
      <c r="A78" s="2"/>
      <c r="B78" s="168"/>
      <c r="C78" s="30"/>
      <c r="D78" s="39" t="str">
        <f>IF(D76=$Q$14,$R$10,IF(ROUNDDOWN(D76,0)=$Q$10,$S$10,$R$10))</f>
        <v>　レベル　2</v>
      </c>
      <c r="E78" s="178" t="s">
        <v>459</v>
      </c>
      <c r="F78" s="779"/>
      <c r="G78" s="779"/>
      <c r="H78" s="779"/>
      <c r="I78" s="779"/>
      <c r="J78" s="779"/>
      <c r="K78" s="779"/>
      <c r="L78" s="779"/>
      <c r="M78" s="780"/>
      <c r="N78" s="2"/>
      <c r="O78" s="146"/>
      <c r="P78" s="588" t="s">
        <v>926</v>
      </c>
      <c r="Q78" s="148"/>
      <c r="R78" s="148"/>
      <c r="S78" s="148"/>
      <c r="T78" s="148"/>
      <c r="U78" s="619"/>
      <c r="V78" s="148"/>
      <c r="W78" s="148"/>
      <c r="X78" s="148"/>
      <c r="Y78" s="148"/>
    </row>
    <row r="79" spans="1:25" ht="16.5" customHeight="1">
      <c r="A79" s="2"/>
      <c r="B79" s="168"/>
      <c r="C79" s="30"/>
      <c r="D79" s="39" t="str">
        <f>IF(D76=$Q$14,$R$11,IF(ROUNDDOWN(D76,0)=$Q$11,$S$11,$R$11))</f>
        <v>■レベル　3</v>
      </c>
      <c r="E79" s="178" t="s">
        <v>959</v>
      </c>
      <c r="F79" s="779"/>
      <c r="G79" s="779"/>
      <c r="H79" s="779"/>
      <c r="I79" s="779"/>
      <c r="J79" s="779"/>
      <c r="K79" s="779"/>
      <c r="L79" s="779"/>
      <c r="M79" s="780"/>
      <c r="N79" s="2"/>
      <c r="O79" s="146"/>
      <c r="P79" s="588">
        <f>$Q$11</f>
        <v>3</v>
      </c>
      <c r="Q79" s="148"/>
      <c r="R79" s="148"/>
      <c r="S79" s="148"/>
      <c r="T79" s="148"/>
      <c r="U79" s="619"/>
      <c r="V79" s="148"/>
      <c r="W79" s="148"/>
      <c r="X79" s="148"/>
      <c r="Y79" s="148"/>
    </row>
    <row r="80" spans="1:25" ht="16.5" customHeight="1">
      <c r="A80" s="2"/>
      <c r="B80" s="168"/>
      <c r="C80" s="30"/>
      <c r="D80" s="39" t="str">
        <f>IF(D76=$Q$14,$R$12,IF(ROUNDDOWN(D76,0)=$Q$12,$S$12,$R$12))</f>
        <v>　レベル　4</v>
      </c>
      <c r="E80" s="178" t="s">
        <v>960</v>
      </c>
      <c r="F80" s="779"/>
      <c r="G80" s="779"/>
      <c r="H80" s="779"/>
      <c r="I80" s="779"/>
      <c r="J80" s="779"/>
      <c r="K80" s="779"/>
      <c r="L80" s="779"/>
      <c r="M80" s="780"/>
      <c r="N80" s="2"/>
      <c r="O80" s="146"/>
      <c r="P80" s="588">
        <f>$Q$12</f>
        <v>4</v>
      </c>
      <c r="Q80" s="148"/>
      <c r="R80" s="148"/>
      <c r="S80" s="148"/>
      <c r="T80" s="148"/>
      <c r="U80" s="619"/>
      <c r="V80" s="148"/>
      <c r="W80" s="148"/>
      <c r="X80" s="148"/>
      <c r="Y80" s="148"/>
    </row>
    <row r="81" spans="1:25" ht="16.5" customHeight="1">
      <c r="A81" s="2"/>
      <c r="B81" s="168"/>
      <c r="C81" s="30"/>
      <c r="D81" s="37" t="str">
        <f>IF(D76=$Q$14,$R$13,IF(ROUNDDOWN(D76,0)=$Q$13,$S$13,$R$13))</f>
        <v>　レベル　5</v>
      </c>
      <c r="E81" s="783" t="s">
        <v>961</v>
      </c>
      <c r="F81" s="781"/>
      <c r="G81" s="781"/>
      <c r="H81" s="781"/>
      <c r="I81" s="781"/>
      <c r="J81" s="781"/>
      <c r="K81" s="781"/>
      <c r="L81" s="781"/>
      <c r="M81" s="782"/>
      <c r="N81" s="2"/>
      <c r="O81" s="146"/>
      <c r="P81" s="588">
        <f>$Q$13</f>
        <v>5</v>
      </c>
      <c r="Q81" s="148"/>
      <c r="R81" s="148"/>
      <c r="S81" s="148"/>
      <c r="T81" s="148"/>
      <c r="U81" s="619"/>
      <c r="V81" s="148"/>
      <c r="W81" s="148"/>
      <c r="X81" s="148"/>
      <c r="Y81" s="148"/>
    </row>
    <row r="82" spans="1:25" s="148" customFormat="1" ht="8.25" customHeight="1">
      <c r="A82" s="55"/>
      <c r="B82" s="168"/>
      <c r="C82" s="611"/>
      <c r="D82" s="313"/>
      <c r="E82" s="313"/>
      <c r="F82" s="2"/>
      <c r="G82" s="2"/>
      <c r="H82" s="2"/>
      <c r="I82" s="2"/>
      <c r="J82" s="2"/>
      <c r="K82" s="2"/>
      <c r="L82" s="2"/>
      <c r="M82" s="2"/>
      <c r="N82" s="154"/>
      <c r="P82" s="588" t="s">
        <v>75</v>
      </c>
      <c r="Q82" s="328" t="s">
        <v>99</v>
      </c>
      <c r="R82" s="5"/>
      <c r="S82" s="5"/>
      <c r="T82" s="136"/>
    </row>
    <row r="83" spans="1:25" s="148" customFormat="1" ht="21" customHeight="1">
      <c r="A83" s="55"/>
      <c r="B83" s="168"/>
      <c r="C83" s="611"/>
      <c r="E83" s="786" t="s">
        <v>3</v>
      </c>
      <c r="F83" s="787"/>
      <c r="G83" s="1242"/>
      <c r="H83" s="1242"/>
      <c r="I83" s="1241"/>
      <c r="J83" s="1243"/>
      <c r="K83" s="1243"/>
      <c r="L83" s="1243"/>
      <c r="M83" s="1244"/>
      <c r="N83" s="154"/>
      <c r="P83" s="619"/>
      <c r="Q83" s="328"/>
      <c r="R83" s="5"/>
      <c r="S83" s="5"/>
      <c r="T83" s="136"/>
      <c r="U83" s="619"/>
      <c r="V83" s="136"/>
      <c r="W83" s="136"/>
      <c r="X83" s="136"/>
      <c r="Y83" s="136"/>
    </row>
    <row r="84" spans="1:25" ht="20.25" customHeight="1">
      <c r="A84" s="2"/>
      <c r="B84" s="168"/>
      <c r="C84" s="30"/>
      <c r="D84" s="30"/>
      <c r="E84" s="55"/>
      <c r="F84" s="55"/>
      <c r="G84" s="55"/>
      <c r="H84" s="55"/>
      <c r="I84" s="40"/>
      <c r="J84" s="40"/>
      <c r="K84" s="137"/>
      <c r="L84" s="137"/>
      <c r="M84" s="137"/>
      <c r="N84" s="2"/>
      <c r="O84" s="146"/>
      <c r="P84" s="384"/>
      <c r="Q84" s="146"/>
      <c r="R84" s="148"/>
      <c r="S84" s="148"/>
      <c r="T84" s="148"/>
      <c r="U84" s="384"/>
      <c r="V84" s="148"/>
      <c r="W84" s="148"/>
      <c r="X84" s="148"/>
      <c r="Y84" s="148"/>
    </row>
    <row r="85" spans="1:25" s="329" customFormat="1" ht="14.25" customHeight="1">
      <c r="A85" s="25"/>
      <c r="B85" s="40">
        <v>2</v>
      </c>
      <c r="C85" s="34" t="s">
        <v>572</v>
      </c>
      <c r="D85" s="34"/>
      <c r="E85" s="151"/>
      <c r="F85" s="151"/>
      <c r="G85" s="151"/>
      <c r="H85" s="151"/>
      <c r="I85" s="151"/>
      <c r="J85" s="151"/>
      <c r="K85" s="151"/>
      <c r="L85" s="151"/>
      <c r="M85" s="151"/>
      <c r="N85" s="25"/>
    </row>
    <row r="86" spans="1:25" s="329" customFormat="1" ht="17.25" customHeight="1">
      <c r="A86" s="25"/>
      <c r="B86" s="40">
        <v>2.1</v>
      </c>
      <c r="C86" s="34" t="s">
        <v>574</v>
      </c>
      <c r="D86" s="34"/>
      <c r="E86" s="151"/>
      <c r="F86" s="151"/>
      <c r="G86" s="151"/>
      <c r="H86" s="151"/>
      <c r="I86" s="151"/>
      <c r="J86" s="151"/>
      <c r="K86" s="151"/>
      <c r="L86" s="151"/>
      <c r="M86" s="151"/>
      <c r="N86" s="25"/>
    </row>
    <row r="87" spans="1:25" s="329" customFormat="1" ht="17.25" customHeight="1" thickBot="1">
      <c r="A87" s="25"/>
      <c r="B87" s="34"/>
      <c r="C87" s="34"/>
      <c r="D87" s="34"/>
      <c r="E87" s="151"/>
      <c r="F87" s="151"/>
      <c r="G87" s="151"/>
      <c r="H87" s="151"/>
      <c r="I87" s="151"/>
      <c r="J87" s="151"/>
      <c r="K87" s="151"/>
      <c r="L87" s="151"/>
      <c r="M87" s="151"/>
      <c r="N87" s="25"/>
    </row>
    <row r="88" spans="1:25" s="329" customFormat="1" ht="16.5" customHeight="1" thickBot="1">
      <c r="A88" s="25"/>
      <c r="D88" s="1079">
        <f>IF(D89+L100&lt;=5,D89+L100,5)</f>
        <v>3</v>
      </c>
      <c r="E88" s="314"/>
      <c r="F88" s="151"/>
      <c r="G88" s="152"/>
      <c r="H88" s="151"/>
      <c r="I88" s="151"/>
      <c r="J88" s="151"/>
      <c r="K88" s="151"/>
      <c r="L88" s="180" t="s">
        <v>2</v>
      </c>
      <c r="M88" s="52">
        <f>重み!M39</f>
        <v>0.65</v>
      </c>
      <c r="N88" s="25"/>
      <c r="O88" s="148" t="str">
        <f>C86</f>
        <v>維持管理のしやすさ</v>
      </c>
      <c r="P88" s="148">
        <f>D86</f>
        <v>0</v>
      </c>
      <c r="Q88" s="148">
        <f t="shared" ref="Q88:Y88" si="2">E88</f>
        <v>0</v>
      </c>
      <c r="R88" s="148">
        <f t="shared" si="2"/>
        <v>0</v>
      </c>
      <c r="S88" s="148">
        <f t="shared" si="2"/>
        <v>0</v>
      </c>
      <c r="T88" s="148">
        <f t="shared" si="2"/>
        <v>0</v>
      </c>
      <c r="U88" s="148">
        <f t="shared" si="2"/>
        <v>0</v>
      </c>
      <c r="V88" s="148">
        <f t="shared" si="2"/>
        <v>0</v>
      </c>
      <c r="W88" s="148">
        <f t="shared" si="2"/>
        <v>0</v>
      </c>
      <c r="X88" s="148" t="str">
        <f t="shared" si="2"/>
        <v>重み係数＝</v>
      </c>
      <c r="Y88" s="148">
        <f t="shared" si="2"/>
        <v>0.65</v>
      </c>
    </row>
    <row r="89" spans="1:25" ht="16.5" customHeight="1" thickBot="1">
      <c r="A89" s="2"/>
      <c r="B89" s="168"/>
      <c r="C89" s="32"/>
      <c r="D89" s="1077">
        <v>3</v>
      </c>
      <c r="E89" s="2349" t="s">
        <v>467</v>
      </c>
      <c r="F89" s="2350"/>
      <c r="G89" s="2350"/>
      <c r="H89" s="2350"/>
      <c r="I89" s="2350"/>
      <c r="J89" s="2350"/>
      <c r="K89" s="2350"/>
      <c r="L89" s="2350"/>
      <c r="M89" s="2351"/>
      <c r="N89" s="2"/>
      <c r="O89" s="146"/>
      <c r="P89" s="148"/>
      <c r="Q89" s="146"/>
      <c r="R89" s="148"/>
      <c r="S89" s="148"/>
      <c r="T89" s="148"/>
      <c r="U89" s="148"/>
      <c r="V89" s="148"/>
      <c r="W89" s="148"/>
      <c r="X89" s="148"/>
      <c r="Y89" s="148"/>
    </row>
    <row r="90" spans="1:25" ht="16.5" customHeight="1">
      <c r="A90" s="2"/>
      <c r="B90" s="168"/>
      <c r="C90" s="32"/>
      <c r="D90" s="36" t="str">
        <f>IF(D89=$Q$14,$R$9,IF(ROUNDDOWN(D89,0)=$Q$9,$S$9,$R$9))</f>
        <v>　レベル　1</v>
      </c>
      <c r="E90" s="545" t="s">
        <v>727</v>
      </c>
      <c r="F90" s="784"/>
      <c r="G90" s="784"/>
      <c r="H90" s="784"/>
      <c r="I90" s="784"/>
      <c r="J90" s="784"/>
      <c r="K90" s="784"/>
      <c r="L90" s="784"/>
      <c r="M90" s="785"/>
      <c r="N90" s="2"/>
      <c r="O90" s="146"/>
      <c r="P90" s="588">
        <f>$Q$9</f>
        <v>1</v>
      </c>
      <c r="Q90" s="146"/>
      <c r="R90" s="148"/>
      <c r="S90" s="148"/>
      <c r="T90" s="148"/>
      <c r="U90" s="588">
        <f>$Q$9</f>
        <v>1</v>
      </c>
      <c r="V90" s="148"/>
      <c r="W90" s="148"/>
      <c r="X90" s="148"/>
      <c r="Y90" s="148"/>
    </row>
    <row r="91" spans="1:25" ht="16.5" customHeight="1">
      <c r="A91" s="2"/>
      <c r="B91" s="168"/>
      <c r="C91" s="32"/>
      <c r="D91" s="39" t="str">
        <f>IF(D89=$Q$14,$R$10,IF(ROUNDDOWN(D89,0)=$Q$10,$S$10,$R$10))</f>
        <v>　レベル　2</v>
      </c>
      <c r="E91" s="539" t="s">
        <v>731</v>
      </c>
      <c r="F91" s="538"/>
      <c r="G91" s="538"/>
      <c r="H91" s="538"/>
      <c r="I91" s="538"/>
      <c r="J91" s="538"/>
      <c r="K91" s="538"/>
      <c r="L91" s="538"/>
      <c r="M91" s="542"/>
      <c r="N91" s="2"/>
      <c r="O91" s="146"/>
      <c r="P91" s="588" t="s">
        <v>927</v>
      </c>
      <c r="Q91" s="146"/>
      <c r="R91" s="148"/>
      <c r="S91" s="148"/>
      <c r="T91" s="148"/>
      <c r="U91" s="588">
        <f>$Q$10</f>
        <v>2</v>
      </c>
      <c r="V91" s="148"/>
      <c r="W91" s="148"/>
      <c r="X91" s="148"/>
      <c r="Y91" s="148"/>
    </row>
    <row r="92" spans="1:25" ht="16.5" customHeight="1">
      <c r="A92" s="2"/>
      <c r="B92" s="168"/>
      <c r="C92" s="32"/>
      <c r="D92" s="39" t="str">
        <f>IF(D89=$Q$14,$R$11,IF(ROUNDDOWN(D89,0)=$Q$11,$S$11,$R$11))</f>
        <v>■レベル　3</v>
      </c>
      <c r="E92" s="539" t="s">
        <v>728</v>
      </c>
      <c r="F92" s="795"/>
      <c r="G92" s="795"/>
      <c r="H92" s="795"/>
      <c r="I92" s="795"/>
      <c r="J92" s="795"/>
      <c r="K92" s="795"/>
      <c r="L92" s="795"/>
      <c r="M92" s="796"/>
      <c r="N92" s="2"/>
      <c r="O92" s="146"/>
      <c r="P92" s="588">
        <f>$Q$11</f>
        <v>3</v>
      </c>
      <c r="Q92" s="146"/>
      <c r="R92" s="148"/>
      <c r="S92" s="148"/>
      <c r="T92" s="148"/>
      <c r="U92" s="588">
        <f>$Q$11</f>
        <v>3</v>
      </c>
      <c r="V92" s="148"/>
      <c r="W92" s="148"/>
      <c r="X92" s="148"/>
      <c r="Y92" s="148"/>
    </row>
    <row r="93" spans="1:25" ht="16.5" customHeight="1">
      <c r="A93" s="2"/>
      <c r="B93" s="168"/>
      <c r="C93" s="32"/>
      <c r="D93" s="39" t="str">
        <f>IF(D89=$Q$14,$R$12,IF(ROUNDDOWN(D89,0)=$Q$12,$S$12,$R$12))</f>
        <v>　レベル　4</v>
      </c>
      <c r="E93" s="539" t="s">
        <v>729</v>
      </c>
      <c r="F93" s="795"/>
      <c r="G93" s="795"/>
      <c r="H93" s="795"/>
      <c r="I93" s="795"/>
      <c r="J93" s="795"/>
      <c r="K93" s="795"/>
      <c r="L93" s="795"/>
      <c r="M93" s="796"/>
      <c r="N93" s="2"/>
      <c r="O93" s="146"/>
      <c r="P93" s="588">
        <f>$Q$12</f>
        <v>4</v>
      </c>
      <c r="Q93" s="146"/>
      <c r="R93" s="148"/>
      <c r="S93" s="148"/>
      <c r="T93" s="148"/>
      <c r="U93" s="588">
        <f>$Q$12</f>
        <v>4</v>
      </c>
      <c r="V93" s="148"/>
      <c r="W93" s="148"/>
      <c r="X93" s="148"/>
      <c r="Y93" s="148"/>
    </row>
    <row r="94" spans="1:25" ht="16.5" customHeight="1">
      <c r="A94" s="2"/>
      <c r="B94" s="168"/>
      <c r="C94" s="32"/>
      <c r="D94" s="37" t="str">
        <f>IF(D89=$Q$14,$R$13,IF(ROUNDDOWN(D89,0)=$Q$13,$S$13,$R$13))</f>
        <v>　レベル　5</v>
      </c>
      <c r="E94" s="565" t="s">
        <v>730</v>
      </c>
      <c r="F94" s="591"/>
      <c r="G94" s="591"/>
      <c r="H94" s="591"/>
      <c r="I94" s="591"/>
      <c r="J94" s="591"/>
      <c r="K94" s="591"/>
      <c r="L94" s="591"/>
      <c r="M94" s="592"/>
      <c r="N94" s="2"/>
      <c r="O94" s="146"/>
      <c r="P94" s="588" t="s">
        <v>451</v>
      </c>
      <c r="Q94" s="146"/>
      <c r="R94" s="148"/>
      <c r="S94" s="148"/>
      <c r="T94" s="148"/>
      <c r="U94" s="588">
        <f>$Q$13</f>
        <v>5</v>
      </c>
      <c r="V94" s="148"/>
      <c r="W94" s="148"/>
      <c r="X94" s="148"/>
      <c r="Y94" s="148"/>
    </row>
    <row r="95" spans="1:25" ht="16.5" customHeight="1" thickBot="1">
      <c r="A95" s="2"/>
      <c r="B95" s="168"/>
      <c r="C95" s="30"/>
      <c r="D95" s="30"/>
      <c r="E95" s="1087" t="s">
        <v>425</v>
      </c>
      <c r="F95" s="2"/>
      <c r="G95" s="2"/>
      <c r="H95" s="2"/>
      <c r="I95" s="2"/>
      <c r="J95" s="2"/>
      <c r="K95" s="2"/>
      <c r="L95" s="2"/>
      <c r="M95" s="2"/>
      <c r="N95" s="2"/>
      <c r="O95" s="146"/>
      <c r="P95" s="588" t="s">
        <v>75</v>
      </c>
      <c r="Q95" s="146"/>
      <c r="R95" s="148"/>
      <c r="S95" s="148"/>
      <c r="T95" s="148"/>
      <c r="U95" s="588" t="str">
        <f>$Q$14</f>
        <v>対象外</v>
      </c>
      <c r="V95" s="148"/>
      <c r="W95" s="148"/>
      <c r="X95" s="148"/>
      <c r="Y95" s="148"/>
    </row>
    <row r="96" spans="1:25" ht="22.5" customHeight="1">
      <c r="A96" s="2"/>
      <c r="B96" s="168"/>
      <c r="C96" s="30"/>
      <c r="D96" s="30"/>
      <c r="E96" s="379"/>
      <c r="F96" s="2371" t="s">
        <v>9</v>
      </c>
      <c r="G96" s="578" t="s">
        <v>4</v>
      </c>
      <c r="H96" s="545" t="s">
        <v>452</v>
      </c>
      <c r="I96" s="577"/>
      <c r="J96" s="577"/>
      <c r="K96" s="577"/>
      <c r="L96" s="577"/>
      <c r="M96" s="533"/>
      <c r="N96" s="2"/>
      <c r="O96" s="146"/>
      <c r="Q96" s="146"/>
      <c r="R96" s="148"/>
      <c r="S96" s="148"/>
      <c r="T96" s="148"/>
      <c r="U96" s="619"/>
      <c r="V96" s="148"/>
      <c r="W96" s="148"/>
      <c r="X96" s="148"/>
      <c r="Y96" s="148"/>
    </row>
    <row r="97" spans="1:25" ht="24" customHeight="1">
      <c r="A97" s="2"/>
      <c r="B97" s="168"/>
      <c r="C97" s="30"/>
      <c r="D97" s="30"/>
      <c r="E97" s="810"/>
      <c r="F97" s="2372"/>
      <c r="G97" s="580" t="s">
        <v>8</v>
      </c>
      <c r="H97" s="565" t="s">
        <v>453</v>
      </c>
      <c r="I97" s="777"/>
      <c r="J97" s="777"/>
      <c r="K97" s="777"/>
      <c r="L97" s="777"/>
      <c r="M97" s="778"/>
      <c r="N97" s="2"/>
      <c r="O97" s="146"/>
      <c r="P97" s="5">
        <f>COUNTIF(E96:E97,U3)</f>
        <v>0</v>
      </c>
      <c r="Q97" s="146"/>
      <c r="R97" s="148"/>
      <c r="S97" s="148"/>
      <c r="T97" s="148"/>
      <c r="U97" s="619"/>
      <c r="V97" s="148"/>
      <c r="W97" s="148"/>
      <c r="X97" s="148"/>
      <c r="Y97" s="148"/>
    </row>
    <row r="98" spans="1:25" ht="54.75" customHeight="1">
      <c r="A98" s="2"/>
      <c r="B98" s="168"/>
      <c r="C98" s="30"/>
      <c r="D98" s="30"/>
      <c r="E98" s="813"/>
      <c r="F98" s="2371" t="s">
        <v>10</v>
      </c>
      <c r="G98" s="578" t="s">
        <v>4</v>
      </c>
      <c r="H98" s="2355" t="s">
        <v>272</v>
      </c>
      <c r="I98" s="2356"/>
      <c r="J98" s="2356"/>
      <c r="K98" s="2356"/>
      <c r="L98" s="2356"/>
      <c r="M98" s="2357"/>
      <c r="N98" s="2"/>
      <c r="O98" s="146"/>
      <c r="P98" s="619"/>
      <c r="Q98" s="146"/>
      <c r="R98" s="148"/>
      <c r="S98" s="148"/>
      <c r="T98" s="148"/>
      <c r="U98" s="619"/>
      <c r="V98" s="148"/>
      <c r="W98" s="148"/>
      <c r="X98" s="148"/>
      <c r="Y98" s="148"/>
    </row>
    <row r="99" spans="1:25" ht="33.75" customHeight="1" thickBot="1">
      <c r="A99" s="2"/>
      <c r="B99" s="168"/>
      <c r="C99" s="30"/>
      <c r="D99" s="30"/>
      <c r="E99" s="575"/>
      <c r="F99" s="2372"/>
      <c r="G99" s="580" t="s">
        <v>8</v>
      </c>
      <c r="H99" s="2358" t="s">
        <v>358</v>
      </c>
      <c r="I99" s="2359"/>
      <c r="J99" s="2359"/>
      <c r="K99" s="2359"/>
      <c r="L99" s="2359"/>
      <c r="M99" s="2360"/>
      <c r="N99" s="2"/>
      <c r="O99" s="146"/>
      <c r="P99" s="5">
        <f>COUNTIF(E98:E99,U3)</f>
        <v>0</v>
      </c>
      <c r="Q99" s="146"/>
      <c r="R99" s="148"/>
      <c r="S99" s="148"/>
      <c r="T99" s="148"/>
      <c r="U99" s="619"/>
      <c r="V99" s="148"/>
      <c r="W99" s="148"/>
      <c r="X99" s="148"/>
      <c r="Y99" s="148"/>
    </row>
    <row r="100" spans="1:25" ht="17.25" customHeight="1">
      <c r="A100" s="2"/>
      <c r="B100" s="168"/>
      <c r="C100" s="30"/>
      <c r="D100" s="30"/>
      <c r="E100" s="811"/>
      <c r="F100" s="532"/>
      <c r="G100" s="532"/>
      <c r="H100" s="532"/>
      <c r="I100" s="532"/>
      <c r="J100" s="532"/>
      <c r="K100" s="532" t="s">
        <v>449</v>
      </c>
      <c r="L100" s="1086">
        <f>IF(P97&gt;0,1,0)+IF(P99&gt;0,1,0)</f>
        <v>0</v>
      </c>
      <c r="M100" s="531" t="s">
        <v>450</v>
      </c>
      <c r="N100" s="2"/>
      <c r="O100" s="146"/>
      <c r="P100" s="619"/>
      <c r="Q100" s="146"/>
      <c r="R100" s="148"/>
      <c r="S100" s="148"/>
      <c r="T100" s="148"/>
      <c r="U100" s="619"/>
      <c r="V100" s="148"/>
      <c r="W100" s="148"/>
      <c r="X100" s="148"/>
      <c r="Y100" s="148"/>
    </row>
    <row r="101" spans="1:25" s="148" customFormat="1" ht="8.25" customHeight="1">
      <c r="A101" s="55"/>
      <c r="B101" s="168"/>
      <c r="C101" s="611"/>
      <c r="D101" s="313"/>
      <c r="E101" s="313"/>
      <c r="F101" s="2"/>
      <c r="G101" s="2"/>
      <c r="H101" s="2"/>
      <c r="I101" s="2"/>
      <c r="J101" s="2"/>
      <c r="K101" s="2"/>
      <c r="L101" s="2"/>
      <c r="M101" s="2"/>
      <c r="N101" s="154"/>
      <c r="P101" s="588" t="s">
        <v>75</v>
      </c>
      <c r="Q101" s="328" t="s">
        <v>99</v>
      </c>
      <c r="R101" s="5"/>
      <c r="S101" s="5"/>
      <c r="T101" s="136"/>
    </row>
    <row r="102" spans="1:25" s="148" customFormat="1" ht="21" customHeight="1">
      <c r="A102" s="55"/>
      <c r="B102" s="168"/>
      <c r="C102" s="611"/>
      <c r="E102" s="786" t="s">
        <v>3</v>
      </c>
      <c r="F102" s="787"/>
      <c r="G102" s="1242"/>
      <c r="H102" s="1242"/>
      <c r="I102" s="1241"/>
      <c r="J102" s="1243"/>
      <c r="K102" s="1243"/>
      <c r="L102" s="1243"/>
      <c r="M102" s="1244"/>
      <c r="N102" s="154"/>
      <c r="P102" s="619"/>
      <c r="Q102" s="328"/>
      <c r="R102" s="5"/>
      <c r="S102" s="5"/>
      <c r="T102" s="136"/>
      <c r="U102" s="619"/>
      <c r="V102" s="136"/>
      <c r="W102" s="136"/>
      <c r="X102" s="136"/>
      <c r="Y102" s="136"/>
    </row>
    <row r="103" spans="1:25" ht="14.25" customHeight="1">
      <c r="A103" s="2"/>
      <c r="B103" s="168"/>
      <c r="C103" s="30"/>
      <c r="D103" s="30"/>
      <c r="E103" s="313"/>
      <c r="F103" s="2"/>
      <c r="G103" s="2"/>
      <c r="H103" s="2"/>
      <c r="I103" s="2"/>
      <c r="J103" s="2"/>
      <c r="K103" s="2"/>
      <c r="L103" s="2"/>
      <c r="M103" s="2"/>
      <c r="N103" s="2"/>
      <c r="O103" s="146"/>
      <c r="P103" s="619"/>
      <c r="Q103" s="146"/>
      <c r="R103" s="148"/>
      <c r="S103" s="148"/>
      <c r="T103" s="148"/>
      <c r="U103" s="619"/>
      <c r="V103" s="148"/>
      <c r="W103" s="148"/>
      <c r="X103" s="148"/>
      <c r="Y103" s="148"/>
    </row>
    <row r="104" spans="1:25" s="329" customFormat="1" ht="14.25" customHeight="1">
      <c r="A104" s="25"/>
      <c r="B104" s="316">
        <v>2.2000000000000002</v>
      </c>
      <c r="C104" s="40" t="s">
        <v>148</v>
      </c>
      <c r="D104" s="40"/>
      <c r="E104" s="40"/>
      <c r="F104" s="314"/>
      <c r="G104" s="151"/>
      <c r="H104" s="151"/>
      <c r="I104" s="151"/>
      <c r="J104" s="151"/>
      <c r="K104" s="151"/>
      <c r="L104" s="151"/>
      <c r="M104" s="151"/>
      <c r="N104" s="25"/>
    </row>
    <row r="105" spans="1:25" ht="16.5" customHeight="1" thickBot="1">
      <c r="A105" s="2"/>
      <c r="B105" s="168"/>
      <c r="C105" s="32"/>
      <c r="D105" s="140"/>
      <c r="E105" s="417"/>
      <c r="F105" s="152"/>
      <c r="G105" s="6"/>
      <c r="H105" s="6"/>
      <c r="I105" s="151"/>
      <c r="J105" s="151"/>
      <c r="K105" s="151"/>
      <c r="L105" s="180" t="s">
        <v>2</v>
      </c>
      <c r="M105" s="52">
        <f>重み!M40</f>
        <v>0.35</v>
      </c>
      <c r="N105" s="7"/>
      <c r="O105" s="148">
        <f>C105</f>
        <v>0</v>
      </c>
      <c r="P105" s="148">
        <f>D105</f>
        <v>0</v>
      </c>
      <c r="Q105" s="148">
        <f>E105</f>
        <v>0</v>
      </c>
      <c r="R105" s="148">
        <f>F105</f>
        <v>0</v>
      </c>
      <c r="S105" s="148" t="str">
        <f>L105</f>
        <v>重み係数＝</v>
      </c>
      <c r="T105" s="148">
        <f t="shared" ref="T105:Y105" si="3">M105</f>
        <v>0.35</v>
      </c>
      <c r="U105" s="148">
        <f t="shared" si="3"/>
        <v>0</v>
      </c>
      <c r="V105" s="148">
        <f t="shared" si="3"/>
        <v>0</v>
      </c>
      <c r="W105" s="148">
        <f t="shared" si="3"/>
        <v>0</v>
      </c>
      <c r="X105" s="148">
        <f t="shared" si="3"/>
        <v>0</v>
      </c>
      <c r="Y105" s="148">
        <f t="shared" si="3"/>
        <v>0</v>
      </c>
    </row>
    <row r="106" spans="1:25" ht="16.5" customHeight="1" thickBot="1">
      <c r="A106" s="2"/>
      <c r="B106" s="168"/>
      <c r="C106" s="32"/>
      <c r="D106" s="1078">
        <f>ROUND(IF(F118=0,3,IF(F118&lt;=1,4,5)),0)</f>
        <v>3</v>
      </c>
      <c r="E106" s="2349" t="s">
        <v>467</v>
      </c>
      <c r="F106" s="2350"/>
      <c r="G106" s="2350"/>
      <c r="H106" s="2350"/>
      <c r="I106" s="2350"/>
      <c r="J106" s="2350"/>
      <c r="K106" s="2350"/>
      <c r="L106" s="2350"/>
      <c r="M106" s="2351"/>
      <c r="N106" s="2"/>
      <c r="O106" s="146"/>
      <c r="P106" s="148"/>
      <c r="Q106" s="146"/>
      <c r="R106" s="148"/>
      <c r="S106" s="148"/>
      <c r="T106" s="148"/>
      <c r="U106" s="148"/>
      <c r="V106" s="148"/>
      <c r="W106" s="148"/>
      <c r="X106" s="148"/>
      <c r="Y106" s="148"/>
    </row>
    <row r="107" spans="1:25" ht="16.5" customHeight="1">
      <c r="A107" s="2"/>
      <c r="B107" s="168"/>
      <c r="C107" s="32"/>
      <c r="D107" s="36" t="str">
        <f>IF(D106=$Q$14,$R$9,IF(ROUNDDOWN(D106,0)=$Q$9,$S$9,$R$9))</f>
        <v>　レベル　1</v>
      </c>
      <c r="E107" s="526" t="s">
        <v>459</v>
      </c>
      <c r="F107" s="584"/>
      <c r="G107" s="584"/>
      <c r="H107" s="584"/>
      <c r="I107" s="584"/>
      <c r="J107" s="584"/>
      <c r="K107" s="584"/>
      <c r="L107" s="584"/>
      <c r="M107" s="585"/>
      <c r="N107" s="2"/>
      <c r="O107" s="146"/>
      <c r="P107" s="588" t="s">
        <v>909</v>
      </c>
      <c r="Q107" s="146"/>
      <c r="R107" s="148"/>
      <c r="S107" s="148"/>
      <c r="T107" s="148"/>
      <c r="U107" s="588">
        <f>$Q$9</f>
        <v>1</v>
      </c>
      <c r="V107" s="148"/>
      <c r="W107" s="148"/>
      <c r="X107" s="148"/>
      <c r="Y107" s="148"/>
    </row>
    <row r="108" spans="1:25" ht="16.5" customHeight="1">
      <c r="A108" s="2"/>
      <c r="B108" s="168"/>
      <c r="C108" s="32"/>
      <c r="D108" s="39" t="str">
        <f>IF(D106=$Q$14,$R$10,IF(ROUNDDOWN(D106,0)=$Q$10,$S$10,$R$10))</f>
        <v>　レベル　2</v>
      </c>
      <c r="E108" s="527" t="s">
        <v>459</v>
      </c>
      <c r="F108" s="586"/>
      <c r="G108" s="586"/>
      <c r="H108" s="586"/>
      <c r="I108" s="586"/>
      <c r="J108" s="586"/>
      <c r="K108" s="586"/>
      <c r="L108" s="586"/>
      <c r="M108" s="587"/>
      <c r="N108" s="2"/>
      <c r="O108" s="146"/>
      <c r="P108" s="588" t="s">
        <v>928</v>
      </c>
      <c r="Q108" s="146"/>
      <c r="R108" s="148"/>
      <c r="S108" s="148"/>
      <c r="T108" s="148"/>
      <c r="U108" s="588">
        <f>$Q$10</f>
        <v>2</v>
      </c>
      <c r="V108" s="148"/>
      <c r="W108" s="148"/>
      <c r="X108" s="148"/>
      <c r="Y108" s="148"/>
    </row>
    <row r="109" spans="1:25" ht="16.5" customHeight="1">
      <c r="A109" s="2"/>
      <c r="B109" s="168"/>
      <c r="C109" s="32"/>
      <c r="D109" s="39" t="str">
        <f>IF(D106=$Q$14,$R$11,IF(ROUNDDOWN(D106,0)=$Q$11,$S$11,$R$11))</f>
        <v>■レベル　3</v>
      </c>
      <c r="E109" s="527" t="s">
        <v>11</v>
      </c>
      <c r="F109" s="586"/>
      <c r="G109" s="586"/>
      <c r="H109" s="586"/>
      <c r="I109" s="586"/>
      <c r="J109" s="586"/>
      <c r="K109" s="586"/>
      <c r="L109" s="586"/>
      <c r="M109" s="587"/>
      <c r="N109" s="2"/>
      <c r="O109" s="146"/>
      <c r="P109" s="588">
        <f>$Q$11</f>
        <v>3</v>
      </c>
      <c r="Q109" s="146"/>
      <c r="R109" s="148"/>
      <c r="S109" s="148"/>
      <c r="T109" s="148"/>
      <c r="U109" s="588">
        <f>$Q$11</f>
        <v>3</v>
      </c>
      <c r="V109" s="148"/>
      <c r="W109" s="148"/>
      <c r="X109" s="148"/>
      <c r="Y109" s="148"/>
    </row>
    <row r="110" spans="1:25" ht="16.5" customHeight="1">
      <c r="A110" s="2"/>
      <c r="B110" s="168"/>
      <c r="C110" s="32"/>
      <c r="D110" s="39" t="str">
        <f>IF(D106=$Q$14,$R$12,IF(ROUNDDOWN(D106,0)=$Q$12,$S$12,$R$12))</f>
        <v>　レベル　4</v>
      </c>
      <c r="E110" s="539" t="s">
        <v>12</v>
      </c>
      <c r="F110" s="589"/>
      <c r="G110" s="589"/>
      <c r="H110" s="589"/>
      <c r="I110" s="589"/>
      <c r="J110" s="589"/>
      <c r="K110" s="589"/>
      <c r="L110" s="589"/>
      <c r="M110" s="590"/>
      <c r="N110" s="2"/>
      <c r="O110" s="146"/>
      <c r="P110" s="588">
        <f>$Q$12</f>
        <v>4</v>
      </c>
      <c r="Q110" s="146"/>
      <c r="R110" s="148"/>
      <c r="S110" s="148"/>
      <c r="T110" s="148"/>
      <c r="U110" s="588">
        <f>$Q$12</f>
        <v>4</v>
      </c>
      <c r="V110" s="148"/>
      <c r="W110" s="148"/>
      <c r="X110" s="148"/>
      <c r="Y110" s="148"/>
    </row>
    <row r="111" spans="1:25" ht="16.5" customHeight="1">
      <c r="A111" s="2"/>
      <c r="B111" s="168"/>
      <c r="C111" s="32"/>
      <c r="D111" s="37" t="str">
        <f>IF(D106=$Q$14,$R$13,IF(ROUNDDOWN(D106,0)=$Q$13,$S$13,$R$13))</f>
        <v>　レベル　5</v>
      </c>
      <c r="E111" s="565" t="s">
        <v>13</v>
      </c>
      <c r="F111" s="591"/>
      <c r="G111" s="591"/>
      <c r="H111" s="591"/>
      <c r="I111" s="591"/>
      <c r="J111" s="591"/>
      <c r="K111" s="591"/>
      <c r="L111" s="591"/>
      <c r="M111" s="592"/>
      <c r="N111" s="2"/>
      <c r="O111" s="146"/>
      <c r="P111" s="588">
        <f>$Q$13</f>
        <v>5</v>
      </c>
      <c r="Q111" s="146"/>
      <c r="R111" s="148"/>
      <c r="S111" s="148"/>
      <c r="T111" s="148"/>
      <c r="U111" s="588">
        <f>$Q$13</f>
        <v>5</v>
      </c>
      <c r="V111" s="148"/>
      <c r="W111" s="148"/>
      <c r="X111" s="148"/>
      <c r="Y111" s="148"/>
    </row>
    <row r="112" spans="1:25" ht="16.5" customHeight="1">
      <c r="A112" s="2"/>
      <c r="B112" s="168"/>
      <c r="C112" s="32"/>
      <c r="D112" s="30"/>
      <c r="E112" s="156" t="s">
        <v>41</v>
      </c>
      <c r="F112" s="55"/>
      <c r="G112" s="155"/>
      <c r="H112" s="44"/>
      <c r="I112" s="44"/>
      <c r="J112" s="55"/>
      <c r="K112" s="55"/>
      <c r="L112" s="55"/>
      <c r="M112" s="55"/>
      <c r="N112" s="2"/>
      <c r="O112" s="146"/>
      <c r="P112" s="588" t="s">
        <v>75</v>
      </c>
      <c r="Q112" s="146"/>
      <c r="R112" s="148"/>
      <c r="S112" s="148"/>
      <c r="T112" s="148"/>
      <c r="U112" s="588" t="str">
        <f>$Q$14</f>
        <v>対象外</v>
      </c>
      <c r="V112" s="148"/>
      <c r="W112" s="148"/>
      <c r="X112" s="148"/>
      <c r="Y112" s="148"/>
    </row>
    <row r="113" spans="1:25" ht="16.5" thickBot="1">
      <c r="A113" s="2"/>
      <c r="B113" s="168"/>
      <c r="C113" s="32"/>
      <c r="D113" s="30"/>
      <c r="E113" s="144" t="s">
        <v>394</v>
      </c>
      <c r="F113" s="515" t="s">
        <v>85</v>
      </c>
      <c r="G113" s="2375" t="s">
        <v>762</v>
      </c>
      <c r="H113" s="2376"/>
      <c r="I113" s="2376"/>
      <c r="J113" s="2376"/>
      <c r="K113" s="2376"/>
      <c r="L113" s="2376"/>
      <c r="M113" s="2377"/>
      <c r="N113" s="2"/>
      <c r="O113" s="146"/>
      <c r="P113" s="619"/>
      <c r="Q113" s="146"/>
      <c r="R113" s="148"/>
      <c r="S113" s="148"/>
      <c r="T113" s="148"/>
      <c r="U113" s="619"/>
      <c r="V113" s="148"/>
      <c r="W113" s="148"/>
      <c r="X113" s="148"/>
      <c r="Y113" s="148"/>
    </row>
    <row r="114" spans="1:25">
      <c r="A114" s="2"/>
      <c r="B114" s="168"/>
      <c r="C114" s="32"/>
      <c r="D114" s="30"/>
      <c r="E114" s="379"/>
      <c r="F114" s="516">
        <v>1</v>
      </c>
      <c r="G114" s="545" t="s">
        <v>812</v>
      </c>
      <c r="H114" s="546"/>
      <c r="I114" s="546"/>
      <c r="J114" s="546"/>
      <c r="K114" s="546"/>
      <c r="L114" s="546"/>
      <c r="M114" s="534"/>
      <c r="N114" s="2"/>
      <c r="O114" s="146"/>
      <c r="P114" s="619"/>
      <c r="Q114" s="146"/>
      <c r="R114" s="148"/>
      <c r="S114" s="148"/>
      <c r="T114" s="148"/>
      <c r="U114" s="619"/>
      <c r="V114" s="148"/>
      <c r="W114" s="148"/>
      <c r="X114" s="148"/>
      <c r="Y114" s="148"/>
    </row>
    <row r="115" spans="1:25">
      <c r="A115" s="2"/>
      <c r="B115" s="168"/>
      <c r="C115" s="32"/>
      <c r="D115" s="30"/>
      <c r="E115" s="774"/>
      <c r="F115" s="552">
        <v>2</v>
      </c>
      <c r="G115" s="540" t="s">
        <v>149</v>
      </c>
      <c r="H115" s="541"/>
      <c r="I115" s="541"/>
      <c r="J115" s="541"/>
      <c r="K115" s="541"/>
      <c r="L115" s="541"/>
      <c r="M115" s="543"/>
      <c r="N115" s="2"/>
      <c r="O115" s="146"/>
      <c r="P115" s="619"/>
      <c r="Q115" s="146"/>
      <c r="R115" s="148"/>
      <c r="S115" s="148"/>
      <c r="T115" s="148"/>
      <c r="U115" s="619"/>
      <c r="V115" s="148"/>
      <c r="W115" s="148"/>
      <c r="X115" s="148"/>
      <c r="Y115" s="148"/>
    </row>
    <row r="116" spans="1:25" ht="24" customHeight="1">
      <c r="A116" s="2"/>
      <c r="B116" s="168"/>
      <c r="C116" s="32"/>
      <c r="D116" s="30"/>
      <c r="E116" s="537"/>
      <c r="F116" s="552">
        <v>3</v>
      </c>
      <c r="G116" s="2365" t="s">
        <v>813</v>
      </c>
      <c r="H116" s="2378"/>
      <c r="I116" s="2378"/>
      <c r="J116" s="2378"/>
      <c r="K116" s="2378"/>
      <c r="L116" s="2378"/>
      <c r="M116" s="2379"/>
      <c r="N116" s="2"/>
      <c r="O116" s="146"/>
      <c r="P116" s="619"/>
      <c r="Q116" s="146"/>
      <c r="R116" s="148"/>
      <c r="S116" s="148"/>
      <c r="T116" s="148"/>
      <c r="U116" s="619"/>
      <c r="V116" s="148"/>
      <c r="W116" s="148"/>
      <c r="X116" s="148"/>
      <c r="Y116" s="148"/>
    </row>
    <row r="117" spans="1:25" ht="24" customHeight="1" thickBot="1">
      <c r="A117" s="2"/>
      <c r="B117" s="168"/>
      <c r="C117" s="32"/>
      <c r="D117" s="30"/>
      <c r="E117" s="575"/>
      <c r="F117" s="554">
        <v>4</v>
      </c>
      <c r="G117" s="2368" t="s">
        <v>814</v>
      </c>
      <c r="H117" s="2380"/>
      <c r="I117" s="2380"/>
      <c r="J117" s="2380"/>
      <c r="K117" s="2380"/>
      <c r="L117" s="2380"/>
      <c r="M117" s="2381"/>
      <c r="N117" s="2"/>
      <c r="O117" s="146"/>
      <c r="P117" s="619"/>
      <c r="Q117" s="146"/>
      <c r="R117" s="148"/>
      <c r="S117" s="148"/>
      <c r="T117" s="148"/>
      <c r="U117" s="619"/>
      <c r="V117" s="148"/>
      <c r="W117" s="148"/>
      <c r="X117" s="148"/>
      <c r="Y117" s="148"/>
    </row>
    <row r="118" spans="1:25" ht="20.25" customHeight="1">
      <c r="A118" s="2"/>
      <c r="B118" s="1046"/>
      <c r="C118" s="32"/>
      <c r="D118" s="30"/>
      <c r="E118" s="600" t="s">
        <v>535</v>
      </c>
      <c r="F118" s="1045">
        <f>COUNTIF(E114:E117,"○")</f>
        <v>0</v>
      </c>
      <c r="G118" s="1047"/>
      <c r="H118" s="1047"/>
      <c r="I118" s="374"/>
      <c r="J118" s="375"/>
      <c r="K118" s="374"/>
      <c r="L118" s="375"/>
      <c r="M118" s="376"/>
      <c r="N118" s="2"/>
      <c r="O118" s="146"/>
      <c r="P118" s="1048"/>
      <c r="Q118" s="146"/>
      <c r="R118" s="148"/>
      <c r="S118" s="148"/>
      <c r="T118" s="148"/>
      <c r="U118" s="1048"/>
      <c r="V118" s="148"/>
      <c r="W118" s="148"/>
      <c r="X118" s="148"/>
      <c r="Y118" s="148"/>
    </row>
    <row r="119" spans="1:25" s="148" customFormat="1" ht="8.25" customHeight="1">
      <c r="A119" s="55"/>
      <c r="B119" s="168"/>
      <c r="C119" s="611"/>
      <c r="D119" s="313"/>
      <c r="E119" s="313"/>
      <c r="F119" s="2"/>
      <c r="G119" s="2"/>
      <c r="H119" s="2"/>
      <c r="I119" s="2"/>
      <c r="J119" s="2"/>
      <c r="K119" s="2"/>
      <c r="L119" s="2"/>
      <c r="M119" s="2"/>
      <c r="N119" s="154"/>
      <c r="P119" s="588" t="s">
        <v>75</v>
      </c>
      <c r="Q119" s="328" t="s">
        <v>99</v>
      </c>
      <c r="R119" s="5"/>
      <c r="S119" s="5"/>
      <c r="T119" s="136"/>
    </row>
    <row r="120" spans="1:25" s="148" customFormat="1" ht="21" customHeight="1">
      <c r="A120" s="55"/>
      <c r="B120" s="168"/>
      <c r="C120" s="611"/>
      <c r="E120" s="786" t="s">
        <v>3</v>
      </c>
      <c r="F120" s="787"/>
      <c r="G120" s="1242"/>
      <c r="H120" s="1242"/>
      <c r="I120" s="1241"/>
      <c r="J120" s="1243"/>
      <c r="K120" s="1243"/>
      <c r="L120" s="1243"/>
      <c r="M120" s="1244"/>
      <c r="N120" s="154"/>
      <c r="P120" s="619"/>
      <c r="Q120" s="328"/>
      <c r="R120" s="5"/>
      <c r="S120" s="5"/>
      <c r="T120" s="136"/>
      <c r="U120" s="619"/>
      <c r="V120" s="136"/>
      <c r="W120" s="136"/>
      <c r="X120" s="136"/>
      <c r="Y120" s="136"/>
    </row>
    <row r="121" spans="1:25" ht="14.25" customHeight="1">
      <c r="A121" s="2"/>
      <c r="B121" s="168"/>
      <c r="C121" s="32"/>
      <c r="D121" s="30"/>
      <c r="E121" s="55"/>
      <c r="F121" s="55"/>
      <c r="G121" s="55"/>
      <c r="H121" s="55"/>
      <c r="I121" s="55"/>
      <c r="J121" s="55"/>
      <c r="K121" s="55"/>
      <c r="L121" s="55"/>
      <c r="M121" s="51"/>
      <c r="N121" s="2"/>
      <c r="O121" s="146"/>
      <c r="P121" s="619"/>
      <c r="Q121" s="146"/>
      <c r="R121" s="148"/>
      <c r="S121" s="148"/>
      <c r="T121" s="148"/>
      <c r="U121" s="619"/>
      <c r="V121" s="148"/>
      <c r="W121" s="148"/>
      <c r="X121" s="148"/>
      <c r="Y121" s="148"/>
    </row>
    <row r="122" spans="1:25" s="329" customFormat="1" ht="14.25" customHeight="1">
      <c r="A122" s="25"/>
      <c r="B122" s="168">
        <v>3</v>
      </c>
      <c r="C122" s="34" t="s">
        <v>395</v>
      </c>
      <c r="D122" s="34"/>
      <c r="E122" s="151"/>
      <c r="F122" s="151"/>
      <c r="G122" s="151"/>
      <c r="H122" s="151"/>
      <c r="I122" s="151"/>
      <c r="J122" s="151"/>
      <c r="K122" s="151"/>
      <c r="L122" s="151"/>
      <c r="M122" s="151"/>
      <c r="N122" s="25"/>
    </row>
    <row r="123" spans="1:25" s="329" customFormat="1" ht="14.25" customHeight="1">
      <c r="A123" s="25"/>
      <c r="B123" s="168">
        <v>3.1</v>
      </c>
      <c r="C123" s="34" t="s">
        <v>575</v>
      </c>
      <c r="D123" s="34"/>
      <c r="E123" s="314"/>
      <c r="F123" s="151"/>
      <c r="G123" s="151"/>
      <c r="H123" s="151"/>
      <c r="I123" s="151"/>
      <c r="J123" s="314"/>
      <c r="K123" s="151"/>
      <c r="L123" s="151"/>
      <c r="M123" s="151"/>
      <c r="N123" s="25"/>
    </row>
    <row r="124" spans="1:25" s="329" customFormat="1" ht="14.25" customHeight="1" thickBot="1">
      <c r="A124" s="25"/>
      <c r="B124" s="1089"/>
      <c r="C124" s="34"/>
      <c r="D124" s="34"/>
      <c r="E124" s="314"/>
      <c r="F124" s="151"/>
      <c r="G124" s="151"/>
      <c r="H124" s="151"/>
      <c r="I124" s="151"/>
      <c r="J124" s="314"/>
      <c r="K124" s="151"/>
      <c r="L124" s="151"/>
      <c r="M124" s="151"/>
      <c r="N124" s="25"/>
    </row>
    <row r="125" spans="1:25" ht="17.25" customHeight="1" thickBot="1">
      <c r="A125" s="2"/>
      <c r="B125" s="168"/>
      <c r="C125" s="42"/>
      <c r="D125" s="1079">
        <f>IF(D126+L136&lt;=5,D126+L136,5)</f>
        <v>3</v>
      </c>
      <c r="E125" s="417"/>
      <c r="F125" s="152"/>
      <c r="G125" s="6"/>
      <c r="H125" s="6"/>
      <c r="I125" s="605"/>
      <c r="J125" s="417"/>
      <c r="K125" s="152"/>
      <c r="L125" s="180" t="s">
        <v>2</v>
      </c>
      <c r="M125" s="52">
        <f>重み!M42</f>
        <v>0.5</v>
      </c>
      <c r="N125" s="7"/>
      <c r="O125" s="148">
        <f>C125</f>
        <v>0</v>
      </c>
      <c r="P125" s="148">
        <f>D125</f>
        <v>3</v>
      </c>
      <c r="Q125" s="148">
        <f>E125</f>
        <v>0</v>
      </c>
      <c r="R125" s="148">
        <f>F125</f>
        <v>0</v>
      </c>
      <c r="S125" s="148" t="str">
        <f>L125</f>
        <v>重み係数＝</v>
      </c>
      <c r="T125" s="148">
        <f t="shared" ref="T125:Y125" si="4">M125</f>
        <v>0.5</v>
      </c>
      <c r="U125" s="148">
        <f t="shared" si="4"/>
        <v>0</v>
      </c>
      <c r="V125" s="148">
        <f t="shared" si="4"/>
        <v>0</v>
      </c>
      <c r="W125" s="148">
        <f t="shared" si="4"/>
        <v>3</v>
      </c>
      <c r="X125" s="148">
        <f t="shared" si="4"/>
        <v>0</v>
      </c>
      <c r="Y125" s="148">
        <f t="shared" si="4"/>
        <v>0</v>
      </c>
    </row>
    <row r="126" spans="1:25" ht="17.25" customHeight="1">
      <c r="A126" s="2"/>
      <c r="B126" s="168"/>
      <c r="C126" s="42"/>
      <c r="D126" s="2373">
        <v>3</v>
      </c>
      <c r="E126" s="2349" t="s">
        <v>467</v>
      </c>
      <c r="F126" s="2350"/>
      <c r="G126" s="2350"/>
      <c r="H126" s="2350"/>
      <c r="I126" s="2350"/>
      <c r="J126" s="2350"/>
      <c r="K126" s="2350"/>
      <c r="L126" s="2350"/>
      <c r="M126" s="2351"/>
      <c r="N126" s="2"/>
      <c r="O126" s="146"/>
      <c r="P126" s="148"/>
      <c r="Q126" s="146"/>
      <c r="R126" s="148"/>
      <c r="S126" s="148"/>
      <c r="T126" s="148"/>
      <c r="U126" s="148"/>
      <c r="V126" s="148"/>
      <c r="W126" s="148"/>
      <c r="X126" s="148"/>
      <c r="Y126" s="148"/>
    </row>
    <row r="127" spans="1:25" ht="17.25" customHeight="1" thickBot="1">
      <c r="A127" s="2"/>
      <c r="B127" s="168"/>
      <c r="C127" s="42"/>
      <c r="D127" s="2374"/>
      <c r="E127" s="628" t="s">
        <v>916</v>
      </c>
      <c r="F127" s="626"/>
      <c r="G127" s="630" t="s">
        <v>753</v>
      </c>
      <c r="H127" s="627"/>
      <c r="I127" s="628" t="s">
        <v>211</v>
      </c>
      <c r="J127" s="141"/>
      <c r="K127" s="630" t="s">
        <v>214</v>
      </c>
      <c r="L127" s="142"/>
      <c r="M127" s="145"/>
      <c r="N127" s="2"/>
      <c r="O127" s="146"/>
      <c r="Q127" s="146"/>
      <c r="R127" s="148"/>
      <c r="S127" s="148"/>
      <c r="T127" s="148"/>
      <c r="V127" s="148"/>
      <c r="W127" s="148"/>
      <c r="X127" s="148"/>
      <c r="Y127" s="148"/>
    </row>
    <row r="128" spans="1:25" ht="17.25" customHeight="1">
      <c r="A128" s="2"/>
      <c r="B128" s="168"/>
      <c r="C128" s="50"/>
      <c r="D128" s="36" t="str">
        <f>IF(D126=$Q$14,$R$9,IF(ROUNDDOWN(D126,0)=$Q$9,$S$9,$R$9))</f>
        <v>　レベル　1</v>
      </c>
      <c r="E128" s="170" t="s">
        <v>459</v>
      </c>
      <c r="F128" s="53"/>
      <c r="G128" s="170" t="s">
        <v>459</v>
      </c>
      <c r="H128" s="53"/>
      <c r="I128" s="170" t="s">
        <v>459</v>
      </c>
      <c r="J128" s="53"/>
      <c r="K128" s="170" t="s">
        <v>459</v>
      </c>
      <c r="L128" s="53"/>
      <c r="M128" s="171"/>
      <c r="N128" s="2"/>
      <c r="O128" s="146"/>
      <c r="P128" s="588" t="s">
        <v>929</v>
      </c>
      <c r="Q128" s="146"/>
      <c r="R128" s="148"/>
      <c r="S128" s="148"/>
      <c r="T128" s="148"/>
      <c r="U128" s="588">
        <f>$Q$9</f>
        <v>1</v>
      </c>
      <c r="V128" s="148"/>
      <c r="W128" s="148"/>
      <c r="X128" s="148"/>
      <c r="Y128" s="148"/>
    </row>
    <row r="129" spans="1:25" ht="17.25" customHeight="1">
      <c r="A129" s="2"/>
      <c r="B129" s="168"/>
      <c r="C129" s="50"/>
      <c r="D129" s="39" t="str">
        <f>IF(D126=$Q$14,$R$10,IF(ROUNDDOWN(D126,0)=$Q$10,$S$10,$R$10))</f>
        <v>　レベル　2</v>
      </c>
      <c r="E129" s="172" t="s">
        <v>752</v>
      </c>
      <c r="F129" s="607"/>
      <c r="G129" s="172" t="s">
        <v>210</v>
      </c>
      <c r="H129" s="607"/>
      <c r="I129" s="172" t="s">
        <v>212</v>
      </c>
      <c r="J129" s="607"/>
      <c r="K129" s="172" t="s">
        <v>215</v>
      </c>
      <c r="L129" s="607"/>
      <c r="M129" s="173"/>
      <c r="N129" s="2"/>
      <c r="O129" s="146"/>
      <c r="P129" s="588">
        <f>$Q$10</f>
        <v>2</v>
      </c>
      <c r="Q129" s="146"/>
      <c r="R129" s="148"/>
      <c r="S129" s="148"/>
      <c r="T129" s="148"/>
      <c r="U129" s="588">
        <f>$Q$10</f>
        <v>2</v>
      </c>
      <c r="V129" s="148"/>
      <c r="W129" s="148"/>
      <c r="X129" s="148"/>
      <c r="Y129" s="148"/>
    </row>
    <row r="130" spans="1:25" ht="17.25" customHeight="1">
      <c r="A130" s="2"/>
      <c r="B130" s="168"/>
      <c r="C130" s="50"/>
      <c r="D130" s="39" t="str">
        <f>IF(D126=$Q$14,$R$11,IF(ROUNDDOWN(D126,0)=$Q$11,$S$11,$R$11))</f>
        <v>■レベル　3</v>
      </c>
      <c r="E130" s="172" t="s">
        <v>1111</v>
      </c>
      <c r="F130" s="1854"/>
      <c r="G130" s="172" t="s">
        <v>1113</v>
      </c>
      <c r="H130" s="1854"/>
      <c r="I130" s="172" t="s">
        <v>1115</v>
      </c>
      <c r="J130" s="1854"/>
      <c r="K130" s="172" t="s">
        <v>1116</v>
      </c>
      <c r="L130" s="1854"/>
      <c r="M130" s="173"/>
      <c r="N130" s="2"/>
      <c r="O130" s="146"/>
      <c r="P130" s="588">
        <f>$Q$11</f>
        <v>3</v>
      </c>
      <c r="Q130" s="146"/>
      <c r="R130" s="148"/>
      <c r="S130" s="148"/>
      <c r="T130" s="148"/>
      <c r="U130" s="588">
        <f>$Q$11</f>
        <v>3</v>
      </c>
      <c r="V130" s="148"/>
      <c r="W130" s="148"/>
      <c r="X130" s="148"/>
      <c r="Y130" s="148"/>
    </row>
    <row r="131" spans="1:25" ht="17.25" customHeight="1">
      <c r="A131" s="2"/>
      <c r="B131" s="168"/>
      <c r="C131" s="50"/>
      <c r="D131" s="39" t="str">
        <f>IF(D126=$Q$14,$R$12,IF(ROUNDDOWN(D126,0)=$Q$12,$S$12,$R$12))</f>
        <v>　レベル　4</v>
      </c>
      <c r="E131" s="172" t="s">
        <v>1112</v>
      </c>
      <c r="F131" s="1854"/>
      <c r="G131" s="172" t="s">
        <v>1114</v>
      </c>
      <c r="H131" s="1854"/>
      <c r="I131" s="172" t="s">
        <v>213</v>
      </c>
      <c r="J131" s="1854"/>
      <c r="K131" s="172" t="s">
        <v>1117</v>
      </c>
      <c r="L131" s="1854"/>
      <c r="M131" s="173"/>
      <c r="N131" s="2"/>
      <c r="O131" s="146"/>
      <c r="P131" s="588">
        <f>$Q$12</f>
        <v>4</v>
      </c>
      <c r="Q131" s="146"/>
      <c r="R131" s="148"/>
      <c r="S131" s="148"/>
      <c r="T131" s="148"/>
      <c r="U131" s="588">
        <f>$Q$12</f>
        <v>4</v>
      </c>
      <c r="V131" s="148"/>
      <c r="W131" s="148"/>
      <c r="X131" s="148"/>
      <c r="Y131" s="148"/>
    </row>
    <row r="132" spans="1:25" ht="17.25" customHeight="1">
      <c r="A132" s="2"/>
      <c r="B132" s="168"/>
      <c r="C132" s="50"/>
      <c r="D132" s="37" t="str">
        <f>IF(D126=$Q$14,$R$13,IF(ROUNDDOWN(D126,0)=$Q$13,$S$13,$R$13))</f>
        <v>　レベル　5</v>
      </c>
      <c r="E132" s="174" t="s">
        <v>730</v>
      </c>
      <c r="F132" s="609"/>
      <c r="G132" s="174" t="s">
        <v>730</v>
      </c>
      <c r="H132" s="609"/>
      <c r="I132" s="174" t="s">
        <v>730</v>
      </c>
      <c r="J132" s="609"/>
      <c r="K132" s="174" t="s">
        <v>730</v>
      </c>
      <c r="L132" s="609"/>
      <c r="M132" s="175"/>
      <c r="N132" s="2"/>
      <c r="O132" s="146"/>
      <c r="P132" s="588" t="s">
        <v>75</v>
      </c>
      <c r="Q132" s="146"/>
      <c r="R132" s="148"/>
      <c r="S132" s="148"/>
      <c r="T132" s="148"/>
      <c r="U132" s="588">
        <f>$Q$13</f>
        <v>5</v>
      </c>
      <c r="V132" s="148"/>
      <c r="W132" s="148"/>
      <c r="X132" s="148"/>
      <c r="Y132" s="148"/>
    </row>
    <row r="133" spans="1:25" ht="19.5" customHeight="1" thickBot="1">
      <c r="A133" s="34"/>
      <c r="B133" s="34"/>
      <c r="C133" s="34"/>
      <c r="D133" s="34"/>
      <c r="E133" s="1087" t="s">
        <v>425</v>
      </c>
      <c r="F133" s="55"/>
      <c r="G133" s="55"/>
      <c r="H133" s="55"/>
      <c r="I133" s="55"/>
      <c r="J133" s="55"/>
      <c r="K133" s="55"/>
      <c r="L133" s="55"/>
      <c r="M133" s="55"/>
      <c r="N133" s="2"/>
      <c r="O133" s="146"/>
      <c r="P133" s="588" t="s">
        <v>75</v>
      </c>
      <c r="Q133" s="146"/>
      <c r="R133" s="148"/>
      <c r="S133" s="148"/>
      <c r="T133" s="148"/>
      <c r="U133" s="588" t="str">
        <f>$Q$14</f>
        <v>対象外</v>
      </c>
      <c r="V133" s="148"/>
      <c r="W133" s="148"/>
      <c r="X133" s="148"/>
      <c r="Y133" s="148"/>
    </row>
    <row r="134" spans="1:25" ht="19.5" customHeight="1">
      <c r="A134" s="34"/>
      <c r="B134" s="34"/>
      <c r="C134" s="34"/>
      <c r="D134" s="34"/>
      <c r="E134" s="379"/>
      <c r="F134" s="516">
        <v>1</v>
      </c>
      <c r="G134" s="545" t="s">
        <v>454</v>
      </c>
      <c r="H134" s="546"/>
      <c r="I134" s="546"/>
      <c r="J134" s="546"/>
      <c r="K134" s="546"/>
      <c r="L134" s="546"/>
      <c r="M134" s="534"/>
      <c r="N134" s="2"/>
      <c r="O134" s="146"/>
      <c r="P134" s="619"/>
      <c r="Q134" s="146"/>
      <c r="R134" s="148"/>
      <c r="S134" s="148"/>
      <c r="T134" s="148"/>
      <c r="U134" s="619"/>
      <c r="V134" s="148"/>
      <c r="W134" s="148"/>
      <c r="X134" s="148"/>
      <c r="Y134" s="148"/>
    </row>
    <row r="135" spans="1:25" ht="19.5" customHeight="1" thickBot="1">
      <c r="A135" s="34"/>
      <c r="B135" s="34"/>
      <c r="C135" s="34"/>
      <c r="D135" s="34"/>
      <c r="E135" s="575"/>
      <c r="F135" s="800">
        <v>2</v>
      </c>
      <c r="G135" s="565" t="s">
        <v>455</v>
      </c>
      <c r="H135" s="547"/>
      <c r="I135" s="547"/>
      <c r="J135" s="547"/>
      <c r="K135" s="547"/>
      <c r="L135" s="547"/>
      <c r="M135" s="794"/>
      <c r="N135" s="2"/>
      <c r="O135" s="146"/>
      <c r="P135" s="619"/>
      <c r="Q135" s="146"/>
      <c r="R135" s="148"/>
      <c r="S135" s="148"/>
      <c r="T135" s="148"/>
      <c r="U135" s="619"/>
      <c r="V135" s="148"/>
      <c r="W135" s="148"/>
      <c r="X135" s="148"/>
      <c r="Y135" s="148"/>
    </row>
    <row r="136" spans="1:25" ht="16.5" customHeight="1">
      <c r="A136" s="34"/>
      <c r="B136" s="34"/>
      <c r="C136" s="34"/>
      <c r="D136" s="34"/>
      <c r="E136" s="811"/>
      <c r="F136" s="532"/>
      <c r="G136" s="532"/>
      <c r="H136" s="532"/>
      <c r="I136" s="532"/>
      <c r="J136" s="532"/>
      <c r="K136" s="532" t="s">
        <v>449</v>
      </c>
      <c r="L136" s="1086">
        <f>IF(COUNTIF(E134:E135,U3)&gt;1,1,0)</f>
        <v>0</v>
      </c>
      <c r="M136" s="531" t="s">
        <v>450</v>
      </c>
      <c r="N136" s="2"/>
      <c r="O136" s="146"/>
      <c r="P136" s="619"/>
      <c r="Q136" s="146"/>
      <c r="R136" s="148"/>
      <c r="S136" s="148"/>
      <c r="T136" s="148"/>
      <c r="U136" s="619"/>
      <c r="V136" s="148"/>
      <c r="W136" s="148"/>
      <c r="X136" s="148"/>
      <c r="Y136" s="148"/>
    </row>
    <row r="137" spans="1:25" s="148" customFormat="1" ht="8.25" customHeight="1">
      <c r="A137" s="55"/>
      <c r="B137" s="168"/>
      <c r="C137" s="611"/>
      <c r="D137" s="313"/>
      <c r="E137" s="313"/>
      <c r="F137" s="2"/>
      <c r="G137" s="2"/>
      <c r="H137" s="2"/>
      <c r="I137" s="2"/>
      <c r="J137" s="2"/>
      <c r="K137" s="2"/>
      <c r="L137" s="2"/>
      <c r="M137" s="2"/>
      <c r="N137" s="154"/>
      <c r="P137" s="588" t="s">
        <v>75</v>
      </c>
      <c r="Q137" s="328" t="s">
        <v>99</v>
      </c>
      <c r="R137" s="5"/>
      <c r="S137" s="5"/>
      <c r="T137" s="136"/>
    </row>
    <row r="138" spans="1:25" s="148" customFormat="1" ht="21" customHeight="1">
      <c r="A138" s="55"/>
      <c r="B138" s="168"/>
      <c r="C138" s="611"/>
      <c r="E138" s="786" t="s">
        <v>3</v>
      </c>
      <c r="F138" s="787"/>
      <c r="G138" s="1242"/>
      <c r="H138" s="1242"/>
      <c r="I138" s="1241"/>
      <c r="J138" s="1243"/>
      <c r="K138" s="1243"/>
      <c r="L138" s="1243"/>
      <c r="M138" s="1244"/>
      <c r="N138" s="154"/>
      <c r="P138" s="619"/>
      <c r="Q138" s="328"/>
      <c r="R138" s="5"/>
      <c r="S138" s="5"/>
      <c r="T138" s="136"/>
      <c r="U138" s="619"/>
      <c r="V138" s="136"/>
      <c r="W138" s="136"/>
      <c r="X138" s="136"/>
      <c r="Y138" s="136"/>
    </row>
    <row r="139" spans="1:25" ht="14.25">
      <c r="A139" s="34"/>
      <c r="B139" s="34"/>
      <c r="C139" s="34"/>
      <c r="D139" s="34"/>
      <c r="E139" s="55"/>
      <c r="F139" s="55"/>
      <c r="G139" s="55"/>
      <c r="H139" s="55"/>
      <c r="I139" s="55"/>
      <c r="J139" s="55"/>
      <c r="K139" s="55"/>
      <c r="L139" s="55"/>
      <c r="M139" s="51"/>
      <c r="N139" s="2"/>
      <c r="O139" s="146"/>
      <c r="P139" s="384"/>
      <c r="Q139" s="146"/>
      <c r="R139" s="148"/>
      <c r="S139" s="148"/>
      <c r="T139" s="148"/>
      <c r="U139" s="384"/>
      <c r="V139" s="148"/>
      <c r="W139" s="148"/>
      <c r="X139" s="148"/>
      <c r="Y139" s="148"/>
    </row>
    <row r="140" spans="1:25" s="329" customFormat="1" ht="14.25" customHeight="1">
      <c r="A140" s="25"/>
      <c r="B140" s="1090">
        <v>3.2</v>
      </c>
      <c r="C140" s="34" t="s">
        <v>576</v>
      </c>
      <c r="D140" s="34"/>
      <c r="E140" s="151"/>
      <c r="F140" s="151"/>
      <c r="G140" s="151"/>
      <c r="H140" s="151"/>
      <c r="I140" s="55"/>
      <c r="J140" s="55"/>
      <c r="K140" s="55"/>
      <c r="L140" s="55"/>
      <c r="M140" s="51"/>
      <c r="N140" s="25"/>
    </row>
    <row r="141" spans="1:25" ht="16.5" customHeight="1" thickBot="1">
      <c r="A141" s="2"/>
      <c r="B141" s="168"/>
      <c r="C141" s="32"/>
      <c r="D141" s="140"/>
      <c r="E141" s="417"/>
      <c r="F141" s="152"/>
      <c r="G141" s="6"/>
      <c r="H141" s="6"/>
      <c r="I141" s="55"/>
      <c r="J141" s="55"/>
      <c r="K141" s="55"/>
      <c r="L141" s="180" t="s">
        <v>2</v>
      </c>
      <c r="M141" s="52">
        <f>重み!M43</f>
        <v>0.5</v>
      </c>
      <c r="N141" s="7"/>
      <c r="O141" s="148">
        <f t="shared" ref="O141:Y141" si="5">C141</f>
        <v>0</v>
      </c>
      <c r="P141" s="148">
        <f t="shared" si="5"/>
        <v>0</v>
      </c>
      <c r="Q141" s="148">
        <f t="shared" si="5"/>
        <v>0</v>
      </c>
      <c r="R141" s="148">
        <f t="shared" si="5"/>
        <v>0</v>
      </c>
      <c r="S141" s="148">
        <f t="shared" si="5"/>
        <v>0</v>
      </c>
      <c r="T141" s="148">
        <f t="shared" si="5"/>
        <v>0</v>
      </c>
      <c r="U141" s="148">
        <f t="shared" si="5"/>
        <v>0</v>
      </c>
      <c r="V141" s="148">
        <f t="shared" si="5"/>
        <v>0</v>
      </c>
      <c r="W141" s="148">
        <f t="shared" si="5"/>
        <v>0</v>
      </c>
      <c r="X141" s="148" t="str">
        <f t="shared" si="5"/>
        <v>重み係数＝</v>
      </c>
      <c r="Y141" s="148">
        <f t="shared" si="5"/>
        <v>0.5</v>
      </c>
    </row>
    <row r="142" spans="1:25" ht="16.5" customHeight="1" thickBot="1">
      <c r="A142" s="2"/>
      <c r="B142" s="168"/>
      <c r="C142" s="32"/>
      <c r="D142" s="1077">
        <v>3</v>
      </c>
      <c r="E142" s="2349" t="s">
        <v>467</v>
      </c>
      <c r="F142" s="2350"/>
      <c r="G142" s="2350"/>
      <c r="H142" s="2350"/>
      <c r="I142" s="2350"/>
      <c r="J142" s="2350"/>
      <c r="K142" s="2350"/>
      <c r="L142" s="2350"/>
      <c r="M142" s="2351"/>
      <c r="N142" s="2"/>
      <c r="O142" s="146"/>
      <c r="P142" s="148"/>
      <c r="Q142" s="146"/>
      <c r="R142" s="148"/>
      <c r="S142" s="148"/>
      <c r="T142" s="148"/>
      <c r="U142" s="148"/>
      <c r="V142" s="148"/>
      <c r="W142" s="148"/>
      <c r="X142" s="148"/>
      <c r="Y142" s="148"/>
    </row>
    <row r="143" spans="1:25" s="304" customFormat="1" ht="16.5" customHeight="1">
      <c r="A143" s="137"/>
      <c r="B143" s="168"/>
      <c r="C143" s="32"/>
      <c r="D143" s="36" t="str">
        <f>IF(D142=$Q$14,$R$9,IF(ROUNDDOWN(D142,0)=$Q$9,$S$9,$R$9))</f>
        <v>　レベル　1</v>
      </c>
      <c r="E143" s="526" t="s">
        <v>459</v>
      </c>
      <c r="F143" s="584"/>
      <c r="G143" s="584"/>
      <c r="H143" s="584"/>
      <c r="I143" s="584"/>
      <c r="J143" s="584"/>
      <c r="K143" s="584"/>
      <c r="L143" s="584"/>
      <c r="M143" s="585"/>
      <c r="N143" s="137"/>
      <c r="O143" s="146"/>
      <c r="P143" s="588" t="s">
        <v>62</v>
      </c>
      <c r="Q143" s="146"/>
      <c r="R143" s="148"/>
      <c r="S143" s="148"/>
      <c r="T143" s="148"/>
      <c r="U143" s="588">
        <f>$Q$9</f>
        <v>1</v>
      </c>
      <c r="V143" s="148"/>
      <c r="W143" s="148"/>
      <c r="X143" s="148"/>
      <c r="Y143" s="148"/>
    </row>
    <row r="144" spans="1:25" s="304" customFormat="1" ht="16.5" customHeight="1">
      <c r="A144" s="137"/>
      <c r="B144" s="168"/>
      <c r="C144" s="32"/>
      <c r="D144" s="39" t="str">
        <f>IF(D142=$Q$14,$R$10,IF(ROUNDDOWN(D142,0)=$Q$10,$S$10,$R$10))</f>
        <v>　レベル　2</v>
      </c>
      <c r="E144" s="527" t="s">
        <v>631</v>
      </c>
      <c r="F144" s="586"/>
      <c r="G144" s="586"/>
      <c r="H144" s="586"/>
      <c r="I144" s="586"/>
      <c r="J144" s="586"/>
      <c r="K144" s="586"/>
      <c r="L144" s="586"/>
      <c r="M144" s="587"/>
      <c r="N144" s="137"/>
      <c r="O144" s="146"/>
      <c r="P144" s="588">
        <f>$Q$10</f>
        <v>2</v>
      </c>
      <c r="Q144" s="146"/>
      <c r="R144" s="148"/>
      <c r="S144" s="148"/>
      <c r="T144" s="148"/>
      <c r="U144" s="588">
        <f>$Q$10</f>
        <v>2</v>
      </c>
      <c r="V144" s="148"/>
      <c r="W144" s="148"/>
      <c r="X144" s="148"/>
      <c r="Y144" s="148"/>
    </row>
    <row r="145" spans="1:25" s="304" customFormat="1" ht="16.5" customHeight="1">
      <c r="A145" s="137"/>
      <c r="B145" s="168"/>
      <c r="C145" s="32"/>
      <c r="D145" s="39" t="str">
        <f>IF(D142=$Q$14,$R$11,IF(ROUNDDOWN(D142,0)=$Q$11,$S$11,$R$11))</f>
        <v>■レベル　3</v>
      </c>
      <c r="E145" s="527" t="s">
        <v>632</v>
      </c>
      <c r="F145" s="586"/>
      <c r="G145" s="586"/>
      <c r="H145" s="586"/>
      <c r="I145" s="586"/>
      <c r="J145" s="586"/>
      <c r="K145" s="586"/>
      <c r="L145" s="586"/>
      <c r="M145" s="587"/>
      <c r="N145" s="137"/>
      <c r="O145" s="146"/>
      <c r="P145" s="588">
        <f>$Q$11</f>
        <v>3</v>
      </c>
      <c r="Q145" s="146"/>
      <c r="R145" s="148"/>
      <c r="S145" s="148"/>
      <c r="T145" s="148"/>
      <c r="U145" s="588">
        <f>$Q$11</f>
        <v>3</v>
      </c>
      <c r="V145" s="148"/>
      <c r="W145" s="148"/>
      <c r="X145" s="148"/>
      <c r="Y145" s="148"/>
    </row>
    <row r="146" spans="1:25" s="304" customFormat="1" ht="16.5" customHeight="1">
      <c r="A146" s="137"/>
      <c r="B146" s="168"/>
      <c r="C146" s="32"/>
      <c r="D146" s="39" t="str">
        <f>IF(D142=$Q$14,$R$12,IF(ROUNDDOWN(D142,0)=$Q$12,$S$12,$R$12))</f>
        <v>　レベル　4</v>
      </c>
      <c r="E146" s="539" t="s">
        <v>633</v>
      </c>
      <c r="F146" s="589"/>
      <c r="G146" s="589"/>
      <c r="H146" s="589"/>
      <c r="I146" s="589"/>
      <c r="J146" s="589"/>
      <c r="K146" s="589"/>
      <c r="L146" s="589"/>
      <c r="M146" s="590"/>
      <c r="N146" s="137"/>
      <c r="O146" s="146"/>
      <c r="P146" s="588">
        <f>$Q$12</f>
        <v>4</v>
      </c>
      <c r="Q146" s="146"/>
      <c r="R146" s="148"/>
      <c r="S146" s="148"/>
      <c r="T146" s="148"/>
      <c r="U146" s="588">
        <f>$Q$12</f>
        <v>4</v>
      </c>
      <c r="V146" s="148"/>
      <c r="W146" s="148"/>
      <c r="X146" s="148"/>
      <c r="Y146" s="148"/>
    </row>
    <row r="147" spans="1:25" s="304" customFormat="1" ht="16.5" customHeight="1">
      <c r="A147" s="137"/>
      <c r="B147" s="168"/>
      <c r="C147" s="32"/>
      <c r="D147" s="37" t="str">
        <f>IF(D142=$Q$14,$R$13,IF(ROUNDDOWN(D142,0)=$Q$13,$S$13,$R$13))</f>
        <v>　レベル　5</v>
      </c>
      <c r="E147" s="565" t="s">
        <v>634</v>
      </c>
      <c r="F147" s="591"/>
      <c r="G147" s="591"/>
      <c r="H147" s="591"/>
      <c r="I147" s="591"/>
      <c r="J147" s="591"/>
      <c r="K147" s="591"/>
      <c r="L147" s="591"/>
      <c r="M147" s="592"/>
      <c r="N147" s="137"/>
      <c r="O147" s="146"/>
      <c r="P147" s="588">
        <f>$Q$13</f>
        <v>5</v>
      </c>
      <c r="Q147" s="146"/>
      <c r="R147" s="148"/>
      <c r="S147" s="148"/>
      <c r="T147" s="148"/>
      <c r="U147" s="588">
        <f>$Q$13</f>
        <v>5</v>
      </c>
      <c r="V147" s="148"/>
      <c r="W147" s="148"/>
      <c r="X147" s="148"/>
      <c r="Y147" s="148"/>
    </row>
    <row r="148" spans="1:25" s="148" customFormat="1" ht="8.25" customHeight="1">
      <c r="A148" s="55"/>
      <c r="B148" s="168"/>
      <c r="C148" s="611"/>
      <c r="D148" s="313"/>
      <c r="E148" s="313"/>
      <c r="F148" s="2"/>
      <c r="G148" s="2"/>
      <c r="H148" s="2"/>
      <c r="I148" s="2"/>
      <c r="J148" s="2"/>
      <c r="K148" s="2"/>
      <c r="L148" s="2"/>
      <c r="M148" s="2"/>
      <c r="N148" s="154"/>
      <c r="P148" s="588" t="s">
        <v>75</v>
      </c>
      <c r="Q148" s="328" t="s">
        <v>99</v>
      </c>
      <c r="R148" s="5"/>
      <c r="S148" s="5"/>
      <c r="T148" s="136"/>
    </row>
    <row r="149" spans="1:25" s="148" customFormat="1" ht="21" customHeight="1">
      <c r="A149" s="55"/>
      <c r="B149" s="168"/>
      <c r="C149" s="611"/>
      <c r="E149" s="786" t="s">
        <v>3</v>
      </c>
      <c r="F149" s="787"/>
      <c r="G149" s="1242"/>
      <c r="H149" s="1242"/>
      <c r="I149" s="1241"/>
      <c r="J149" s="1243"/>
      <c r="K149" s="1243"/>
      <c r="L149" s="1243"/>
      <c r="M149" s="1244"/>
      <c r="N149" s="154"/>
      <c r="P149" s="619"/>
      <c r="Q149" s="328"/>
      <c r="R149" s="5"/>
      <c r="S149" s="5"/>
      <c r="T149" s="136"/>
      <c r="U149" s="619"/>
      <c r="V149" s="136"/>
      <c r="W149" s="136"/>
      <c r="X149" s="136"/>
      <c r="Y149" s="136"/>
    </row>
    <row r="150" spans="1:25"/>
    <row r="151" spans="1:25" hidden="1"/>
    <row r="152" spans="1:25" hidden="1"/>
    <row r="153" spans="1:25" hidden="1"/>
    <row r="154" spans="1:25" hidden="1"/>
    <row r="155" spans="1:25" hidden="1"/>
    <row r="156" spans="1:25" hidden="1"/>
    <row r="157" spans="1:25" hidden="1"/>
    <row r="158" spans="1:25" hidden="1"/>
    <row r="159" spans="1:25" hidden="1"/>
    <row r="160" spans="1:25"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sheetData>
  <sheetProtection algorithmName="SHA-512" hashValue="WrrPMJQCgAXmHMy+M3/hAxrvmEapOhzVM1IeW8sMM49fwfrn//JAy95XQcYFX9jr0TElnQYBkkBapnMthWrWXA==" saltValue="8NsnmD20h9+A6m0049bQ2A==" spinCount="100000" sheet="1" objects="1" scenarios="1"/>
  <mergeCells count="26">
    <mergeCell ref="E142:M142"/>
    <mergeCell ref="F96:F97"/>
    <mergeCell ref="F98:F99"/>
    <mergeCell ref="D126:D127"/>
    <mergeCell ref="H98:M98"/>
    <mergeCell ref="H99:M99"/>
    <mergeCell ref="G113:M113"/>
    <mergeCell ref="G116:M116"/>
    <mergeCell ref="G117:M117"/>
    <mergeCell ref="E126:M126"/>
    <mergeCell ref="E89:M89"/>
    <mergeCell ref="E106:M106"/>
    <mergeCell ref="E8:M8"/>
    <mergeCell ref="E20:M20"/>
    <mergeCell ref="G27:M27"/>
    <mergeCell ref="G28:M28"/>
    <mergeCell ref="E12:M12"/>
    <mergeCell ref="E13:M13"/>
    <mergeCell ref="E37:M37"/>
    <mergeCell ref="E55:M55"/>
    <mergeCell ref="E66:M66"/>
    <mergeCell ref="E76:M76"/>
    <mergeCell ref="G45:H45"/>
    <mergeCell ref="G46:H46"/>
    <mergeCell ref="K45:M45"/>
    <mergeCell ref="K46:M46"/>
  </mergeCells>
  <phoneticPr fontId="4"/>
  <conditionalFormatting sqref="D8 D20 D142 D55 D76 D66 D89">
    <cfRule type="expression" dxfId="139" priority="1" stopIfTrue="1">
      <formula>AND(OR(D8&lt;1,D8&gt;5),D8&lt;&gt;P14)</formula>
    </cfRule>
    <cfRule type="expression" dxfId="138" priority="2" stopIfTrue="1">
      <formula>M7&gt;0</formula>
    </cfRule>
  </conditionalFormatting>
  <conditionalFormatting sqref="D126">
    <cfRule type="expression" dxfId="137" priority="3" stopIfTrue="1">
      <formula>AND(OR(D126&lt;1,D126&gt;5),D126&lt;&gt;#REF!)</formula>
    </cfRule>
    <cfRule type="expression" dxfId="136" priority="4" stopIfTrue="1">
      <formula>M125&gt;0</formula>
    </cfRule>
  </conditionalFormatting>
  <conditionalFormatting sqref="E44">
    <cfRule type="expression" dxfId="135" priority="5" stopIfTrue="1">
      <formula>M36&gt;0</formula>
    </cfRule>
  </conditionalFormatting>
  <conditionalFormatting sqref="D127">
    <cfRule type="expression" dxfId="134" priority="6" stopIfTrue="1">
      <formula>AND(OR(D127&lt;1,D127&gt;5),D127&lt;&gt;P140)</formula>
    </cfRule>
    <cfRule type="expression" dxfId="133" priority="7" stopIfTrue="1">
      <formula>H126&gt;0</formula>
    </cfRule>
  </conditionalFormatting>
  <conditionalFormatting sqref="D19 D88 D36">
    <cfRule type="expression" dxfId="132" priority="8" stopIfTrue="1">
      <formula>AND(OR(D19&lt;1,D19&gt;5),D19&lt;&gt;U8)</formula>
    </cfRule>
    <cfRule type="expression" dxfId="131" priority="9" stopIfTrue="1">
      <formula>M17&gt;0</formula>
    </cfRule>
  </conditionalFormatting>
  <conditionalFormatting sqref="I15 I149 I83 I62 I73">
    <cfRule type="expression" dxfId="130" priority="10" stopIfTrue="1">
      <formula>M7&gt;0</formula>
    </cfRule>
  </conditionalFormatting>
  <conditionalFormatting sqref="J15 J149 J83 J62 J73">
    <cfRule type="expression" dxfId="129" priority="11" stopIfTrue="1">
      <formula>M7&gt;0</formula>
    </cfRule>
  </conditionalFormatting>
  <conditionalFormatting sqref="K15 K149 K83 K62 K73">
    <cfRule type="expression" dxfId="128" priority="12" stopIfTrue="1">
      <formula>M7&gt;0</formula>
    </cfRule>
  </conditionalFormatting>
  <conditionalFormatting sqref="L15 L149 L83 L62 L73">
    <cfRule type="expression" dxfId="127" priority="13" stopIfTrue="1">
      <formula>M7&gt;0</formula>
    </cfRule>
  </conditionalFormatting>
  <conditionalFormatting sqref="M15 M149 M83 M62 M73">
    <cfRule type="expression" dxfId="126" priority="14" stopIfTrue="1">
      <formula>M7&gt;0</formula>
    </cfRule>
  </conditionalFormatting>
  <conditionalFormatting sqref="D37">
    <cfRule type="expression" dxfId="125" priority="15" stopIfTrue="1">
      <formula>AND(OR(D37&lt;1,D37&gt;5),D37&lt;&gt;U26)</formula>
    </cfRule>
    <cfRule type="expression" dxfId="124" priority="16" stopIfTrue="1">
      <formula>M36&gt;0</formula>
    </cfRule>
  </conditionalFormatting>
  <conditionalFormatting sqref="E96:E99 E45:E46 I51:M51">
    <cfRule type="expression" dxfId="123" priority="17" stopIfTrue="1">
      <formula>$M$36&gt;0</formula>
    </cfRule>
  </conditionalFormatting>
  <conditionalFormatting sqref="E134:E135 E27:E29">
    <cfRule type="expression" dxfId="122" priority="18" stopIfTrue="1">
      <formula>$M$7&gt;0</formula>
    </cfRule>
  </conditionalFormatting>
  <conditionalFormatting sqref="E114:E117 I120:M120">
    <cfRule type="expression" dxfId="121" priority="19" stopIfTrue="1">
      <formula>$M$105&gt;0</formula>
    </cfRule>
  </conditionalFormatting>
  <conditionalFormatting sqref="E47:E48">
    <cfRule type="expression" dxfId="120" priority="20" stopIfTrue="1">
      <formula>AND($M$36&gt;0,$E$44=$Q$44)</formula>
    </cfRule>
  </conditionalFormatting>
  <conditionalFormatting sqref="I32:M32">
    <cfRule type="expression" dxfId="119" priority="21" stopIfTrue="1">
      <formula>$M$19&gt;0</formula>
    </cfRule>
  </conditionalFormatting>
  <conditionalFormatting sqref="I102:M102">
    <cfRule type="expression" dxfId="118" priority="22" stopIfTrue="1">
      <formula>$M$88&gt;0</formula>
    </cfRule>
  </conditionalFormatting>
  <conditionalFormatting sqref="I138:M138">
    <cfRule type="expression" dxfId="117" priority="23" stopIfTrue="1">
      <formula>$M$125&gt;0</formula>
    </cfRule>
  </conditionalFormatting>
  <conditionalFormatting sqref="D125">
    <cfRule type="expression" dxfId="116" priority="24" stopIfTrue="1">
      <formula>AND(OR(D125&lt;1,D125&gt;5),D125&lt;&gt;U113)</formula>
    </cfRule>
    <cfRule type="expression" dxfId="115" priority="25" stopIfTrue="1">
      <formula>M123&gt;0</formula>
    </cfRule>
  </conditionalFormatting>
  <dataValidations count="8">
    <dataValidation type="list" allowBlank="1" showInputMessage="1" sqref="D37">
      <formula1>$P$21:$P$26</formula1>
    </dataValidation>
    <dataValidation type="list" allowBlank="1" showInputMessage="1" sqref="D8 D20 D89 D55 D66 D76 D142">
      <formula1>P9:P14</formula1>
    </dataValidation>
    <dataValidation type="textLength" operator="lessThanOrEqual" allowBlank="1" showInputMessage="1" showErrorMessage="1" sqref="F102:H102 F149:H149 F15:H15 F73:H73 F32:H32 F51:H51 F62:H62 F138:H138 F83:H83 F120:H120">
      <formula1>30</formula1>
    </dataValidation>
    <dataValidation type="list" allowBlank="1" showInputMessage="1" showErrorMessage="1" sqref="D126:D127">
      <formula1>$P$128:$P$133</formula1>
    </dataValidation>
    <dataValidation type="list" allowBlank="1" showInputMessage="1" showErrorMessage="1" sqref="E134:E135 E27:E29 E45:E48 E96:E99 E114:E117">
      <formula1>$U$3:$U$4</formula1>
    </dataValidation>
    <dataValidation allowBlank="1" showInputMessage="1" sqref="D125 D36 D19 D88"/>
    <dataValidation type="list" allowBlank="1" showInputMessage="1" showErrorMessage="1" sqref="E44">
      <formula1>$P$44:$Q$44</formula1>
    </dataValidation>
    <dataValidation type="textLength" operator="lessThanOrEqual" allowBlank="1" showInputMessage="1" showErrorMessage="1" sqref="I15 I149 I138 I120 I102 I83 I73 I62 I51 I32">
      <formula1>35</formula1>
    </dataValidation>
  </dataValidations>
  <printOptions horizontalCentered="1"/>
  <pageMargins left="0.78740157480314965" right="0.78740157480314965" top="0.78740157480314965" bottom="0.78740157480314965" header="0.51181102362204722" footer="0.51181102362204722"/>
  <pageSetup paperSize="9" scale="70" fitToHeight="0" orientation="portrait" horizontalDpi="4294967293" verticalDpi="4294967293" r:id="rId1"/>
  <headerFooter alignWithMargins="0">
    <oddHeader>&amp;L&amp;F&amp;R&amp;A</oddHeader>
    <oddFooter>&amp;C&amp;P/&amp;N</oddFooter>
  </headerFooter>
  <rowBreaks count="2" manualBreakCount="2">
    <brk id="52" max="13" man="1"/>
    <brk id="103"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U96"/>
  <sheetViews>
    <sheetView showGridLines="0" zoomScaleNormal="100" workbookViewId="0">
      <selection activeCell="E16" sqref="E16"/>
    </sheetView>
  </sheetViews>
  <sheetFormatPr defaultColWidth="0" defaultRowHeight="13.5" zeroHeight="1"/>
  <cols>
    <col min="1" max="1" width="1.375" customWidth="1"/>
    <col min="2" max="2" width="4.5" customWidth="1"/>
    <col min="3" max="3" width="1.5" customWidth="1"/>
    <col min="4" max="13" width="11.625" customWidth="1"/>
    <col min="14" max="14" width="1.75" customWidth="1"/>
    <col min="15" max="15" width="3.75" hidden="1" customWidth="1"/>
    <col min="16" max="16" width="17.625" hidden="1" customWidth="1"/>
    <col min="17" max="17" width="5.125" hidden="1" customWidth="1"/>
    <col min="18" max="18" width="9.125" hidden="1" customWidth="1"/>
    <col min="19" max="19" width="9.625" hidden="1" customWidth="1"/>
    <col min="20" max="20" width="5.625" hidden="1" customWidth="1"/>
    <col min="21" max="21" width="6" hidden="1" customWidth="1"/>
    <col min="22" max="22" width="8.75" hidden="1" customWidth="1"/>
    <col min="23" max="23" width="3.5" hidden="1" customWidth="1"/>
    <col min="24" max="24" width="8.875" hidden="1" customWidth="1"/>
    <col min="25" max="25" width="10.5" hidden="1" customWidth="1"/>
    <col min="26" max="255" width="8.875" hidden="1" customWidth="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ht="21.75" thickBot="1">
      <c r="B3" s="523" t="s">
        <v>1069</v>
      </c>
      <c r="C3" s="45"/>
      <c r="D3" s="479"/>
      <c r="E3" s="153"/>
      <c r="F3" s="47"/>
      <c r="G3" s="47"/>
      <c r="H3" s="150"/>
      <c r="I3" s="56" t="s">
        <v>818</v>
      </c>
      <c r="J3" s="47"/>
      <c r="K3" s="32"/>
      <c r="L3" s="32"/>
      <c r="M3" s="303"/>
      <c r="N3" s="31"/>
      <c r="O3" s="134"/>
      <c r="P3" s="319" t="s">
        <v>878</v>
      </c>
      <c r="Q3" s="134"/>
      <c r="R3" s="148"/>
      <c r="S3" s="5"/>
      <c r="T3" s="416" t="s">
        <v>879</v>
      </c>
      <c r="U3" s="1050" t="s">
        <v>763</v>
      </c>
      <c r="V3" s="416" t="s">
        <v>20</v>
      </c>
      <c r="W3" s="1052"/>
      <c r="X3" s="148"/>
      <c r="Y3" s="416" t="str">
        <f>メイン!N31</f>
        <v>基本設計段階</v>
      </c>
    </row>
    <row r="4" spans="1:25" ht="9" customHeight="1">
      <c r="B4" s="310"/>
      <c r="C4" s="45"/>
      <c r="D4" s="153"/>
      <c r="E4" s="153"/>
      <c r="F4" s="153"/>
      <c r="G4" s="153"/>
      <c r="H4" s="46"/>
      <c r="I4" s="46"/>
      <c r="J4" s="153"/>
      <c r="K4" s="153"/>
      <c r="L4" s="153"/>
      <c r="M4" s="153"/>
      <c r="N4" s="31"/>
      <c r="O4" s="148"/>
      <c r="P4" s="148"/>
      <c r="Q4" s="148"/>
      <c r="R4" s="148"/>
      <c r="S4" s="5"/>
      <c r="T4" s="416" t="s">
        <v>880</v>
      </c>
      <c r="U4" s="1051"/>
      <c r="V4" s="416" t="s">
        <v>274</v>
      </c>
      <c r="W4" s="1052" t="s">
        <v>881</v>
      </c>
      <c r="X4" s="148"/>
      <c r="Y4" s="416" t="str">
        <f>メイン!N32</f>
        <v>実施設計段階</v>
      </c>
    </row>
    <row r="5" spans="1:25" ht="11.45" customHeight="1">
      <c r="B5" s="154"/>
      <c r="C5" s="33"/>
      <c r="D5" s="33"/>
      <c r="E5" s="33"/>
      <c r="F5" s="33"/>
      <c r="G5" s="33"/>
      <c r="H5" s="33"/>
      <c r="I5" s="33"/>
      <c r="J5" s="33"/>
      <c r="K5" s="33"/>
      <c r="L5" s="33"/>
      <c r="M5" s="33"/>
      <c r="N5" s="33"/>
      <c r="O5" s="179"/>
      <c r="P5" s="179"/>
      <c r="Q5" s="179"/>
      <c r="R5" s="179"/>
      <c r="S5" s="179"/>
      <c r="T5" s="179"/>
      <c r="U5" s="179"/>
      <c r="V5" s="416" t="s">
        <v>934</v>
      </c>
      <c r="W5" s="179"/>
      <c r="X5" s="179"/>
      <c r="Y5" s="416" t="str">
        <f>メイン!N33</f>
        <v>竣工段階</v>
      </c>
    </row>
    <row r="6" spans="1:25" ht="15.75">
      <c r="B6" s="1094">
        <v>1</v>
      </c>
      <c r="C6" s="34" t="s">
        <v>393</v>
      </c>
      <c r="D6" s="33"/>
      <c r="E6" s="33"/>
      <c r="F6" s="33"/>
      <c r="G6" s="33"/>
      <c r="H6" s="33"/>
      <c r="I6" s="33"/>
      <c r="J6" s="33"/>
      <c r="K6" s="33"/>
      <c r="L6" s="33"/>
      <c r="M6" s="33"/>
      <c r="N6" s="33"/>
      <c r="O6" s="179"/>
      <c r="P6" s="179"/>
      <c r="Q6" s="179"/>
      <c r="R6" s="179"/>
      <c r="S6" s="179"/>
      <c r="T6" s="179"/>
      <c r="U6" s="179"/>
      <c r="V6" s="179"/>
      <c r="W6" s="179"/>
      <c r="X6" s="179"/>
      <c r="Y6" s="421"/>
    </row>
    <row r="7" spans="1:25" ht="16.5" customHeight="1" thickBot="1">
      <c r="B7" s="151"/>
      <c r="C7" s="34"/>
      <c r="D7" s="159"/>
      <c r="E7" s="159"/>
      <c r="F7" s="55"/>
      <c r="G7" s="529"/>
      <c r="H7" s="55"/>
      <c r="I7" s="55"/>
      <c r="J7" s="55"/>
      <c r="K7" s="154"/>
      <c r="L7" s="180" t="s">
        <v>2</v>
      </c>
      <c r="M7" s="377">
        <f>重み!M45</f>
        <v>0.3</v>
      </c>
      <c r="N7" s="33"/>
      <c r="O7" s="148">
        <f t="shared" ref="O7:Y7" si="0">C7</f>
        <v>0</v>
      </c>
      <c r="P7" s="148">
        <f t="shared" si="0"/>
        <v>0</v>
      </c>
      <c r="Q7" s="148">
        <f t="shared" si="0"/>
        <v>0</v>
      </c>
      <c r="R7" s="148">
        <f t="shared" si="0"/>
        <v>0</v>
      </c>
      <c r="S7" s="148">
        <f t="shared" si="0"/>
        <v>0</v>
      </c>
      <c r="T7" s="148">
        <f t="shared" si="0"/>
        <v>0</v>
      </c>
      <c r="U7" s="148">
        <f t="shared" si="0"/>
        <v>0</v>
      </c>
      <c r="V7" s="148">
        <f t="shared" si="0"/>
        <v>0</v>
      </c>
      <c r="W7" s="148">
        <f t="shared" si="0"/>
        <v>0</v>
      </c>
      <c r="X7" s="148" t="str">
        <f t="shared" si="0"/>
        <v>重み係数＝</v>
      </c>
      <c r="Y7" s="148">
        <f t="shared" si="0"/>
        <v>0.3</v>
      </c>
    </row>
    <row r="8" spans="1:25" ht="16.5" customHeight="1" thickBot="1">
      <c r="B8" s="310"/>
      <c r="C8" s="310"/>
      <c r="D8" s="1080">
        <f>ROUND(IF(E16=V4,IF(F22&gt;=1,5,4),IF(E16=V5,IF(F22=0,1,IF(F22=3,4,IF(F22&gt;=4,5,3))),IF(F22=3,4,IF(F22&gt;=4,5,3)))),0)</f>
        <v>3</v>
      </c>
      <c r="E8" s="2349" t="s">
        <v>467</v>
      </c>
      <c r="F8" s="2350"/>
      <c r="G8" s="2350"/>
      <c r="H8" s="2350"/>
      <c r="I8" s="2350"/>
      <c r="J8" s="2350"/>
      <c r="K8" s="2350"/>
      <c r="L8" s="2350"/>
      <c r="M8" s="2351"/>
      <c r="N8" s="33"/>
      <c r="O8" s="41"/>
      <c r="P8" s="41"/>
      <c r="Q8" s="41"/>
      <c r="R8" s="41"/>
      <c r="S8" s="41"/>
      <c r="T8" s="41"/>
      <c r="U8" s="41"/>
      <c r="V8" s="41"/>
      <c r="W8" s="41"/>
      <c r="X8" s="41"/>
      <c r="Y8" s="41"/>
    </row>
    <row r="9" spans="1:25" ht="16.5" customHeight="1">
      <c r="B9" s="310"/>
      <c r="C9" s="310"/>
      <c r="D9" s="36" t="str">
        <f>IF(ROUNDDOWN($D$8,0)=$Q$9,$S$9,$R$9)</f>
        <v>　レベル　1</v>
      </c>
      <c r="E9" s="2382" t="s">
        <v>150</v>
      </c>
      <c r="F9" s="2383"/>
      <c r="G9" s="2383"/>
      <c r="H9" s="2383"/>
      <c r="I9" s="2383"/>
      <c r="J9" s="2383"/>
      <c r="K9" s="2383"/>
      <c r="L9" s="2383"/>
      <c r="M9" s="2384"/>
      <c r="N9" s="30"/>
      <c r="O9" s="179"/>
      <c r="P9" s="318">
        <f>$Q$9</f>
        <v>1</v>
      </c>
      <c r="Q9" s="320">
        <v>1</v>
      </c>
      <c r="R9" s="323" t="s">
        <v>882</v>
      </c>
      <c r="S9" s="321" t="s">
        <v>883</v>
      </c>
      <c r="T9" s="148"/>
      <c r="U9" s="318">
        <f>$Q$9</f>
        <v>1</v>
      </c>
      <c r="V9" s="148"/>
      <c r="W9" s="148"/>
      <c r="X9" s="148"/>
      <c r="Y9" s="148"/>
    </row>
    <row r="10" spans="1:25" ht="16.5" customHeight="1">
      <c r="B10" s="310"/>
      <c r="C10" s="310"/>
      <c r="D10" s="39" t="str">
        <f>IF(ROUNDDOWN($D$8,0)=$Q$10,$S$10,$R$10)</f>
        <v>　レベル　2</v>
      </c>
      <c r="E10" s="527" t="s">
        <v>459</v>
      </c>
      <c r="F10" s="517"/>
      <c r="G10" s="517"/>
      <c r="H10" s="517"/>
      <c r="I10" s="517"/>
      <c r="J10" s="517"/>
      <c r="K10" s="517"/>
      <c r="L10" s="517"/>
      <c r="M10" s="518"/>
      <c r="N10" s="30"/>
      <c r="O10" s="148"/>
      <c r="P10" s="318" t="s">
        <v>884</v>
      </c>
      <c r="Q10" s="320">
        <v>2</v>
      </c>
      <c r="R10" s="323" t="s">
        <v>539</v>
      </c>
      <c r="S10" s="321" t="s">
        <v>95</v>
      </c>
      <c r="T10" s="148"/>
      <c r="U10" s="318">
        <f>$Q$10</f>
        <v>2</v>
      </c>
      <c r="V10" s="148"/>
      <c r="W10" s="148"/>
      <c r="X10" s="148"/>
      <c r="Y10" s="148"/>
    </row>
    <row r="11" spans="1:25" ht="16.5" customHeight="1">
      <c r="B11" s="310"/>
      <c r="C11" s="310"/>
      <c r="D11" s="39" t="str">
        <f>IF(ROUNDDOWN($D$8,0)=$Q$11,$S$11,$R$11)</f>
        <v>■レベル　3</v>
      </c>
      <c r="E11" s="2385" t="s">
        <v>363</v>
      </c>
      <c r="F11" s="2386"/>
      <c r="G11" s="2386"/>
      <c r="H11" s="2386"/>
      <c r="I11" s="2386"/>
      <c r="J11" s="2386"/>
      <c r="K11" s="2386"/>
      <c r="L11" s="2386"/>
      <c r="M11" s="2387"/>
      <c r="N11" s="30"/>
      <c r="O11" s="148"/>
      <c r="P11" s="318">
        <f>$Q$11</f>
        <v>3</v>
      </c>
      <c r="Q11" s="320">
        <v>3</v>
      </c>
      <c r="R11" s="323" t="s">
        <v>540</v>
      </c>
      <c r="S11" s="321" t="s">
        <v>96</v>
      </c>
      <c r="T11" s="148"/>
      <c r="U11" s="318">
        <f>$Q$11</f>
        <v>3</v>
      </c>
      <c r="V11" s="148"/>
      <c r="W11" s="148"/>
      <c r="X11" s="148"/>
      <c r="Y11" s="148"/>
    </row>
    <row r="12" spans="1:25" ht="16.5" customHeight="1">
      <c r="B12" s="310"/>
      <c r="C12" s="310"/>
      <c r="D12" s="39" t="str">
        <f>IF(ROUNDDOWN($D$8,0)=$Q$12,$S$12,$R$12)</f>
        <v>　レベル　4</v>
      </c>
      <c r="E12" s="2365" t="s">
        <v>151</v>
      </c>
      <c r="F12" s="2366"/>
      <c r="G12" s="2366"/>
      <c r="H12" s="2366"/>
      <c r="I12" s="2366"/>
      <c r="J12" s="2366"/>
      <c r="K12" s="2366"/>
      <c r="L12" s="2366"/>
      <c r="M12" s="2367"/>
      <c r="N12" s="30"/>
      <c r="O12" s="148"/>
      <c r="P12" s="318">
        <f>$Q$12</f>
        <v>4</v>
      </c>
      <c r="Q12" s="320">
        <v>4</v>
      </c>
      <c r="R12" s="323" t="s">
        <v>541</v>
      </c>
      <c r="S12" s="321" t="s">
        <v>97</v>
      </c>
      <c r="T12" s="148"/>
      <c r="U12" s="318">
        <f>$Q$12</f>
        <v>4</v>
      </c>
      <c r="V12" s="148"/>
      <c r="W12" s="148"/>
      <c r="X12" s="148"/>
      <c r="Y12" s="148"/>
    </row>
    <row r="13" spans="1:25" ht="24" customHeight="1">
      <c r="B13" s="310"/>
      <c r="C13" s="310"/>
      <c r="D13" s="37" t="str">
        <f>IF(ROUNDDOWN($D$8,0)=$Q$13,$S$13,$R$13)</f>
        <v>　レベル　5</v>
      </c>
      <c r="E13" s="2368" t="s">
        <v>732</v>
      </c>
      <c r="F13" s="2369"/>
      <c r="G13" s="2369"/>
      <c r="H13" s="2369"/>
      <c r="I13" s="2369"/>
      <c r="J13" s="2369"/>
      <c r="K13" s="2369"/>
      <c r="L13" s="2369"/>
      <c r="M13" s="2370"/>
      <c r="N13" s="30"/>
      <c r="O13" s="148"/>
      <c r="P13" s="318">
        <f>$Q$13</f>
        <v>5</v>
      </c>
      <c r="Q13" s="320">
        <v>5</v>
      </c>
      <c r="R13" s="323" t="s">
        <v>542</v>
      </c>
      <c r="S13" s="321" t="s">
        <v>98</v>
      </c>
      <c r="T13" s="148"/>
      <c r="U13" s="318">
        <f>$Q$13</f>
        <v>5</v>
      </c>
      <c r="V13" s="148"/>
      <c r="W13" s="148"/>
      <c r="X13" s="148"/>
      <c r="Y13" s="148"/>
    </row>
    <row r="14" spans="1:25" ht="16.5" customHeight="1">
      <c r="B14" s="310"/>
      <c r="C14" s="310"/>
      <c r="D14" s="49"/>
      <c r="E14" s="156" t="s">
        <v>14</v>
      </c>
      <c r="F14" s="55"/>
      <c r="G14" s="155"/>
      <c r="H14" s="44"/>
      <c r="I14" s="44"/>
      <c r="J14" s="55"/>
      <c r="K14" s="55"/>
      <c r="L14" s="55"/>
      <c r="M14" s="55"/>
      <c r="N14" s="30"/>
      <c r="O14" s="148"/>
      <c r="P14" s="325" t="s">
        <v>884</v>
      </c>
      <c r="Q14" s="321">
        <v>0</v>
      </c>
      <c r="R14" s="321" t="s">
        <v>885</v>
      </c>
      <c r="S14" s="321" t="s">
        <v>885</v>
      </c>
      <c r="T14" s="148"/>
      <c r="U14" s="325">
        <f>$Q$14</f>
        <v>0</v>
      </c>
      <c r="V14" s="148"/>
      <c r="W14" s="148"/>
      <c r="X14" s="148"/>
      <c r="Y14" s="148"/>
    </row>
    <row r="15" spans="1:25" ht="16.5" thickBot="1">
      <c r="B15" s="310"/>
      <c r="C15" s="310"/>
      <c r="D15" s="49"/>
      <c r="E15" s="144" t="s">
        <v>855</v>
      </c>
      <c r="F15" s="169" t="s">
        <v>856</v>
      </c>
      <c r="G15" s="1049" t="s">
        <v>19</v>
      </c>
      <c r="H15" s="2376" t="s">
        <v>273</v>
      </c>
      <c r="I15" s="2376"/>
      <c r="J15" s="2376"/>
      <c r="K15" s="2376"/>
      <c r="L15" s="2376"/>
      <c r="M15" s="2377"/>
      <c r="N15" s="30"/>
      <c r="O15" s="148"/>
      <c r="P15" s="41"/>
      <c r="Q15" s="41"/>
      <c r="R15" s="41"/>
      <c r="S15" s="41"/>
      <c r="T15" s="41"/>
      <c r="U15" s="41"/>
      <c r="V15" s="148"/>
      <c r="W15" s="148"/>
      <c r="X15" s="148"/>
      <c r="Y15" s="148"/>
    </row>
    <row r="16" spans="1:25" ht="81" customHeight="1" thickBot="1">
      <c r="B16" s="310"/>
      <c r="C16" s="310"/>
      <c r="D16" s="49"/>
      <c r="E16" s="747"/>
      <c r="F16" s="746">
        <v>1</v>
      </c>
      <c r="G16" s="1053" t="s">
        <v>152</v>
      </c>
      <c r="H16" s="2391" t="s">
        <v>154</v>
      </c>
      <c r="I16" s="2392"/>
      <c r="J16" s="2392"/>
      <c r="K16" s="2392"/>
      <c r="L16" s="2392"/>
      <c r="M16" s="2393"/>
      <c r="N16" s="30"/>
      <c r="O16" s="148"/>
      <c r="P16" s="41"/>
      <c r="Q16" s="41"/>
      <c r="R16" s="41"/>
      <c r="S16" s="41"/>
      <c r="T16" s="41"/>
      <c r="U16" s="41"/>
      <c r="V16" s="148"/>
      <c r="W16" s="148"/>
      <c r="X16" s="148"/>
      <c r="Y16" s="148"/>
    </row>
    <row r="17" spans="1:25" ht="24" customHeight="1">
      <c r="B17" s="310"/>
      <c r="C17" s="310"/>
      <c r="D17" s="49"/>
      <c r="E17" s="379"/>
      <c r="F17" s="2388">
        <v>2</v>
      </c>
      <c r="G17" s="2394" t="s">
        <v>153</v>
      </c>
      <c r="H17" s="744" t="s">
        <v>857</v>
      </c>
      <c r="I17" s="2355" t="s">
        <v>155</v>
      </c>
      <c r="J17" s="2356"/>
      <c r="K17" s="2356"/>
      <c r="L17" s="2356"/>
      <c r="M17" s="2357"/>
      <c r="N17" s="30"/>
      <c r="O17" s="148"/>
      <c r="P17" s="384"/>
      <c r="Q17" s="478"/>
      <c r="R17" s="478"/>
      <c r="S17" s="478"/>
      <c r="T17" s="148"/>
      <c r="U17" s="384"/>
      <c r="V17" s="148"/>
      <c r="W17" s="148"/>
      <c r="X17" s="148"/>
      <c r="Y17" s="148"/>
    </row>
    <row r="18" spans="1:25" ht="24" customHeight="1">
      <c r="B18" s="310"/>
      <c r="C18" s="310"/>
      <c r="D18" s="49"/>
      <c r="E18" s="537"/>
      <c r="F18" s="2389"/>
      <c r="G18" s="2395"/>
      <c r="H18" s="745" t="s">
        <v>858</v>
      </c>
      <c r="I18" s="2352" t="s">
        <v>156</v>
      </c>
      <c r="J18" s="2353"/>
      <c r="K18" s="2353"/>
      <c r="L18" s="2353"/>
      <c r="M18" s="2354"/>
      <c r="N18" s="30"/>
      <c r="O18" s="148"/>
      <c r="P18" s="384"/>
      <c r="Q18" s="478"/>
      <c r="R18" s="478"/>
      <c r="S18" s="478"/>
      <c r="T18" s="148"/>
      <c r="U18" s="384"/>
      <c r="V18" s="148"/>
      <c r="W18" s="148"/>
      <c r="X18" s="148"/>
      <c r="Y18" s="148"/>
    </row>
    <row r="19" spans="1:25" ht="24" customHeight="1">
      <c r="B19" s="310"/>
      <c r="C19" s="310"/>
      <c r="D19" s="49"/>
      <c r="E19" s="537"/>
      <c r="F19" s="2389"/>
      <c r="G19" s="2395"/>
      <c r="H19" s="745" t="s">
        <v>859</v>
      </c>
      <c r="I19" s="2352" t="s">
        <v>157</v>
      </c>
      <c r="J19" s="2353"/>
      <c r="K19" s="2353"/>
      <c r="L19" s="2353"/>
      <c r="M19" s="2354"/>
      <c r="N19" s="30"/>
      <c r="O19" s="148"/>
      <c r="P19" s="384"/>
      <c r="Q19" s="478"/>
      <c r="R19" s="478"/>
      <c r="S19" s="478"/>
      <c r="T19" s="148"/>
      <c r="U19" s="384"/>
      <c r="V19" s="148"/>
      <c r="W19" s="148"/>
      <c r="X19" s="148"/>
      <c r="Y19" s="148"/>
    </row>
    <row r="20" spans="1:25" ht="24" customHeight="1">
      <c r="B20" s="310"/>
      <c r="C20" s="310"/>
      <c r="D20" s="49"/>
      <c r="E20" s="741"/>
      <c r="F20" s="2389"/>
      <c r="G20" s="2395"/>
      <c r="H20" s="745" t="s">
        <v>860</v>
      </c>
      <c r="I20" s="2352" t="s">
        <v>158</v>
      </c>
      <c r="J20" s="2353"/>
      <c r="K20" s="2353"/>
      <c r="L20" s="2353"/>
      <c r="M20" s="2354"/>
      <c r="N20" s="30"/>
      <c r="O20" s="148"/>
      <c r="P20" s="384"/>
      <c r="Q20" s="478"/>
      <c r="R20" s="478"/>
      <c r="S20" s="478"/>
      <c r="T20" s="148"/>
      <c r="U20" s="384"/>
      <c r="V20" s="148"/>
      <c r="W20" s="148"/>
      <c r="X20" s="148"/>
      <c r="Y20" s="148"/>
    </row>
    <row r="21" spans="1:25" ht="24" customHeight="1" thickBot="1">
      <c r="B21" s="310"/>
      <c r="C21" s="310"/>
      <c r="D21" s="49"/>
      <c r="E21" s="380"/>
      <c r="F21" s="2390"/>
      <c r="G21" s="2396"/>
      <c r="H21" s="580" t="s">
        <v>861</v>
      </c>
      <c r="I21" s="2358" t="s">
        <v>159</v>
      </c>
      <c r="J21" s="2359"/>
      <c r="K21" s="2359"/>
      <c r="L21" s="2359"/>
      <c r="M21" s="2360"/>
      <c r="N21" s="30"/>
      <c r="O21" s="148"/>
      <c r="P21" s="384"/>
      <c r="Q21" s="478"/>
      <c r="R21" s="478"/>
      <c r="S21" s="478"/>
      <c r="T21" s="148"/>
      <c r="U21" s="384"/>
      <c r="V21" s="148"/>
      <c r="W21" s="148"/>
      <c r="X21" s="148"/>
      <c r="Y21" s="148"/>
    </row>
    <row r="22" spans="1:25" ht="16.5" customHeight="1">
      <c r="B22" s="310"/>
      <c r="C22" s="310"/>
      <c r="D22" s="49"/>
      <c r="E22" s="748" t="s">
        <v>820</v>
      </c>
      <c r="F22" s="1045">
        <f>COUNTIF(E17:E21,"○")</f>
        <v>0</v>
      </c>
      <c r="G22" s="519"/>
      <c r="H22" s="519"/>
      <c r="I22" s="143"/>
      <c r="J22" s="143"/>
      <c r="K22" s="143"/>
      <c r="L22" s="481"/>
      <c r="M22" s="544"/>
      <c r="N22" s="30"/>
      <c r="O22" s="148"/>
      <c r="P22" s="384"/>
      <c r="Q22" s="478"/>
      <c r="R22" s="478"/>
      <c r="S22" s="478"/>
      <c r="T22" s="148"/>
      <c r="U22" s="384"/>
      <c r="V22" s="148"/>
      <c r="W22" s="148"/>
      <c r="X22" s="148"/>
      <c r="Y22" s="148"/>
    </row>
    <row r="23" spans="1:25" s="148" customFormat="1" ht="8.25" customHeight="1">
      <c r="A23" s="55"/>
      <c r="B23" s="168"/>
      <c r="C23" s="611"/>
      <c r="D23" s="313"/>
      <c r="E23" s="313"/>
      <c r="F23" s="2"/>
      <c r="G23" s="2"/>
      <c r="H23" s="2"/>
      <c r="I23" s="2"/>
      <c r="J23" s="2"/>
      <c r="K23" s="2"/>
      <c r="L23" s="2"/>
      <c r="M23" s="2"/>
      <c r="N23" s="154"/>
      <c r="P23" s="588" t="s">
        <v>75</v>
      </c>
      <c r="Q23" s="328" t="s">
        <v>99</v>
      </c>
      <c r="R23" s="5"/>
      <c r="S23" s="5"/>
      <c r="T23" s="136"/>
    </row>
    <row r="24" spans="1:25" s="148" customFormat="1" ht="21" customHeight="1">
      <c r="A24" s="55"/>
      <c r="B24" s="168"/>
      <c r="C24" s="611"/>
      <c r="E24" s="786" t="s">
        <v>3</v>
      </c>
      <c r="F24" s="787"/>
      <c r="G24" s="1242"/>
      <c r="H24" s="1242"/>
      <c r="I24" s="1241"/>
      <c r="J24" s="1243"/>
      <c r="K24" s="1243"/>
      <c r="L24" s="1243"/>
      <c r="M24" s="1244"/>
      <c r="N24" s="154"/>
      <c r="P24" s="619"/>
      <c r="Q24" s="328"/>
      <c r="R24" s="5"/>
      <c r="S24" s="5"/>
      <c r="T24" s="136"/>
      <c r="U24" s="619"/>
      <c r="V24" s="136"/>
      <c r="W24" s="136"/>
      <c r="X24" s="136"/>
      <c r="Y24" s="136"/>
    </row>
    <row r="25" spans="1:25" ht="15.75">
      <c r="B25" s="310"/>
      <c r="C25" s="30"/>
      <c r="D25" s="55"/>
      <c r="E25" s="55"/>
      <c r="F25" s="55"/>
      <c r="G25" s="55"/>
      <c r="H25" s="44"/>
      <c r="I25" s="44"/>
      <c r="J25" s="55"/>
      <c r="K25" s="55"/>
      <c r="L25" s="55"/>
      <c r="M25" s="55"/>
      <c r="N25" s="30"/>
      <c r="O25" s="146"/>
      <c r="P25" s="148"/>
      <c r="Q25" s="146"/>
      <c r="R25" s="148"/>
      <c r="S25" s="148"/>
      <c r="T25" s="148"/>
      <c r="U25" s="148"/>
      <c r="V25" s="148"/>
      <c r="W25" s="148"/>
      <c r="X25" s="148"/>
      <c r="Y25" s="148"/>
    </row>
    <row r="26" spans="1:25" ht="15.75">
      <c r="B26" s="168">
        <v>2</v>
      </c>
      <c r="C26" s="34" t="s">
        <v>402</v>
      </c>
      <c r="D26" s="154"/>
      <c r="E26" s="55"/>
      <c r="F26" s="55"/>
      <c r="G26" s="55"/>
      <c r="H26" s="44"/>
      <c r="I26" s="44"/>
      <c r="J26" s="55"/>
      <c r="K26" s="55"/>
      <c r="L26" s="55"/>
      <c r="M26" s="55"/>
      <c r="N26" s="30"/>
      <c r="O26" s="520"/>
      <c r="P26" s="148"/>
      <c r="Q26" s="146"/>
      <c r="R26" s="148"/>
      <c r="S26" s="148"/>
      <c r="T26" s="148"/>
      <c r="U26" s="148"/>
      <c r="V26" s="148"/>
      <c r="W26" s="148"/>
      <c r="X26" s="148"/>
      <c r="Y26" s="148"/>
    </row>
    <row r="27" spans="1:25" ht="15.75">
      <c r="B27" s="1092">
        <v>2.1</v>
      </c>
      <c r="C27" s="34" t="s">
        <v>579</v>
      </c>
      <c r="D27" s="154"/>
      <c r="E27" s="55"/>
      <c r="F27" s="55"/>
      <c r="G27" s="55"/>
      <c r="H27" s="44"/>
      <c r="I27" s="44"/>
      <c r="J27" s="55"/>
      <c r="K27" s="55"/>
      <c r="L27" s="55"/>
      <c r="M27" s="55"/>
      <c r="N27" s="30"/>
      <c r="O27" s="520"/>
      <c r="P27" s="148"/>
      <c r="Q27" s="146"/>
      <c r="R27" s="148"/>
      <c r="S27" s="148"/>
      <c r="T27" s="148"/>
      <c r="U27" s="148"/>
      <c r="V27" s="148"/>
      <c r="W27" s="148"/>
      <c r="X27" s="148"/>
      <c r="Y27" s="148"/>
    </row>
    <row r="28" spans="1:25" ht="16.5" customHeight="1" thickBot="1">
      <c r="D28" s="159"/>
      <c r="E28" s="159"/>
      <c r="F28" s="55"/>
      <c r="G28" s="529"/>
      <c r="H28" s="55"/>
      <c r="I28" s="55"/>
      <c r="J28" s="55"/>
      <c r="K28" s="154"/>
      <c r="L28" s="180" t="s">
        <v>2</v>
      </c>
      <c r="M28" s="377">
        <f>重み!M47</f>
        <v>0.65</v>
      </c>
      <c r="N28" s="30"/>
      <c r="O28" s="148">
        <f>B27</f>
        <v>2.1</v>
      </c>
      <c r="P28" s="148" t="str">
        <f>C27</f>
        <v>敷地内の緑化</v>
      </c>
      <c r="Q28" s="148">
        <f t="shared" ref="Q28:Y28" si="1">E28</f>
        <v>0</v>
      </c>
      <c r="R28" s="148">
        <f t="shared" si="1"/>
        <v>0</v>
      </c>
      <c r="S28" s="148">
        <f t="shared" si="1"/>
        <v>0</v>
      </c>
      <c r="T28" s="148">
        <f t="shared" si="1"/>
        <v>0</v>
      </c>
      <c r="U28" s="148">
        <f t="shared" si="1"/>
        <v>0</v>
      </c>
      <c r="V28" s="148">
        <f t="shared" si="1"/>
        <v>0</v>
      </c>
      <c r="W28" s="148">
        <f t="shared" si="1"/>
        <v>0</v>
      </c>
      <c r="X28" s="148" t="str">
        <f t="shared" si="1"/>
        <v>重み係数＝</v>
      </c>
      <c r="Y28" s="148">
        <f t="shared" si="1"/>
        <v>0.65</v>
      </c>
    </row>
    <row r="29" spans="1:25" ht="16.5" customHeight="1" thickBot="1">
      <c r="B29" s="151"/>
      <c r="C29" s="34"/>
      <c r="D29" s="1078">
        <v>3</v>
      </c>
      <c r="E29" s="2349" t="s">
        <v>467</v>
      </c>
      <c r="F29" s="2350"/>
      <c r="G29" s="2350"/>
      <c r="H29" s="2350"/>
      <c r="I29" s="2350"/>
      <c r="J29" s="2350"/>
      <c r="K29" s="2350"/>
      <c r="L29" s="2350"/>
      <c r="M29" s="2351"/>
      <c r="N29" s="30"/>
      <c r="O29" s="146"/>
      <c r="P29" s="146"/>
      <c r="Q29" s="146"/>
      <c r="R29" s="148"/>
      <c r="S29" s="148"/>
      <c r="T29" s="148"/>
      <c r="U29" s="556"/>
      <c r="V29" s="148"/>
      <c r="W29" s="148"/>
      <c r="X29" s="148"/>
      <c r="Y29" s="148"/>
    </row>
    <row r="30" spans="1:25" ht="16.5" customHeight="1">
      <c r="B30" s="310"/>
      <c r="C30" s="310"/>
      <c r="D30" s="36" t="str">
        <f>IF(ROUNDDOWN($D$29,0)=$Q$9,$S$9,$R$9)</f>
        <v>　レベル　1</v>
      </c>
      <c r="E30" s="526" t="s">
        <v>863</v>
      </c>
      <c r="F30" s="524"/>
      <c r="G30" s="524"/>
      <c r="H30" s="524"/>
      <c r="I30" s="524"/>
      <c r="J30" s="524"/>
      <c r="K30" s="524"/>
      <c r="L30" s="524"/>
      <c r="M30" s="525"/>
      <c r="N30" s="30"/>
      <c r="O30" s="146"/>
      <c r="P30" s="318">
        <f>$Q$9</f>
        <v>1</v>
      </c>
      <c r="Q30" s="146"/>
      <c r="R30" s="148"/>
      <c r="S30" s="148"/>
      <c r="T30" s="148"/>
      <c r="U30" s="318">
        <f>$Q$9</f>
        <v>1</v>
      </c>
      <c r="V30" s="148"/>
      <c r="W30" s="148"/>
      <c r="X30" s="148"/>
      <c r="Y30" s="148"/>
    </row>
    <row r="31" spans="1:25" ht="16.5" customHeight="1">
      <c r="B31" s="310"/>
      <c r="C31" s="310"/>
      <c r="D31" s="39" t="str">
        <f>IF(ROUNDDOWN($D$29,0)=$Q$10,$S$10,$R$10)</f>
        <v>　レベル　2</v>
      </c>
      <c r="E31" s="527" t="s">
        <v>864</v>
      </c>
      <c r="F31" s="517"/>
      <c r="G31" s="517"/>
      <c r="H31" s="517"/>
      <c r="I31" s="517"/>
      <c r="J31" s="517"/>
      <c r="K31" s="517"/>
      <c r="L31" s="517"/>
      <c r="M31" s="518"/>
      <c r="N31" s="30"/>
      <c r="O31" s="146"/>
      <c r="P31" s="318">
        <f>$Q$10</f>
        <v>2</v>
      </c>
      <c r="Q31" s="146"/>
      <c r="R31" s="148"/>
      <c r="S31" s="148"/>
      <c r="T31" s="148"/>
      <c r="U31" s="318">
        <f>$Q$10</f>
        <v>2</v>
      </c>
      <c r="V31" s="148"/>
      <c r="W31" s="148"/>
      <c r="X31" s="148"/>
      <c r="Y31" s="148"/>
    </row>
    <row r="32" spans="1:25" ht="16.5" customHeight="1">
      <c r="B32" s="310"/>
      <c r="C32" s="310"/>
      <c r="D32" s="39" t="str">
        <f>IF(ROUNDDOWN($D$29,0)=$Q$11,$S$11,$R$11)</f>
        <v>■レベル　3</v>
      </c>
      <c r="E32" s="527" t="s">
        <v>865</v>
      </c>
      <c r="F32" s="517"/>
      <c r="G32" s="517"/>
      <c r="H32" s="517"/>
      <c r="I32" s="517"/>
      <c r="J32" s="517"/>
      <c r="K32" s="517"/>
      <c r="L32" s="517"/>
      <c r="M32" s="518"/>
      <c r="N32" s="30"/>
      <c r="O32" s="146"/>
      <c r="P32" s="318">
        <f>$Q$11</f>
        <v>3</v>
      </c>
      <c r="Q32" s="146"/>
      <c r="R32" s="148"/>
      <c r="S32" s="148"/>
      <c r="T32" s="148"/>
      <c r="U32" s="318">
        <f>$Q$11</f>
        <v>3</v>
      </c>
      <c r="V32" s="148"/>
      <c r="W32" s="148"/>
      <c r="X32" s="148"/>
      <c r="Y32" s="148"/>
    </row>
    <row r="33" spans="1:25" ht="16.5" customHeight="1">
      <c r="B33" s="310"/>
      <c r="C33" s="310"/>
      <c r="D33" s="39" t="str">
        <f>IF(ROUNDDOWN($D$29,0)=$Q$12,$S$12,$R$12)</f>
        <v>　レベル　4</v>
      </c>
      <c r="E33" s="527" t="s">
        <v>866</v>
      </c>
      <c r="F33" s="517"/>
      <c r="G33" s="517"/>
      <c r="H33" s="517"/>
      <c r="I33" s="517"/>
      <c r="J33" s="517"/>
      <c r="K33" s="517"/>
      <c r="L33" s="517"/>
      <c r="M33" s="518"/>
      <c r="N33" s="30"/>
      <c r="O33" s="146"/>
      <c r="P33" s="318">
        <f>$Q$12</f>
        <v>4</v>
      </c>
      <c r="Q33" s="146"/>
      <c r="R33" s="148"/>
      <c r="S33" s="148"/>
      <c r="T33" s="148"/>
      <c r="U33" s="318">
        <f>$Q$12</f>
        <v>4</v>
      </c>
      <c r="V33" s="148"/>
      <c r="W33" s="148"/>
      <c r="X33" s="148"/>
      <c r="Y33" s="148"/>
    </row>
    <row r="34" spans="1:25" ht="16.5" customHeight="1">
      <c r="B34" s="310"/>
      <c r="C34" s="310"/>
      <c r="D34" s="37" t="str">
        <f>IF(ROUNDDOWN($D$29,0)=$Q$13,$S$13,$R$13)</f>
        <v>　レベル　5</v>
      </c>
      <c r="E34" s="528" t="s">
        <v>867</v>
      </c>
      <c r="F34" s="513"/>
      <c r="G34" s="513"/>
      <c r="H34" s="513"/>
      <c r="I34" s="513"/>
      <c r="J34" s="513"/>
      <c r="K34" s="513"/>
      <c r="L34" s="513"/>
      <c r="M34" s="514"/>
      <c r="N34" s="30"/>
      <c r="O34" s="146"/>
      <c r="P34" s="318">
        <f>$Q$13</f>
        <v>5</v>
      </c>
      <c r="Q34" s="146"/>
      <c r="R34" s="148"/>
      <c r="S34" s="148"/>
      <c r="T34" s="148"/>
      <c r="U34" s="318">
        <f>$Q$13</f>
        <v>5</v>
      </c>
      <c r="V34" s="148"/>
      <c r="W34" s="148"/>
      <c r="X34" s="148"/>
      <c r="Y34" s="148"/>
    </row>
    <row r="35" spans="1:25" s="148" customFormat="1" ht="8.25" customHeight="1">
      <c r="A35" s="55"/>
      <c r="B35" s="168"/>
      <c r="C35" s="611"/>
      <c r="D35" s="313"/>
      <c r="E35" s="313"/>
      <c r="F35" s="2"/>
      <c r="G35" s="2"/>
      <c r="H35" s="2"/>
      <c r="I35" s="2"/>
      <c r="J35" s="2"/>
      <c r="K35" s="2"/>
      <c r="L35" s="2"/>
      <c r="M35" s="2"/>
      <c r="N35" s="154"/>
      <c r="P35" s="588" t="s">
        <v>75</v>
      </c>
      <c r="Q35" s="328" t="s">
        <v>99</v>
      </c>
      <c r="R35" s="5"/>
      <c r="S35" s="5"/>
      <c r="T35" s="136"/>
    </row>
    <row r="36" spans="1:25" s="148" customFormat="1" ht="21" customHeight="1">
      <c r="A36" s="55"/>
      <c r="B36" s="168"/>
      <c r="C36" s="611"/>
      <c r="E36" s="786" t="s">
        <v>3</v>
      </c>
      <c r="F36" s="787"/>
      <c r="G36" s="1242"/>
      <c r="H36" s="1242"/>
      <c r="I36" s="1241"/>
      <c r="J36" s="1243"/>
      <c r="K36" s="1243"/>
      <c r="L36" s="1243"/>
      <c r="M36" s="1244"/>
      <c r="N36" s="154"/>
      <c r="P36" s="619"/>
      <c r="Q36" s="328"/>
      <c r="R36" s="5"/>
      <c r="S36" s="5"/>
      <c r="T36" s="136"/>
      <c r="U36" s="619"/>
      <c r="V36" s="136"/>
      <c r="W36" s="136"/>
      <c r="X36" s="136"/>
      <c r="Y36" s="136"/>
    </row>
    <row r="37" spans="1:25" ht="15.75">
      <c r="B37" s="310"/>
      <c r="C37" s="385"/>
      <c r="D37" s="385"/>
      <c r="E37" s="530"/>
      <c r="F37" s="530"/>
      <c r="G37" s="530"/>
      <c r="H37" s="530"/>
      <c r="I37" s="530"/>
      <c r="J37" s="530"/>
      <c r="K37" s="530"/>
      <c r="L37" s="530"/>
      <c r="M37" s="530"/>
      <c r="N37" s="30"/>
      <c r="O37" s="41"/>
      <c r="P37" s="384"/>
      <c r="Q37" s="41"/>
      <c r="R37" s="41"/>
      <c r="S37" s="41"/>
      <c r="T37" s="41"/>
      <c r="U37" s="384"/>
      <c r="V37" s="41"/>
      <c r="W37" s="41"/>
      <c r="X37" s="41"/>
      <c r="Y37" s="41"/>
    </row>
    <row r="38" spans="1:25" ht="15.75">
      <c r="B38" s="1094">
        <v>2.2000000000000002</v>
      </c>
      <c r="C38" s="34" t="s">
        <v>580</v>
      </c>
      <c r="D38" s="385"/>
      <c r="E38" s="530"/>
      <c r="F38" s="530"/>
      <c r="G38" s="530"/>
      <c r="H38" s="530"/>
      <c r="I38" s="530"/>
      <c r="J38" s="530"/>
      <c r="K38" s="530"/>
      <c r="L38" s="530"/>
      <c r="M38" s="530"/>
      <c r="N38" s="30"/>
      <c r="O38" s="41"/>
      <c r="P38" s="384"/>
      <c r="Q38" s="41"/>
      <c r="R38" s="41"/>
      <c r="S38" s="41"/>
      <c r="T38" s="41"/>
      <c r="U38" s="384"/>
      <c r="V38" s="41"/>
      <c r="W38" s="41"/>
      <c r="X38" s="41"/>
      <c r="Y38" s="41"/>
    </row>
    <row r="39" spans="1:25" ht="16.5" customHeight="1" thickBot="1">
      <c r="D39" s="159"/>
      <c r="E39" s="159"/>
      <c r="F39" s="55"/>
      <c r="G39" s="529"/>
      <c r="H39" s="55"/>
      <c r="I39" s="55"/>
      <c r="J39" s="55"/>
      <c r="K39" s="154"/>
      <c r="L39" s="180" t="s">
        <v>2</v>
      </c>
      <c r="M39" s="377">
        <f>重み!M48</f>
        <v>0.35</v>
      </c>
      <c r="N39" s="33"/>
      <c r="O39" s="148">
        <f>B38</f>
        <v>2.2000000000000002</v>
      </c>
      <c r="P39" s="148" t="str">
        <f>C38</f>
        <v>生物の生息環境の確保</v>
      </c>
      <c r="Q39" s="148">
        <f t="shared" ref="Q39:Y39" si="2">E39</f>
        <v>0</v>
      </c>
      <c r="R39" s="148">
        <f t="shared" si="2"/>
        <v>0</v>
      </c>
      <c r="S39" s="148">
        <f t="shared" si="2"/>
        <v>0</v>
      </c>
      <c r="T39" s="148">
        <f t="shared" si="2"/>
        <v>0</v>
      </c>
      <c r="U39" s="148">
        <f t="shared" si="2"/>
        <v>0</v>
      </c>
      <c r="V39" s="148">
        <f t="shared" si="2"/>
        <v>0</v>
      </c>
      <c r="W39" s="148">
        <f t="shared" si="2"/>
        <v>0</v>
      </c>
      <c r="X39" s="148" t="str">
        <f t="shared" si="2"/>
        <v>重み係数＝</v>
      </c>
      <c r="Y39" s="148">
        <f t="shared" si="2"/>
        <v>0.35</v>
      </c>
    </row>
    <row r="40" spans="1:25" ht="16.5" customHeight="1" thickBot="1">
      <c r="B40" s="310"/>
      <c r="C40" s="310"/>
      <c r="D40" s="1078">
        <f>ROUND(IF(F53=0,1,IF(F53&lt;=2,3,IF(F53&gt;=3,5))),0)</f>
        <v>3</v>
      </c>
      <c r="E40" s="2349" t="s">
        <v>467</v>
      </c>
      <c r="F40" s="2350"/>
      <c r="G40" s="2350"/>
      <c r="H40" s="2350"/>
      <c r="I40" s="2350"/>
      <c r="J40" s="2350"/>
      <c r="K40" s="2350"/>
      <c r="L40" s="2350"/>
      <c r="M40" s="2351"/>
      <c r="N40" s="30"/>
      <c r="O40" s="146"/>
      <c r="P40" s="146"/>
      <c r="Q40" s="146"/>
      <c r="R40" s="148"/>
      <c r="S40" s="148"/>
      <c r="T40" s="148"/>
      <c r="U40" s="556"/>
      <c r="V40" s="148"/>
      <c r="W40" s="148"/>
      <c r="X40" s="148"/>
      <c r="Y40" s="148"/>
    </row>
    <row r="41" spans="1:25" ht="16.5" customHeight="1">
      <c r="B41" s="310"/>
      <c r="C41" s="310"/>
      <c r="D41" s="36" t="str">
        <f>IF(ROUNDDOWN($D$40,0)=$Q$9,$S$9,$R$9)</f>
        <v>　レベル　1</v>
      </c>
      <c r="E41" s="526" t="s">
        <v>819</v>
      </c>
      <c r="F41" s="524"/>
      <c r="G41" s="524"/>
      <c r="H41" s="524"/>
      <c r="I41" s="524"/>
      <c r="J41" s="524"/>
      <c r="K41" s="524"/>
      <c r="L41" s="524"/>
      <c r="M41" s="525"/>
      <c r="N41" s="30"/>
      <c r="O41" s="146"/>
      <c r="P41" s="318">
        <f>$Q$9</f>
        <v>1</v>
      </c>
      <c r="Q41" s="146"/>
      <c r="R41" s="148"/>
      <c r="S41" s="148"/>
      <c r="T41" s="148"/>
      <c r="U41" s="318">
        <f>$Q$9</f>
        <v>1</v>
      </c>
      <c r="V41" s="148"/>
      <c r="W41" s="148"/>
      <c r="X41" s="148"/>
      <c r="Y41" s="148"/>
    </row>
    <row r="42" spans="1:25" ht="16.5" customHeight="1">
      <c r="B42" s="310"/>
      <c r="C42" s="310"/>
      <c r="D42" s="39" t="str">
        <f>IF(ROUNDDOWN($D$40,0)=$Q$10,$S$10,$R$10)</f>
        <v>　レベル　2</v>
      </c>
      <c r="E42" s="527" t="s">
        <v>459</v>
      </c>
      <c r="F42" s="517"/>
      <c r="G42" s="517"/>
      <c r="H42" s="517"/>
      <c r="I42" s="517"/>
      <c r="J42" s="517"/>
      <c r="K42" s="517"/>
      <c r="L42" s="517"/>
      <c r="M42" s="518"/>
      <c r="N42" s="30"/>
      <c r="O42" s="146"/>
      <c r="P42" s="318" t="s">
        <v>884</v>
      </c>
      <c r="Q42" s="146"/>
      <c r="R42" s="148"/>
      <c r="S42" s="148"/>
      <c r="T42" s="148"/>
      <c r="U42" s="318">
        <f>$Q$10</f>
        <v>2</v>
      </c>
      <c r="V42" s="148"/>
      <c r="W42" s="148"/>
      <c r="X42" s="148"/>
      <c r="Y42" s="148"/>
    </row>
    <row r="43" spans="1:25" ht="16.5" customHeight="1">
      <c r="B43" s="310"/>
      <c r="C43" s="310"/>
      <c r="D43" s="39" t="str">
        <f>IF(ROUNDDOWN($D$40,0)=$Q$11,$S$11,$R$11)</f>
        <v>■レベル　3</v>
      </c>
      <c r="E43" s="527" t="s">
        <v>15</v>
      </c>
      <c r="F43" s="517"/>
      <c r="G43" s="517"/>
      <c r="H43" s="517"/>
      <c r="I43" s="517"/>
      <c r="J43" s="517"/>
      <c r="K43" s="517"/>
      <c r="L43" s="517"/>
      <c r="M43" s="518"/>
      <c r="N43" s="30"/>
      <c r="O43" s="146"/>
      <c r="P43" s="318">
        <f>$Q$11</f>
        <v>3</v>
      </c>
      <c r="Q43" s="146"/>
      <c r="R43" s="148"/>
      <c r="S43" s="148"/>
      <c r="T43" s="148"/>
      <c r="U43" s="318">
        <f>$Q$11</f>
        <v>3</v>
      </c>
      <c r="V43" s="148"/>
      <c r="W43" s="148"/>
      <c r="X43" s="148"/>
      <c r="Y43" s="148"/>
    </row>
    <row r="44" spans="1:25" ht="16.5" customHeight="1">
      <c r="B44" s="310"/>
      <c r="C44" s="310"/>
      <c r="D44" s="39" t="str">
        <f>IF(ROUNDDOWN($D$40,0)=$Q$12,$S$12,$R$12)</f>
        <v>　レベル　4</v>
      </c>
      <c r="E44" s="527" t="s">
        <v>459</v>
      </c>
      <c r="F44" s="517"/>
      <c r="G44" s="517"/>
      <c r="H44" s="517"/>
      <c r="I44" s="517"/>
      <c r="J44" s="517"/>
      <c r="K44" s="517"/>
      <c r="L44" s="517"/>
      <c r="M44" s="518"/>
      <c r="N44" s="30"/>
      <c r="O44" s="146"/>
      <c r="P44" s="318" t="s">
        <v>884</v>
      </c>
      <c r="Q44" s="146"/>
      <c r="R44" s="148"/>
      <c r="S44" s="148"/>
      <c r="T44" s="148"/>
      <c r="U44" s="318">
        <f>$Q$12</f>
        <v>4</v>
      </c>
      <c r="V44" s="148"/>
      <c r="W44" s="148"/>
      <c r="X44" s="148"/>
      <c r="Y44" s="148"/>
    </row>
    <row r="45" spans="1:25" ht="16.5" customHeight="1">
      <c r="B45" s="310"/>
      <c r="C45" s="310"/>
      <c r="D45" s="37" t="str">
        <f>IF(ROUNDDOWN($D$40,0)=$Q$13,$S$13,$R$13)</f>
        <v>　レベル　5</v>
      </c>
      <c r="E45" s="528" t="s">
        <v>16</v>
      </c>
      <c r="F45" s="513"/>
      <c r="G45" s="513"/>
      <c r="H45" s="513"/>
      <c r="I45" s="513"/>
      <c r="J45" s="513"/>
      <c r="K45" s="513"/>
      <c r="L45" s="513"/>
      <c r="M45" s="514"/>
      <c r="N45" s="30"/>
      <c r="O45" s="146"/>
      <c r="P45" s="318">
        <f>$Q$13</f>
        <v>5</v>
      </c>
      <c r="Q45" s="146"/>
      <c r="R45" s="148"/>
      <c r="S45" s="148"/>
      <c r="T45" s="148"/>
      <c r="U45" s="318">
        <f>$Q$13</f>
        <v>5</v>
      </c>
      <c r="V45" s="148"/>
      <c r="W45" s="148"/>
      <c r="X45" s="148"/>
      <c r="Y45" s="148"/>
    </row>
    <row r="46" spans="1:25" ht="16.5" customHeight="1">
      <c r="B46" s="310"/>
      <c r="C46" s="310"/>
      <c r="D46" s="385"/>
      <c r="E46" s="156" t="s">
        <v>14</v>
      </c>
      <c r="F46" s="55"/>
      <c r="G46" s="155"/>
      <c r="H46" s="44"/>
      <c r="I46" s="44"/>
      <c r="J46" s="55"/>
      <c r="K46" s="55"/>
      <c r="L46" s="55"/>
      <c r="M46" s="55"/>
      <c r="N46" s="30"/>
      <c r="O46" s="146"/>
      <c r="P46" s="325" t="s">
        <v>884</v>
      </c>
      <c r="Q46" s="41"/>
      <c r="R46" s="41"/>
      <c r="S46" s="41"/>
      <c r="T46" s="41"/>
      <c r="U46" s="325">
        <f>$Q$14</f>
        <v>0</v>
      </c>
      <c r="V46" s="41"/>
      <c r="W46" s="41"/>
      <c r="X46" s="41"/>
      <c r="Y46" s="41"/>
    </row>
    <row r="47" spans="1:25" ht="16.5" customHeight="1" thickBot="1">
      <c r="B47" s="310"/>
      <c r="C47" s="310"/>
      <c r="D47" s="385"/>
      <c r="E47" s="144" t="s">
        <v>855</v>
      </c>
      <c r="F47" s="169" t="s">
        <v>856</v>
      </c>
      <c r="G47" s="549" t="s">
        <v>868</v>
      </c>
      <c r="H47" s="550"/>
      <c r="I47" s="550"/>
      <c r="J47" s="550"/>
      <c r="K47" s="550"/>
      <c r="L47" s="550"/>
      <c r="M47" s="551"/>
      <c r="N47" s="30"/>
      <c r="O47" s="146"/>
      <c r="P47" s="41"/>
      <c r="Q47" s="41"/>
      <c r="R47" s="41"/>
      <c r="S47" s="41"/>
      <c r="T47" s="41"/>
      <c r="U47" s="41"/>
      <c r="V47" s="41"/>
      <c r="W47" s="41"/>
      <c r="X47" s="41"/>
      <c r="Y47" s="41"/>
    </row>
    <row r="48" spans="1:25" ht="16.5" customHeight="1">
      <c r="B48" s="310"/>
      <c r="C48" s="30"/>
      <c r="D48" s="385"/>
      <c r="E48" s="379"/>
      <c r="F48" s="516">
        <v>1</v>
      </c>
      <c r="G48" s="545" t="s">
        <v>275</v>
      </c>
      <c r="H48" s="546"/>
      <c r="I48" s="546" t="s">
        <v>280</v>
      </c>
      <c r="J48" s="546"/>
      <c r="K48" s="546"/>
      <c r="L48" s="546"/>
      <c r="M48" s="534"/>
      <c r="N48" s="30"/>
      <c r="O48" s="146"/>
      <c r="P48" s="41"/>
      <c r="Q48" s="41"/>
      <c r="R48" s="41"/>
      <c r="S48" s="41"/>
      <c r="T48" s="41"/>
      <c r="U48" s="41"/>
      <c r="V48" s="41"/>
      <c r="W48" s="41"/>
      <c r="X48" s="41"/>
      <c r="Y48" s="41"/>
    </row>
    <row r="49" spans="1:25" ht="16.5" customHeight="1">
      <c r="B49" s="310"/>
      <c r="C49" s="30"/>
      <c r="D49" s="385"/>
      <c r="E49" s="537" t="s">
        <v>763</v>
      </c>
      <c r="F49" s="552">
        <v>2</v>
      </c>
      <c r="G49" s="539" t="s">
        <v>276</v>
      </c>
      <c r="H49" s="538"/>
      <c r="I49" s="538" t="s">
        <v>733</v>
      </c>
      <c r="J49" s="538"/>
      <c r="K49" s="538"/>
      <c r="L49" s="538"/>
      <c r="M49" s="542"/>
      <c r="N49" s="30"/>
      <c r="O49" s="146"/>
      <c r="P49" s="41"/>
      <c r="Q49" s="41"/>
      <c r="R49" s="41"/>
      <c r="S49" s="41"/>
      <c r="T49" s="41"/>
      <c r="U49" s="41"/>
      <c r="V49" s="41"/>
      <c r="W49" s="41"/>
      <c r="X49" s="41"/>
      <c r="Y49" s="41"/>
    </row>
    <row r="50" spans="1:25" ht="16.5" customHeight="1">
      <c r="B50" s="310"/>
      <c r="C50" s="30"/>
      <c r="D50" s="385"/>
      <c r="E50" s="537"/>
      <c r="F50" s="552">
        <v>3</v>
      </c>
      <c r="G50" s="539" t="s">
        <v>277</v>
      </c>
      <c r="H50" s="538"/>
      <c r="I50" s="541" t="s">
        <v>17</v>
      </c>
      <c r="J50" s="541"/>
      <c r="K50" s="541"/>
      <c r="L50" s="541"/>
      <c r="M50" s="543"/>
      <c r="N50" s="30"/>
      <c r="O50" s="146"/>
      <c r="P50" s="41"/>
      <c r="Q50" s="41"/>
      <c r="R50" s="41"/>
      <c r="S50" s="41"/>
      <c r="T50" s="41"/>
      <c r="U50" s="41"/>
      <c r="V50" s="41"/>
      <c r="W50" s="41"/>
      <c r="X50" s="41"/>
      <c r="Y50" s="41"/>
    </row>
    <row r="51" spans="1:25" ht="16.5" customHeight="1">
      <c r="B51" s="310"/>
      <c r="C51" s="30"/>
      <c r="D51" s="385"/>
      <c r="E51" s="537"/>
      <c r="F51" s="553">
        <v>4</v>
      </c>
      <c r="G51" s="539" t="s">
        <v>279</v>
      </c>
      <c r="H51" s="538"/>
      <c r="I51" s="538" t="s">
        <v>18</v>
      </c>
      <c r="J51" s="538"/>
      <c r="K51" s="538"/>
      <c r="L51" s="538"/>
      <c r="M51" s="542"/>
      <c r="N51" s="30"/>
      <c r="O51" s="146"/>
      <c r="P51" s="41"/>
      <c r="Q51" s="41"/>
      <c r="R51" s="41"/>
      <c r="S51" s="41"/>
      <c r="T51" s="41"/>
      <c r="U51" s="41"/>
      <c r="V51" s="41"/>
      <c r="W51" s="41"/>
      <c r="X51" s="41"/>
      <c r="Y51" s="41"/>
    </row>
    <row r="52" spans="1:25" ht="16.5" customHeight="1" thickBot="1">
      <c r="B52" s="310"/>
      <c r="C52" s="30"/>
      <c r="D52" s="385"/>
      <c r="E52" s="380" t="s">
        <v>763</v>
      </c>
      <c r="F52" s="554">
        <v>5</v>
      </c>
      <c r="G52" s="565" t="s">
        <v>278</v>
      </c>
      <c r="H52" s="547"/>
      <c r="I52" s="532" t="s">
        <v>869</v>
      </c>
      <c r="J52" s="532"/>
      <c r="K52" s="532"/>
      <c r="L52" s="532"/>
      <c r="M52" s="531"/>
      <c r="N52" s="30"/>
      <c r="O52" s="146"/>
      <c r="P52" s="41"/>
      <c r="Q52" s="41"/>
      <c r="R52" s="41"/>
      <c r="S52" s="41"/>
      <c r="T52" s="41"/>
      <c r="U52" s="41"/>
      <c r="V52" s="41"/>
      <c r="W52" s="41"/>
      <c r="X52" s="41"/>
      <c r="Y52" s="41"/>
    </row>
    <row r="53" spans="1:25" ht="16.5" customHeight="1">
      <c r="B53" s="310"/>
      <c r="C53" s="30"/>
      <c r="D53" s="385"/>
      <c r="E53" s="600" t="s">
        <v>862</v>
      </c>
      <c r="F53" s="1045">
        <f>COUNTIF(E48:E52,"○")</f>
        <v>2</v>
      </c>
      <c r="G53" s="519"/>
      <c r="H53" s="519"/>
      <c r="I53" s="143"/>
      <c r="J53" s="143"/>
      <c r="K53" s="143"/>
      <c r="L53" s="481"/>
      <c r="M53" s="544"/>
      <c r="N53" s="30"/>
      <c r="O53" s="146"/>
      <c r="P53" s="41"/>
      <c r="Q53" s="41"/>
      <c r="R53" s="41"/>
      <c r="S53" s="41"/>
      <c r="T53" s="41"/>
      <c r="U53" s="41"/>
      <c r="V53" s="41"/>
      <c r="W53" s="41"/>
      <c r="X53" s="41"/>
      <c r="Y53" s="41"/>
    </row>
    <row r="54" spans="1:25" s="148" customFormat="1" ht="8.25" customHeight="1">
      <c r="A54" s="55"/>
      <c r="B54" s="168"/>
      <c r="C54" s="611"/>
      <c r="D54" s="313"/>
      <c r="E54" s="313"/>
      <c r="F54" s="2"/>
      <c r="G54" s="2"/>
      <c r="H54" s="2"/>
      <c r="I54" s="2"/>
      <c r="J54" s="2"/>
      <c r="K54" s="2"/>
      <c r="L54" s="2"/>
      <c r="M54" s="2"/>
      <c r="N54" s="154"/>
      <c r="P54" s="588" t="s">
        <v>75</v>
      </c>
      <c r="Q54" s="328" t="s">
        <v>99</v>
      </c>
      <c r="R54" s="5"/>
      <c r="S54" s="5"/>
      <c r="T54" s="136"/>
    </row>
    <row r="55" spans="1:25" s="148" customFormat="1" ht="21" customHeight="1">
      <c r="A55" s="55"/>
      <c r="B55" s="168"/>
      <c r="C55" s="611"/>
      <c r="E55" s="786" t="s">
        <v>3</v>
      </c>
      <c r="F55" s="787"/>
      <c r="G55" s="1242"/>
      <c r="H55" s="1242"/>
      <c r="I55" s="1241"/>
      <c r="J55" s="1243"/>
      <c r="K55" s="1243"/>
      <c r="L55" s="1243"/>
      <c r="M55" s="1244"/>
      <c r="N55" s="154"/>
      <c r="P55" s="619"/>
      <c r="Q55" s="328"/>
      <c r="R55" s="5"/>
      <c r="S55" s="5"/>
      <c r="T55" s="136"/>
      <c r="U55" s="619"/>
      <c r="V55" s="136"/>
      <c r="W55" s="136"/>
      <c r="X55" s="136"/>
      <c r="Y55" s="136"/>
    </row>
    <row r="56" spans="1:25" ht="15.75">
      <c r="B56" s="310"/>
      <c r="C56" s="30"/>
      <c r="D56" s="55"/>
      <c r="E56" s="55"/>
      <c r="F56" s="55"/>
      <c r="G56" s="55"/>
      <c r="H56" s="44"/>
      <c r="I56" s="44"/>
      <c r="J56" s="55"/>
      <c r="K56" s="55"/>
      <c r="L56" s="55"/>
      <c r="M56" s="55"/>
      <c r="N56" s="30"/>
      <c r="O56" s="146"/>
      <c r="P56" s="41"/>
      <c r="Q56" s="41"/>
      <c r="R56" s="41"/>
      <c r="S56" s="41"/>
      <c r="T56" s="41"/>
      <c r="U56" s="41"/>
      <c r="V56" s="41"/>
      <c r="W56" s="41"/>
      <c r="X56" s="41"/>
      <c r="Y56" s="41"/>
    </row>
    <row r="57" spans="1:25" ht="15.75">
      <c r="B57" s="1093">
        <v>3</v>
      </c>
      <c r="C57" s="34" t="s">
        <v>578</v>
      </c>
      <c r="D57" s="151"/>
      <c r="E57" s="154"/>
      <c r="F57" s="154"/>
      <c r="G57" s="48"/>
      <c r="H57" s="154"/>
      <c r="I57" s="154"/>
      <c r="J57" s="154"/>
      <c r="K57" s="154"/>
      <c r="L57" s="154"/>
      <c r="M57" s="154"/>
      <c r="N57" s="33"/>
      <c r="O57" s="146"/>
      <c r="P57" s="556"/>
      <c r="Q57" s="556"/>
      <c r="R57" s="556"/>
      <c r="S57" s="556"/>
      <c r="T57" s="556"/>
      <c r="U57" s="556"/>
      <c r="V57" s="556"/>
      <c r="W57" s="556"/>
      <c r="X57" s="556"/>
      <c r="Y57" s="556"/>
    </row>
    <row r="58" spans="1:25" ht="16.5" customHeight="1" thickBot="1">
      <c r="B58" s="151"/>
      <c r="C58" s="34"/>
      <c r="D58" s="159"/>
      <c r="E58" s="159"/>
      <c r="F58" s="55"/>
      <c r="G58" s="529"/>
      <c r="H58" s="55"/>
      <c r="I58" s="55"/>
      <c r="J58" s="55"/>
      <c r="K58" s="154"/>
      <c r="L58" s="180" t="s">
        <v>2</v>
      </c>
      <c r="M58" s="377">
        <f>重み!M49</f>
        <v>0.2</v>
      </c>
      <c r="N58" s="30"/>
      <c r="O58" s="148">
        <f t="shared" ref="O58:Y58" si="3">C58</f>
        <v>0</v>
      </c>
      <c r="P58" s="148">
        <f t="shared" si="3"/>
        <v>0</v>
      </c>
      <c r="Q58" s="148">
        <f t="shared" si="3"/>
        <v>0</v>
      </c>
      <c r="R58" s="148">
        <f t="shared" si="3"/>
        <v>0</v>
      </c>
      <c r="S58" s="148">
        <f t="shared" si="3"/>
        <v>0</v>
      </c>
      <c r="T58" s="148">
        <f t="shared" si="3"/>
        <v>0</v>
      </c>
      <c r="U58" s="148">
        <f t="shared" si="3"/>
        <v>0</v>
      </c>
      <c r="V58" s="148">
        <f t="shared" si="3"/>
        <v>0</v>
      </c>
      <c r="W58" s="148">
        <f t="shared" si="3"/>
        <v>0</v>
      </c>
      <c r="X58" s="148" t="str">
        <f t="shared" si="3"/>
        <v>重み係数＝</v>
      </c>
      <c r="Y58" s="148">
        <f t="shared" si="3"/>
        <v>0.2</v>
      </c>
    </row>
    <row r="59" spans="1:25" ht="16.5" customHeight="1" thickBot="1">
      <c r="B59" s="310"/>
      <c r="C59" s="310"/>
      <c r="D59" s="1078">
        <f>ROUND(IF(F73&lt;=1,3,IF(F73&lt;=2,4,5)),0)</f>
        <v>3</v>
      </c>
      <c r="E59" s="2349" t="s">
        <v>467</v>
      </c>
      <c r="F59" s="2350"/>
      <c r="G59" s="2350"/>
      <c r="H59" s="2350"/>
      <c r="I59" s="2350"/>
      <c r="J59" s="2350"/>
      <c r="K59" s="2350"/>
      <c r="L59" s="2350"/>
      <c r="M59" s="2351"/>
      <c r="N59" s="30"/>
      <c r="O59" s="146"/>
      <c r="P59" s="146"/>
      <c r="Q59" s="146"/>
      <c r="R59" s="148"/>
      <c r="S59" s="148"/>
      <c r="T59" s="148"/>
      <c r="U59" s="148"/>
      <c r="V59" s="148"/>
      <c r="W59" s="148"/>
      <c r="X59" s="148"/>
      <c r="Y59" s="148"/>
    </row>
    <row r="60" spans="1:25" ht="16.5" customHeight="1">
      <c r="B60" s="310"/>
      <c r="C60" s="310"/>
      <c r="D60" s="36" t="str">
        <f>IF(ROUNDDOWN($D$59,0)=$Q$9,$S$9,$R$9)</f>
        <v>　レベル　1</v>
      </c>
      <c r="E60" s="526" t="s">
        <v>459</v>
      </c>
      <c r="F60" s="524"/>
      <c r="G60" s="524"/>
      <c r="H60" s="524"/>
      <c r="I60" s="524"/>
      <c r="J60" s="524"/>
      <c r="K60" s="524"/>
      <c r="L60" s="524"/>
      <c r="M60" s="525"/>
      <c r="N60" s="30"/>
      <c r="O60" s="146"/>
      <c r="P60" s="318" t="s">
        <v>884</v>
      </c>
      <c r="Q60" s="146"/>
      <c r="R60" s="148"/>
      <c r="S60" s="148"/>
      <c r="T60" s="148"/>
      <c r="U60" s="318">
        <f>$Q$9</f>
        <v>1</v>
      </c>
      <c r="V60" s="148"/>
      <c r="W60" s="148"/>
      <c r="X60" s="148"/>
      <c r="Y60" s="148"/>
    </row>
    <row r="61" spans="1:25" ht="16.5" customHeight="1">
      <c r="B61" s="310"/>
      <c r="C61" s="310"/>
      <c r="D61" s="39" t="str">
        <f>IF(ROUNDDOWN($D$59,0)=$Q$10,$S$10,$R$10)</f>
        <v>　レベル　2</v>
      </c>
      <c r="E61" s="527" t="s">
        <v>459</v>
      </c>
      <c r="F61" s="517"/>
      <c r="G61" s="517"/>
      <c r="H61" s="517"/>
      <c r="I61" s="517"/>
      <c r="J61" s="517"/>
      <c r="K61" s="517"/>
      <c r="L61" s="517"/>
      <c r="M61" s="518"/>
      <c r="N61" s="30"/>
      <c r="O61" s="146"/>
      <c r="P61" s="318" t="s">
        <v>884</v>
      </c>
      <c r="Q61" s="146"/>
      <c r="R61" s="148"/>
      <c r="S61" s="148"/>
      <c r="T61" s="148"/>
      <c r="U61" s="318">
        <f>$Q$10</f>
        <v>2</v>
      </c>
      <c r="V61" s="148"/>
      <c r="W61" s="148"/>
      <c r="X61" s="148"/>
      <c r="Y61" s="148"/>
    </row>
    <row r="62" spans="1:25" ht="16.5" customHeight="1">
      <c r="B62" s="310"/>
      <c r="C62" s="310"/>
      <c r="D62" s="39" t="str">
        <f>IF(ROUNDDOWN($D$59,0)=$Q$11,$S$11,$R$11)</f>
        <v>■レベル　3</v>
      </c>
      <c r="E62" s="527" t="s">
        <v>958</v>
      </c>
      <c r="F62" s="517"/>
      <c r="G62" s="517"/>
      <c r="H62" s="517"/>
      <c r="I62" s="517"/>
      <c r="J62" s="517"/>
      <c r="K62" s="517"/>
      <c r="L62" s="517"/>
      <c r="M62" s="518"/>
      <c r="N62" s="30"/>
      <c r="O62" s="146"/>
      <c r="P62" s="318">
        <f>$Q$11</f>
        <v>3</v>
      </c>
      <c r="Q62" s="146"/>
      <c r="R62" s="148"/>
      <c r="S62" s="148"/>
      <c r="T62" s="148"/>
      <c r="U62" s="318">
        <f>$Q$11</f>
        <v>3</v>
      </c>
      <c r="V62" s="148"/>
      <c r="W62" s="148"/>
      <c r="X62" s="148"/>
      <c r="Y62" s="148"/>
    </row>
    <row r="63" spans="1:25" ht="16.5" customHeight="1">
      <c r="B63" s="310"/>
      <c r="C63" s="310"/>
      <c r="D63" s="39" t="str">
        <f>IF(ROUNDDOWN($D$59,0)=$Q$12,$S$12,$R$12)</f>
        <v>　レベル　4</v>
      </c>
      <c r="E63" s="527" t="s">
        <v>956</v>
      </c>
      <c r="F63" s="517"/>
      <c r="G63" s="517"/>
      <c r="H63" s="517"/>
      <c r="I63" s="517"/>
      <c r="J63" s="517"/>
      <c r="K63" s="517"/>
      <c r="L63" s="517"/>
      <c r="M63" s="518"/>
      <c r="N63" s="30"/>
      <c r="O63" s="146"/>
      <c r="P63" s="318">
        <f>$Q$12</f>
        <v>4</v>
      </c>
      <c r="Q63" s="146"/>
      <c r="R63" s="148"/>
      <c r="S63" s="148"/>
      <c r="T63" s="148"/>
      <c r="U63" s="318">
        <f>$Q$12</f>
        <v>4</v>
      </c>
      <c r="V63" s="148"/>
      <c r="W63" s="148"/>
      <c r="X63" s="148"/>
      <c r="Y63" s="148"/>
    </row>
    <row r="64" spans="1:25" ht="16.5" customHeight="1">
      <c r="B64" s="310"/>
      <c r="C64" s="310"/>
      <c r="D64" s="37" t="str">
        <f>IF(ROUNDDOWN($D$59,0)=$Q$13,$S$13,$R$13)</f>
        <v>　レベル　5</v>
      </c>
      <c r="E64" s="528" t="s">
        <v>957</v>
      </c>
      <c r="F64" s="513"/>
      <c r="G64" s="513"/>
      <c r="H64" s="513"/>
      <c r="I64" s="513"/>
      <c r="J64" s="513"/>
      <c r="K64" s="513"/>
      <c r="L64" s="513"/>
      <c r="M64" s="514"/>
      <c r="N64" s="30"/>
      <c r="O64" s="146"/>
      <c r="P64" s="318">
        <f>$Q$13</f>
        <v>5</v>
      </c>
      <c r="Q64" s="146"/>
      <c r="R64" s="148"/>
      <c r="S64" s="148"/>
      <c r="T64" s="148"/>
      <c r="U64" s="318">
        <f>$Q$13</f>
        <v>5</v>
      </c>
      <c r="V64" s="148"/>
      <c r="W64" s="148"/>
      <c r="X64" s="148"/>
      <c r="Y64" s="148"/>
    </row>
    <row r="65" spans="1:25" ht="16.5" customHeight="1">
      <c r="B65" s="55"/>
      <c r="C65" s="30"/>
      <c r="D65" s="30"/>
      <c r="E65" s="156" t="s">
        <v>14</v>
      </c>
      <c r="F65" s="55"/>
      <c r="G65" s="155"/>
      <c r="H65" s="44"/>
      <c r="I65" s="44"/>
      <c r="J65" s="55"/>
      <c r="K65" s="55"/>
      <c r="L65" s="55"/>
      <c r="M65" s="55"/>
      <c r="N65" s="30"/>
      <c r="O65" s="41"/>
      <c r="P65" s="325" t="s">
        <v>884</v>
      </c>
      <c r="Q65" s="41"/>
      <c r="R65" s="41"/>
      <c r="S65" s="41"/>
      <c r="T65" s="41"/>
      <c r="U65" s="325">
        <f>$Q$14</f>
        <v>0</v>
      </c>
      <c r="V65" s="41"/>
      <c r="W65" s="41"/>
      <c r="X65" s="41"/>
      <c r="Y65" s="41"/>
    </row>
    <row r="66" spans="1:25" ht="16.5" thickBot="1">
      <c r="B66" s="310"/>
      <c r="C66" s="385"/>
      <c r="D66" s="385"/>
      <c r="E66" s="144" t="s">
        <v>855</v>
      </c>
      <c r="F66" s="1049" t="s">
        <v>19</v>
      </c>
      <c r="G66" s="515" t="s">
        <v>856</v>
      </c>
      <c r="H66" s="2375" t="s">
        <v>762</v>
      </c>
      <c r="I66" s="2376"/>
      <c r="J66" s="2376"/>
      <c r="K66" s="2376"/>
      <c r="L66" s="2376"/>
      <c r="M66" s="2377"/>
      <c r="N66" s="30"/>
      <c r="O66" s="41"/>
      <c r="P66" s="41"/>
      <c r="Q66" s="41"/>
      <c r="R66" s="41"/>
      <c r="S66" s="41"/>
      <c r="T66" s="41"/>
      <c r="U66" s="41"/>
      <c r="V66" s="41"/>
      <c r="W66" s="41"/>
      <c r="X66" s="41"/>
      <c r="Y66" s="41"/>
    </row>
    <row r="67" spans="1:25" ht="15.75">
      <c r="B67" s="310"/>
      <c r="C67" s="385"/>
      <c r="D67" s="385"/>
      <c r="E67" s="379" t="s">
        <v>763</v>
      </c>
      <c r="F67" s="2394" t="s">
        <v>709</v>
      </c>
      <c r="G67" s="744">
        <v>1</v>
      </c>
      <c r="H67" s="545" t="s">
        <v>181</v>
      </c>
      <c r="I67" s="546"/>
      <c r="J67" s="546"/>
      <c r="K67" s="546"/>
      <c r="L67" s="546"/>
      <c r="M67" s="534"/>
      <c r="N67" s="30"/>
      <c r="O67" s="41"/>
      <c r="P67" s="41"/>
      <c r="Q67" s="41"/>
      <c r="R67" s="41"/>
      <c r="S67" s="41"/>
      <c r="T67" s="41"/>
      <c r="U67" s="41"/>
      <c r="V67" s="41"/>
      <c r="W67" s="41"/>
      <c r="X67" s="41"/>
      <c r="Y67" s="41"/>
    </row>
    <row r="68" spans="1:25" ht="15.75">
      <c r="B68" s="310"/>
      <c r="C68" s="385"/>
      <c r="D68" s="385"/>
      <c r="E68" s="537"/>
      <c r="F68" s="2402"/>
      <c r="G68" s="579">
        <v>2</v>
      </c>
      <c r="H68" s="539" t="s">
        <v>870</v>
      </c>
      <c r="I68" s="538"/>
      <c r="J68" s="538"/>
      <c r="K68" s="538"/>
      <c r="L68" s="538"/>
      <c r="M68" s="542"/>
      <c r="N68" s="30"/>
      <c r="O68" s="41"/>
      <c r="P68" s="41"/>
      <c r="Q68" s="41"/>
      <c r="R68" s="41"/>
      <c r="S68" s="41"/>
      <c r="T68" s="41"/>
      <c r="U68" s="41"/>
      <c r="V68" s="41"/>
      <c r="W68" s="41"/>
      <c r="X68" s="41"/>
      <c r="Y68" s="41"/>
    </row>
    <row r="69" spans="1:25" ht="15.75">
      <c r="B69" s="310"/>
      <c r="C69" s="385"/>
      <c r="D69" s="385"/>
      <c r="E69" s="537"/>
      <c r="F69" s="2403"/>
      <c r="G69" s="579">
        <v>3</v>
      </c>
      <c r="H69" s="539" t="s">
        <v>182</v>
      </c>
      <c r="I69" s="538"/>
      <c r="J69" s="538"/>
      <c r="K69" s="538"/>
      <c r="L69" s="538"/>
      <c r="M69" s="542"/>
      <c r="N69" s="30"/>
      <c r="O69" s="41"/>
      <c r="P69" s="41"/>
      <c r="Q69" s="41"/>
      <c r="R69" s="41"/>
      <c r="S69" s="41"/>
      <c r="T69" s="41"/>
      <c r="U69" s="41"/>
      <c r="V69" s="41"/>
      <c r="W69" s="41"/>
      <c r="X69" s="41"/>
      <c r="Y69" s="41"/>
    </row>
    <row r="70" spans="1:25" ht="15.75">
      <c r="B70" s="310"/>
      <c r="C70" s="385"/>
      <c r="D70" s="385"/>
      <c r="E70" s="537"/>
      <c r="F70" s="2404" t="s">
        <v>161</v>
      </c>
      <c r="G70" s="1360">
        <v>4</v>
      </c>
      <c r="H70" s="539" t="s">
        <v>160</v>
      </c>
      <c r="I70" s="538"/>
      <c r="J70" s="538"/>
      <c r="K70" s="538"/>
      <c r="L70" s="538"/>
      <c r="M70" s="542"/>
      <c r="N70" s="30"/>
      <c r="O70" s="41"/>
      <c r="P70" s="41"/>
      <c r="Q70" s="41"/>
      <c r="R70" s="41"/>
      <c r="S70" s="41"/>
      <c r="T70" s="41"/>
      <c r="U70" s="41"/>
      <c r="V70" s="41"/>
      <c r="W70" s="41"/>
      <c r="X70" s="41"/>
      <c r="Y70" s="41"/>
    </row>
    <row r="71" spans="1:25" ht="15.75">
      <c r="B71" s="310"/>
      <c r="C71" s="385"/>
      <c r="D71" s="385"/>
      <c r="E71" s="537"/>
      <c r="F71" s="2403"/>
      <c r="G71" s="579">
        <v>5</v>
      </c>
      <c r="H71" s="539" t="s">
        <v>183</v>
      </c>
      <c r="I71" s="538"/>
      <c r="J71" s="538"/>
      <c r="K71" s="538"/>
      <c r="L71" s="538"/>
      <c r="M71" s="542"/>
      <c r="N71" s="30"/>
      <c r="O71" s="41"/>
      <c r="P71" s="41"/>
      <c r="Q71" s="41"/>
      <c r="R71" s="41"/>
      <c r="S71" s="41"/>
      <c r="T71" s="41"/>
      <c r="U71" s="41"/>
      <c r="V71" s="41"/>
      <c r="W71" s="41"/>
      <c r="X71" s="41"/>
      <c r="Y71" s="41"/>
    </row>
    <row r="72" spans="1:25" ht="16.5" thickBot="1">
      <c r="B72" s="310"/>
      <c r="C72" s="385"/>
      <c r="D72" s="385"/>
      <c r="E72" s="380"/>
      <c r="F72" s="633" t="s">
        <v>917</v>
      </c>
      <c r="G72" s="579">
        <v>6</v>
      </c>
      <c r="H72" s="548" t="s">
        <v>113</v>
      </c>
      <c r="I72" s="532"/>
      <c r="J72" s="532"/>
      <c r="K72" s="532"/>
      <c r="L72" s="532"/>
      <c r="M72" s="531"/>
      <c r="N72" s="30"/>
      <c r="O72" s="41"/>
      <c r="P72" s="41"/>
      <c r="Q72" s="41"/>
      <c r="R72" s="41"/>
      <c r="S72" s="41"/>
      <c r="T72" s="41"/>
      <c r="U72" s="41"/>
      <c r="V72" s="41"/>
      <c r="W72" s="41"/>
      <c r="X72" s="41"/>
      <c r="Y72" s="41"/>
    </row>
    <row r="73" spans="1:25" ht="15.75">
      <c r="B73" s="310"/>
      <c r="C73" s="385"/>
      <c r="D73" s="385"/>
      <c r="E73" s="600" t="s">
        <v>862</v>
      </c>
      <c r="F73" s="1045">
        <f>COUNTIF(E67:E72,"○")</f>
        <v>1</v>
      </c>
      <c r="G73" s="510"/>
      <c r="H73" s="510"/>
      <c r="I73" s="374"/>
      <c r="J73" s="375"/>
      <c r="K73" s="374"/>
      <c r="L73" s="375"/>
      <c r="M73" s="376"/>
      <c r="N73" s="30"/>
      <c r="O73" s="41"/>
      <c r="P73" s="41"/>
      <c r="Q73" s="41"/>
      <c r="R73" s="41"/>
      <c r="S73" s="41"/>
      <c r="T73" s="41"/>
      <c r="U73" s="41"/>
      <c r="V73" s="41"/>
      <c r="W73" s="41"/>
      <c r="X73" s="41"/>
      <c r="Y73" s="41"/>
    </row>
    <row r="74" spans="1:25" s="148" customFormat="1" ht="8.25" customHeight="1">
      <c r="A74" s="55"/>
      <c r="B74" s="168"/>
      <c r="C74" s="611"/>
      <c r="D74" s="313"/>
      <c r="E74" s="313"/>
      <c r="F74" s="2"/>
      <c r="G74" s="2"/>
      <c r="H74" s="2"/>
      <c r="I74" s="2"/>
      <c r="J74" s="2"/>
      <c r="K74" s="2"/>
      <c r="L74" s="2"/>
      <c r="M74" s="2"/>
      <c r="N74" s="154"/>
      <c r="P74" s="588" t="s">
        <v>75</v>
      </c>
      <c r="Q74" s="328" t="s">
        <v>99</v>
      </c>
      <c r="R74" s="5"/>
      <c r="S74" s="5"/>
      <c r="T74" s="136"/>
    </row>
    <row r="75" spans="1:25" s="148" customFormat="1" ht="21" customHeight="1">
      <c r="A75" s="55"/>
      <c r="B75" s="168"/>
      <c r="C75" s="611"/>
      <c r="E75" s="786" t="s">
        <v>3</v>
      </c>
      <c r="F75" s="787"/>
      <c r="G75" s="1242"/>
      <c r="H75" s="1242"/>
      <c r="I75" s="1241"/>
      <c r="J75" s="1243"/>
      <c r="K75" s="1243"/>
      <c r="L75" s="1243"/>
      <c r="M75" s="1244"/>
      <c r="N75" s="154"/>
      <c r="P75" s="619"/>
      <c r="Q75" s="328"/>
      <c r="R75" s="5"/>
      <c r="S75" s="5"/>
      <c r="T75" s="136"/>
      <c r="U75" s="619"/>
      <c r="V75" s="136"/>
      <c r="W75" s="136"/>
      <c r="X75" s="136"/>
      <c r="Y75" s="136"/>
    </row>
    <row r="76" spans="1:25" ht="15.75">
      <c r="B76" s="310"/>
      <c r="C76" s="385"/>
      <c r="D76" s="385"/>
      <c r="E76" s="530"/>
      <c r="F76" s="530"/>
      <c r="G76" s="530"/>
      <c r="H76" s="530"/>
      <c r="I76" s="530"/>
      <c r="J76" s="530"/>
      <c r="K76" s="530"/>
      <c r="L76" s="530"/>
      <c r="M76" s="530"/>
      <c r="N76" s="530"/>
      <c r="O76" s="521"/>
      <c r="P76" s="41"/>
      <c r="Q76" s="41"/>
      <c r="R76" s="41"/>
      <c r="S76" s="41"/>
      <c r="T76" s="41"/>
      <c r="U76" s="41"/>
      <c r="V76" s="41"/>
      <c r="W76" s="41"/>
      <c r="X76" s="41"/>
      <c r="Y76" s="41"/>
    </row>
    <row r="77" spans="1:25" ht="15.75">
      <c r="B77" s="1093">
        <v>4</v>
      </c>
      <c r="C77" s="34" t="s">
        <v>871</v>
      </c>
      <c r="D77" s="151"/>
      <c r="E77" s="154"/>
      <c r="F77" s="154"/>
      <c r="G77" s="48"/>
      <c r="H77" s="154"/>
      <c r="I77" s="154"/>
      <c r="J77" s="154"/>
      <c r="K77" s="154"/>
      <c r="L77" s="154"/>
      <c r="M77" s="154"/>
      <c r="N77" s="33"/>
      <c r="O77" s="556"/>
      <c r="P77" s="556"/>
      <c r="Q77" s="556"/>
      <c r="R77" s="556"/>
      <c r="S77" s="556"/>
      <c r="T77" s="556"/>
      <c r="U77" s="556"/>
      <c r="V77" s="556"/>
      <c r="W77" s="556"/>
      <c r="X77" s="556"/>
      <c r="Y77" s="556"/>
    </row>
    <row r="78" spans="1:25" ht="16.5" customHeight="1" thickBot="1">
      <c r="B78" s="151"/>
      <c r="C78" s="34"/>
      <c r="D78" s="159"/>
      <c r="E78" s="159"/>
      <c r="F78" s="55"/>
      <c r="G78" s="529"/>
      <c r="H78" s="55"/>
      <c r="I78" s="55"/>
      <c r="J78" s="55"/>
      <c r="K78" s="154"/>
      <c r="L78" s="180" t="s">
        <v>2</v>
      </c>
      <c r="M78" s="377">
        <f>重み!M50</f>
        <v>0.2</v>
      </c>
      <c r="N78" s="30"/>
      <c r="O78" s="148">
        <f t="shared" ref="O78:Y78" si="4">C78</f>
        <v>0</v>
      </c>
      <c r="P78" s="148">
        <f t="shared" si="4"/>
        <v>0</v>
      </c>
      <c r="Q78" s="148">
        <f t="shared" si="4"/>
        <v>0</v>
      </c>
      <c r="R78" s="148">
        <f t="shared" si="4"/>
        <v>0</v>
      </c>
      <c r="S78" s="148">
        <f t="shared" si="4"/>
        <v>0</v>
      </c>
      <c r="T78" s="148">
        <f t="shared" si="4"/>
        <v>0</v>
      </c>
      <c r="U78" s="148">
        <f t="shared" si="4"/>
        <v>0</v>
      </c>
      <c r="V78" s="148">
        <f t="shared" si="4"/>
        <v>0</v>
      </c>
      <c r="W78" s="148">
        <f t="shared" si="4"/>
        <v>0</v>
      </c>
      <c r="X78" s="148" t="str">
        <f t="shared" si="4"/>
        <v>重み係数＝</v>
      </c>
      <c r="Y78" s="148">
        <f t="shared" si="4"/>
        <v>0.2</v>
      </c>
    </row>
    <row r="79" spans="1:25" ht="16.5" customHeight="1" thickBot="1">
      <c r="B79" s="310"/>
      <c r="C79" s="310"/>
      <c r="D79" s="1078">
        <f>ROUND(IF(F92=0,3,IF(F92&lt;=1,4,5)),0)</f>
        <v>3</v>
      </c>
      <c r="E79" s="2349" t="s">
        <v>467</v>
      </c>
      <c r="F79" s="2350"/>
      <c r="G79" s="2350"/>
      <c r="H79" s="2350"/>
      <c r="I79" s="2350"/>
      <c r="J79" s="2350"/>
      <c r="K79" s="2350"/>
      <c r="L79" s="2350"/>
      <c r="M79" s="2351"/>
      <c r="N79" s="30"/>
      <c r="O79" s="146"/>
      <c r="P79" s="556"/>
      <c r="Q79" s="146"/>
      <c r="R79" s="148"/>
      <c r="S79" s="148"/>
      <c r="T79" s="148"/>
      <c r="U79" s="556"/>
      <c r="V79" s="148"/>
      <c r="W79" s="148"/>
      <c r="X79" s="148"/>
      <c r="Y79" s="148"/>
    </row>
    <row r="80" spans="1:25" ht="16.5" customHeight="1">
      <c r="B80" s="310"/>
      <c r="C80" s="310"/>
      <c r="D80" s="36" t="str">
        <f>IF(ROUNDDOWN($D$79,0)=$Q$9,$S$9,$R$9)</f>
        <v>　レベル　1</v>
      </c>
      <c r="E80" s="526" t="s">
        <v>459</v>
      </c>
      <c r="F80" s="524"/>
      <c r="G80" s="524"/>
      <c r="H80" s="524"/>
      <c r="I80" s="524"/>
      <c r="J80" s="524"/>
      <c r="K80" s="524"/>
      <c r="L80" s="524"/>
      <c r="M80" s="525"/>
      <c r="N80" s="30"/>
      <c r="O80" s="146"/>
      <c r="P80" s="318" t="s">
        <v>884</v>
      </c>
      <c r="Q80" s="146"/>
      <c r="R80" s="148"/>
      <c r="S80" s="148"/>
      <c r="T80" s="148"/>
      <c r="U80" s="318">
        <f>$Q$9</f>
        <v>1</v>
      </c>
      <c r="V80" s="148"/>
      <c r="W80" s="148"/>
      <c r="X80" s="148"/>
      <c r="Y80" s="148"/>
    </row>
    <row r="81" spans="1:25" ht="16.5" customHeight="1">
      <c r="B81" s="310"/>
      <c r="C81" s="310"/>
      <c r="D81" s="39" t="str">
        <f>IF(ROUNDDOWN($D$79,0)=$Q$10,$S$10,$R$10)</f>
        <v>　レベル　2</v>
      </c>
      <c r="E81" s="527" t="s">
        <v>459</v>
      </c>
      <c r="F81" s="517"/>
      <c r="G81" s="517"/>
      <c r="H81" s="517"/>
      <c r="I81" s="517"/>
      <c r="J81" s="517"/>
      <c r="K81" s="517"/>
      <c r="L81" s="517"/>
      <c r="M81" s="518"/>
      <c r="N81" s="30"/>
      <c r="O81" s="146"/>
      <c r="P81" s="318" t="s">
        <v>884</v>
      </c>
      <c r="Q81" s="146"/>
      <c r="R81" s="148"/>
      <c r="S81" s="148"/>
      <c r="T81" s="148"/>
      <c r="U81" s="318">
        <f>$Q$10</f>
        <v>2</v>
      </c>
      <c r="V81" s="148"/>
      <c r="W81" s="148"/>
      <c r="X81" s="148"/>
      <c r="Y81" s="148"/>
    </row>
    <row r="82" spans="1:25" ht="16.5" customHeight="1">
      <c r="B82" s="310"/>
      <c r="C82" s="310"/>
      <c r="D82" s="39" t="str">
        <f>IF(ROUNDDOWN($D$79,0)=$Q$11,$S$11,$R$11)</f>
        <v>■レベル　3</v>
      </c>
      <c r="E82" s="527" t="s">
        <v>281</v>
      </c>
      <c r="F82" s="517"/>
      <c r="G82" s="517"/>
      <c r="H82" s="517"/>
      <c r="I82" s="517"/>
      <c r="J82" s="517"/>
      <c r="K82" s="517"/>
      <c r="L82" s="517"/>
      <c r="M82" s="518"/>
      <c r="N82" s="30"/>
      <c r="O82" s="146"/>
      <c r="P82" s="318">
        <f>$Q$11</f>
        <v>3</v>
      </c>
      <c r="Q82" s="146"/>
      <c r="R82" s="148"/>
      <c r="S82" s="148"/>
      <c r="T82" s="148"/>
      <c r="U82" s="318">
        <f>$Q$11</f>
        <v>3</v>
      </c>
      <c r="V82" s="148"/>
      <c r="W82" s="148"/>
      <c r="X82" s="148"/>
      <c r="Y82" s="148"/>
    </row>
    <row r="83" spans="1:25" ht="16.5" customHeight="1">
      <c r="B83" s="310"/>
      <c r="C83" s="310"/>
      <c r="D83" s="39" t="str">
        <f>IF(ROUNDDOWN($D$79,0)=$Q$12,$S$12,$R$12)</f>
        <v>　レベル　4</v>
      </c>
      <c r="E83" s="527" t="s">
        <v>282</v>
      </c>
      <c r="F83" s="517"/>
      <c r="G83" s="517"/>
      <c r="H83" s="517"/>
      <c r="I83" s="517"/>
      <c r="J83" s="517"/>
      <c r="K83" s="517"/>
      <c r="L83" s="517"/>
      <c r="M83" s="518"/>
      <c r="N83" s="30"/>
      <c r="O83" s="146"/>
      <c r="P83" s="318">
        <f>$Q$12</f>
        <v>4</v>
      </c>
      <c r="Q83" s="146"/>
      <c r="R83" s="148"/>
      <c r="S83" s="148"/>
      <c r="T83" s="148"/>
      <c r="U83" s="318">
        <f>$Q$12</f>
        <v>4</v>
      </c>
      <c r="V83" s="148"/>
      <c r="W83" s="148"/>
      <c r="X83" s="148"/>
      <c r="Y83" s="148"/>
    </row>
    <row r="84" spans="1:25" ht="16.5" customHeight="1">
      <c r="B84" s="310"/>
      <c r="C84" s="310"/>
      <c r="D84" s="37" t="str">
        <f>IF(ROUNDDOWN($D$79,0)=$Q$13,$S$13,$R$13)</f>
        <v>　レベル　5</v>
      </c>
      <c r="E84" s="528" t="s">
        <v>283</v>
      </c>
      <c r="F84" s="513"/>
      <c r="G84" s="513"/>
      <c r="H84" s="513"/>
      <c r="I84" s="513"/>
      <c r="J84" s="513"/>
      <c r="K84" s="513"/>
      <c r="L84" s="513"/>
      <c r="M84" s="514"/>
      <c r="N84" s="30"/>
      <c r="O84" s="146"/>
      <c r="P84" s="318">
        <f>$Q$13</f>
        <v>5</v>
      </c>
      <c r="Q84" s="146"/>
      <c r="R84" s="148"/>
      <c r="S84" s="148"/>
      <c r="T84" s="148"/>
      <c r="U84" s="318">
        <f>$Q$13</f>
        <v>5</v>
      </c>
      <c r="V84" s="148"/>
      <c r="W84" s="148"/>
      <c r="X84" s="148"/>
      <c r="Y84" s="148"/>
    </row>
    <row r="85" spans="1:25" ht="16.5" customHeight="1">
      <c r="B85" s="310"/>
      <c r="C85" s="385"/>
      <c r="D85" s="385"/>
      <c r="E85" s="156" t="s">
        <v>14</v>
      </c>
      <c r="F85" s="55"/>
      <c r="G85" s="155"/>
      <c r="H85" s="44"/>
      <c r="I85" s="44"/>
      <c r="J85" s="55"/>
      <c r="K85" s="55"/>
      <c r="L85" s="55"/>
      <c r="M85" s="55"/>
      <c r="N85" s="30"/>
      <c r="O85" s="146"/>
      <c r="P85" s="325" t="s">
        <v>884</v>
      </c>
      <c r="Q85" s="41"/>
      <c r="R85" s="41"/>
      <c r="S85" s="41"/>
      <c r="T85" s="41"/>
      <c r="U85" s="41"/>
      <c r="V85" s="41"/>
      <c r="W85" s="41"/>
      <c r="X85" s="41"/>
      <c r="Y85" s="41"/>
    </row>
    <row r="86" spans="1:25" ht="16.5" thickBot="1">
      <c r="B86" s="310"/>
      <c r="C86" s="385"/>
      <c r="D86" s="385"/>
      <c r="E86" s="144" t="s">
        <v>855</v>
      </c>
      <c r="F86" s="550" t="s">
        <v>19</v>
      </c>
      <c r="G86" s="515" t="s">
        <v>856</v>
      </c>
      <c r="H86" s="549" t="s">
        <v>762</v>
      </c>
      <c r="I86" s="550"/>
      <c r="J86" s="550"/>
      <c r="K86" s="550"/>
      <c r="L86" s="550"/>
      <c r="M86" s="551"/>
      <c r="N86" s="30"/>
      <c r="O86" s="146"/>
      <c r="P86" s="41"/>
      <c r="Q86" s="41"/>
      <c r="R86" s="41"/>
      <c r="S86" s="41"/>
      <c r="T86" s="41"/>
      <c r="U86" s="41"/>
      <c r="V86" s="41"/>
      <c r="W86" s="41"/>
      <c r="X86" s="41"/>
      <c r="Y86" s="41"/>
    </row>
    <row r="87" spans="1:25" ht="15.75">
      <c r="B87" s="310"/>
      <c r="C87" s="385"/>
      <c r="D87" s="385"/>
      <c r="E87" s="379"/>
      <c r="F87" s="2371" t="s">
        <v>734</v>
      </c>
      <c r="G87" s="516">
        <v>1</v>
      </c>
      <c r="H87" s="545" t="s">
        <v>872</v>
      </c>
      <c r="I87" s="546"/>
      <c r="J87" s="546"/>
      <c r="K87" s="546"/>
      <c r="L87" s="546"/>
      <c r="M87" s="534"/>
      <c r="N87" s="30"/>
      <c r="O87" s="146"/>
      <c r="P87" s="41"/>
      <c r="Q87" s="41"/>
      <c r="R87" s="41"/>
      <c r="S87" s="41"/>
      <c r="T87" s="41"/>
      <c r="U87" s="41"/>
      <c r="V87" s="41"/>
      <c r="W87" s="41"/>
      <c r="X87" s="41"/>
      <c r="Y87" s="41"/>
    </row>
    <row r="88" spans="1:25" ht="15.75">
      <c r="B88" s="310"/>
      <c r="C88" s="385"/>
      <c r="D88" s="385"/>
      <c r="E88" s="537"/>
      <c r="F88" s="2400"/>
      <c r="G88" s="552">
        <v>2</v>
      </c>
      <c r="H88" s="2365" t="s">
        <v>873</v>
      </c>
      <c r="I88" s="2397"/>
      <c r="J88" s="2397"/>
      <c r="K88" s="2397"/>
      <c r="L88" s="2397"/>
      <c r="M88" s="2398"/>
      <c r="N88" s="30"/>
      <c r="O88" s="146"/>
      <c r="P88" s="41"/>
      <c r="Q88" s="41"/>
      <c r="R88" s="41"/>
      <c r="S88" s="41"/>
      <c r="T88" s="41"/>
      <c r="U88" s="41"/>
      <c r="V88" s="41"/>
      <c r="W88" s="41"/>
      <c r="X88" s="41"/>
      <c r="Y88" s="41"/>
    </row>
    <row r="89" spans="1:25" ht="29.25" customHeight="1">
      <c r="B89" s="310"/>
      <c r="C89" s="385"/>
      <c r="D89" s="385"/>
      <c r="E89" s="537"/>
      <c r="F89" s="2401"/>
      <c r="G89" s="553">
        <v>3</v>
      </c>
      <c r="H89" s="2365" t="s">
        <v>874</v>
      </c>
      <c r="I89" s="2397"/>
      <c r="J89" s="2397"/>
      <c r="K89" s="2397"/>
      <c r="L89" s="2397"/>
      <c r="M89" s="2398"/>
      <c r="N89" s="30"/>
      <c r="O89" s="146"/>
      <c r="P89" s="41"/>
      <c r="Q89" s="41"/>
      <c r="R89" s="41"/>
      <c r="S89" s="41"/>
      <c r="T89" s="41"/>
      <c r="U89" s="41"/>
      <c r="V89" s="41"/>
      <c r="W89" s="41"/>
      <c r="X89" s="41"/>
      <c r="Y89" s="41"/>
    </row>
    <row r="90" spans="1:25" ht="18.75" customHeight="1">
      <c r="B90" s="310"/>
      <c r="C90" s="385"/>
      <c r="D90" s="385"/>
      <c r="E90" s="537"/>
      <c r="F90" s="2399" t="s">
        <v>1090</v>
      </c>
      <c r="G90" s="553">
        <v>4</v>
      </c>
      <c r="H90" s="539" t="s">
        <v>875</v>
      </c>
      <c r="I90" s="538"/>
      <c r="J90" s="538"/>
      <c r="K90" s="538"/>
      <c r="L90" s="538"/>
      <c r="M90" s="542"/>
      <c r="N90" s="30"/>
      <c r="O90" s="146"/>
      <c r="P90" s="41"/>
      <c r="Q90" s="41"/>
      <c r="R90" s="41"/>
      <c r="S90" s="41"/>
      <c r="T90" s="41"/>
      <c r="U90" s="41"/>
      <c r="V90" s="41"/>
      <c r="W90" s="41"/>
      <c r="X90" s="41"/>
      <c r="Y90" s="41"/>
    </row>
    <row r="91" spans="1:25" ht="18.75" customHeight="1" thickBot="1">
      <c r="B91" s="310"/>
      <c r="C91" s="385"/>
      <c r="D91" s="385"/>
      <c r="E91" s="380"/>
      <c r="F91" s="2372"/>
      <c r="G91" s="554">
        <v>5</v>
      </c>
      <c r="H91" s="548" t="s">
        <v>876</v>
      </c>
      <c r="I91" s="532"/>
      <c r="J91" s="532"/>
      <c r="K91" s="532"/>
      <c r="L91" s="532"/>
      <c r="M91" s="531"/>
      <c r="N91" s="30"/>
      <c r="O91" s="146"/>
      <c r="P91" s="41"/>
      <c r="Q91" s="41"/>
      <c r="R91" s="41"/>
      <c r="S91" s="41"/>
      <c r="T91" s="41"/>
      <c r="U91" s="41"/>
      <c r="V91" s="41"/>
      <c r="W91" s="41"/>
      <c r="X91" s="41"/>
      <c r="Y91" s="41"/>
    </row>
    <row r="92" spans="1:25" s="1055" customFormat="1" ht="16.5" customHeight="1">
      <c r="B92" s="1081"/>
      <c r="C92" s="1082"/>
      <c r="D92" s="1082"/>
      <c r="E92" s="600" t="s">
        <v>862</v>
      </c>
      <c r="F92" s="1045">
        <f>COUNTIF(E87:E91,"○")</f>
        <v>0</v>
      </c>
      <c r="G92" s="1083"/>
      <c r="H92" s="1083"/>
      <c r="I92" s="143"/>
      <c r="J92" s="143"/>
      <c r="K92" s="143"/>
      <c r="L92" s="1084"/>
      <c r="M92" s="1085"/>
      <c r="N92" s="30"/>
      <c r="O92" s="146"/>
      <c r="P92" s="41"/>
      <c r="Q92" s="41"/>
      <c r="R92" s="41"/>
      <c r="S92" s="41"/>
      <c r="T92" s="41"/>
      <c r="U92" s="41"/>
      <c r="V92" s="41"/>
      <c r="W92" s="41"/>
      <c r="X92" s="41"/>
      <c r="Y92" s="41"/>
    </row>
    <row r="93" spans="1:25" s="148" customFormat="1" ht="8.25" customHeight="1">
      <c r="A93" s="55"/>
      <c r="B93" s="168"/>
      <c r="C93" s="611"/>
      <c r="D93" s="313"/>
      <c r="E93" s="313"/>
      <c r="F93" s="2"/>
      <c r="G93" s="2"/>
      <c r="H93" s="2"/>
      <c r="I93" s="2"/>
      <c r="J93" s="2"/>
      <c r="K93" s="2"/>
      <c r="L93" s="2"/>
      <c r="M93" s="2"/>
      <c r="N93" s="154"/>
      <c r="P93" s="588" t="s">
        <v>75</v>
      </c>
      <c r="Q93" s="328" t="s">
        <v>99</v>
      </c>
      <c r="R93" s="5"/>
      <c r="S93" s="5"/>
      <c r="T93" s="136"/>
    </row>
    <row r="94" spans="1:25" s="148" customFormat="1" ht="21" customHeight="1">
      <c r="A94" s="55"/>
      <c r="B94" s="168"/>
      <c r="C94" s="611"/>
      <c r="E94" s="786" t="s">
        <v>3</v>
      </c>
      <c r="F94" s="787"/>
      <c r="G94" s="1242"/>
      <c r="H94" s="1242"/>
      <c r="I94" s="1241"/>
      <c r="J94" s="1243"/>
      <c r="K94" s="1243"/>
      <c r="L94" s="1243"/>
      <c r="M94" s="1244"/>
      <c r="N94" s="154"/>
      <c r="P94" s="619"/>
      <c r="Q94" s="328"/>
      <c r="R94" s="5"/>
      <c r="S94" s="5"/>
      <c r="T94" s="136"/>
      <c r="U94" s="619"/>
      <c r="V94" s="136"/>
      <c r="W94" s="136"/>
      <c r="X94" s="136"/>
      <c r="Y94" s="136"/>
    </row>
    <row r="95" spans="1:25"/>
    <row r="96" spans="1:25"/>
  </sheetData>
  <sheetProtection algorithmName="SHA-512" hashValue="9FCAUZcGbF9ZceHcKevHHlAbcSW3GdCYNCsXPSC6UB/HV1oOJtmJqKr5SYopeWqly5QeV1/TavUR9fW5iRaxqQ==" saltValue="aglZOHMyVjMAhBQtj/8RYQ==" spinCount="100000" sheet="1" objects="1" scenarios="1"/>
  <mergeCells count="25">
    <mergeCell ref="H89:M89"/>
    <mergeCell ref="H88:M88"/>
    <mergeCell ref="I21:M21"/>
    <mergeCell ref="F90:F91"/>
    <mergeCell ref="E79:M79"/>
    <mergeCell ref="F87:F89"/>
    <mergeCell ref="H66:M66"/>
    <mergeCell ref="F67:F69"/>
    <mergeCell ref="F70:F71"/>
    <mergeCell ref="E8:M8"/>
    <mergeCell ref="E29:M29"/>
    <mergeCell ref="E40:M40"/>
    <mergeCell ref="E59:M59"/>
    <mergeCell ref="E9:M9"/>
    <mergeCell ref="E11:M11"/>
    <mergeCell ref="F17:F21"/>
    <mergeCell ref="H15:M15"/>
    <mergeCell ref="H16:M16"/>
    <mergeCell ref="E12:M12"/>
    <mergeCell ref="E13:M13"/>
    <mergeCell ref="G17:G21"/>
    <mergeCell ref="I17:M17"/>
    <mergeCell ref="I18:M18"/>
    <mergeCell ref="I19:M19"/>
    <mergeCell ref="I20:M20"/>
  </mergeCells>
  <phoneticPr fontId="4"/>
  <conditionalFormatting sqref="D29">
    <cfRule type="expression" dxfId="114" priority="1" stopIfTrue="1">
      <formula>AND(OR(D29&lt;1,D29&gt;5),D29&lt;&gt;P35)</formula>
    </cfRule>
    <cfRule type="expression" dxfId="113" priority="2" stopIfTrue="1">
      <formula>M28&gt;0</formula>
    </cfRule>
  </conditionalFormatting>
  <conditionalFormatting sqref="D8">
    <cfRule type="expression" dxfId="112" priority="3" stopIfTrue="1">
      <formula>AND(OR(D8&lt;1,D8&gt;5),D8&lt;&gt;P14)</formula>
    </cfRule>
  </conditionalFormatting>
  <conditionalFormatting sqref="I36">
    <cfRule type="expression" dxfId="111" priority="4" stopIfTrue="1">
      <formula>M28&gt;0</formula>
    </cfRule>
  </conditionalFormatting>
  <conditionalFormatting sqref="J36">
    <cfRule type="expression" dxfId="110" priority="5" stopIfTrue="1">
      <formula>M28&gt;0</formula>
    </cfRule>
  </conditionalFormatting>
  <conditionalFormatting sqref="K36">
    <cfRule type="expression" dxfId="109" priority="6" stopIfTrue="1">
      <formula>M28&gt;0</formula>
    </cfRule>
  </conditionalFormatting>
  <conditionalFormatting sqref="L36">
    <cfRule type="expression" dxfId="108" priority="7" stopIfTrue="1">
      <formula>M28&gt;0</formula>
    </cfRule>
  </conditionalFormatting>
  <conditionalFormatting sqref="M36">
    <cfRule type="expression" dxfId="107" priority="8" stopIfTrue="1">
      <formula>M28&gt;0</formula>
    </cfRule>
  </conditionalFormatting>
  <conditionalFormatting sqref="E87:E91 E48:E52 I55:M55">
    <cfRule type="expression" dxfId="106" priority="9" stopIfTrue="1">
      <formula>$M$39&gt;0</formula>
    </cfRule>
  </conditionalFormatting>
  <conditionalFormatting sqref="E67:E72 I75:M75">
    <cfRule type="expression" dxfId="105" priority="10" stopIfTrue="1">
      <formula>$M$58&gt;0</formula>
    </cfRule>
  </conditionalFormatting>
  <conditionalFormatting sqref="E16:E21 I24:M24">
    <cfRule type="expression" dxfId="104" priority="11" stopIfTrue="1">
      <formula>$M$7&gt;0</formula>
    </cfRule>
  </conditionalFormatting>
  <conditionalFormatting sqref="I94:M94">
    <cfRule type="expression" dxfId="103" priority="12" stopIfTrue="1">
      <formula>$M$78&gt;0</formula>
    </cfRule>
  </conditionalFormatting>
  <dataValidations count="5">
    <dataValidation type="list" allowBlank="1" showInputMessage="1" showErrorMessage="1" sqref="E48:E52 E87:E91 E67:E72 E17:E21">
      <formula1>$U$3:$U$4</formula1>
    </dataValidation>
    <dataValidation type="list" allowBlank="1" showInputMessage="1" showErrorMessage="1" sqref="D29">
      <formula1>$P$30:$P$35</formula1>
    </dataValidation>
    <dataValidation type="textLength" operator="lessThanOrEqual" allowBlank="1" showInputMessage="1" showErrorMessage="1" sqref="F75:H75 F36:H36 F24:H24 F55:H55 F94:H94">
      <formula1>30</formula1>
    </dataValidation>
    <dataValidation type="list" allowBlank="1" showInputMessage="1" showErrorMessage="1" sqref="E16">
      <formula1>$V$3:$V$5</formula1>
    </dataValidation>
    <dataValidation type="textLength" operator="lessThanOrEqual" allowBlank="1" showInputMessage="1" showErrorMessage="1" sqref="I24 I36 I55 I75 I94">
      <formula1>35</formula1>
    </dataValidation>
  </dataValidations>
  <printOptions horizontalCentered="1"/>
  <pageMargins left="0.78740157480314965" right="0.78740157480314965" top="0.78740157480314965" bottom="0.78740157480314965" header="0.51181102362204722" footer="0.51181102362204722"/>
  <pageSetup paperSize="9" scale="69" fitToHeight="0" orientation="portrait" verticalDpi="300" r:id="rId1"/>
  <headerFooter alignWithMargins="0">
    <oddHeader>&amp;L&amp;F&amp;R&amp;A</oddHeader>
    <oddFooter>&amp;C&amp;P/&amp;N</oddFooter>
  </headerFooter>
  <rowBreaks count="1" manualBreakCount="1">
    <brk id="5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FC366"/>
  <sheetViews>
    <sheetView showGridLines="0" zoomScaleNormal="100" zoomScaleSheetLayoutView="75" workbookViewId="0">
      <selection activeCell="H20" sqref="H20"/>
    </sheetView>
  </sheetViews>
  <sheetFormatPr defaultColWidth="3.875" defaultRowHeight="14.25" customHeight="1" zeroHeight="1"/>
  <cols>
    <col min="1" max="1" width="1.375" style="5" customWidth="1"/>
    <col min="2" max="2" width="4.625" style="603" customWidth="1"/>
    <col min="3" max="3" width="1.5" style="304" customWidth="1"/>
    <col min="4" max="13" width="11.625" style="304" customWidth="1"/>
    <col min="14" max="14" width="2.125" style="304" customWidth="1"/>
    <col min="15" max="15" width="2.5" style="5" hidden="1" customWidth="1"/>
    <col min="16" max="16" width="17.625" style="5" hidden="1" customWidth="1"/>
    <col min="17" max="17" width="10.125" style="5" hidden="1" customWidth="1"/>
    <col min="18" max="18" width="9.125" style="5" hidden="1" customWidth="1"/>
    <col min="19" max="19" width="9.625" style="5" hidden="1" customWidth="1"/>
    <col min="20" max="20" width="23.5" style="5" hidden="1" customWidth="1"/>
    <col min="21" max="21" width="7.125" style="5" hidden="1" customWidth="1"/>
    <col min="22" max="23" width="2.5" style="5" hidden="1" customWidth="1"/>
    <col min="24" max="24" width="11" style="5" hidden="1" customWidth="1"/>
    <col min="25" max="25" width="10.5" style="5" hidden="1" customWidth="1"/>
    <col min="26" max="16383" width="0" style="5" hidden="1" customWidth="1"/>
    <col min="16384" max="16384" width="1.75" style="5" hidden="1" customWidth="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s="498" customFormat="1" ht="21.75" thickBot="1">
      <c r="A3" s="497"/>
      <c r="B3" s="312" t="s">
        <v>1070</v>
      </c>
      <c r="C3" s="30"/>
      <c r="D3" s="30"/>
      <c r="E3" s="55"/>
      <c r="F3" s="55"/>
      <c r="G3" s="55"/>
      <c r="H3" s="150"/>
      <c r="I3" s="56" t="s">
        <v>73</v>
      </c>
      <c r="J3" s="55"/>
      <c r="K3" s="55"/>
      <c r="L3" s="55"/>
      <c r="M3" s="55"/>
      <c r="N3" s="55"/>
      <c r="O3" s="148"/>
      <c r="P3" s="319" t="s">
        <v>100</v>
      </c>
      <c r="Q3" s="735" t="str">
        <f>IF(メイン!E31=0,"",メイン!E31)</f>
        <v/>
      </c>
      <c r="R3" s="41"/>
      <c r="S3" s="41"/>
      <c r="T3" s="322"/>
      <c r="U3" s="324" t="s">
        <v>481</v>
      </c>
      <c r="V3" s="136"/>
      <c r="X3" s="136"/>
      <c r="Y3" s="322" t="str">
        <f>メイン!N31</f>
        <v>基本設計段階</v>
      </c>
    </row>
    <row r="4" spans="1:25" s="498" customFormat="1" ht="3.75" customHeight="1">
      <c r="A4" s="497"/>
      <c r="B4" s="312"/>
      <c r="C4" s="30"/>
      <c r="D4" s="30"/>
      <c r="E4" s="55"/>
      <c r="F4" s="55"/>
      <c r="G4" s="55"/>
      <c r="H4" s="55"/>
      <c r="I4" s="55"/>
      <c r="J4" s="55"/>
      <c r="K4" s="55"/>
      <c r="L4" s="55"/>
      <c r="M4" s="55"/>
      <c r="N4" s="55"/>
      <c r="O4" s="148"/>
      <c r="P4" s="319"/>
      <c r="Q4" s="735"/>
      <c r="R4" s="41"/>
      <c r="S4" s="41"/>
      <c r="T4" s="322"/>
      <c r="U4" s="324"/>
      <c r="V4" s="136"/>
      <c r="X4" s="136"/>
      <c r="Y4" s="322"/>
    </row>
    <row r="5" spans="1:25" s="498" customFormat="1" ht="18" customHeight="1">
      <c r="A5" s="497"/>
      <c r="B5" s="168">
        <v>1</v>
      </c>
      <c r="C5" s="151" t="s">
        <v>1073</v>
      </c>
      <c r="D5" s="151"/>
      <c r="E5" s="151"/>
      <c r="F5" s="55"/>
      <c r="G5" s="55"/>
      <c r="H5" s="55"/>
      <c r="I5" s="55"/>
      <c r="J5" s="55"/>
      <c r="K5" s="32"/>
      <c r="L5" s="55"/>
      <c r="M5" s="55"/>
      <c r="N5" s="55"/>
      <c r="O5" s="148"/>
      <c r="P5" s="41"/>
      <c r="Q5" s="41"/>
      <c r="R5" s="41"/>
      <c r="S5" s="41"/>
      <c r="T5" s="322" t="s">
        <v>482</v>
      </c>
      <c r="U5" s="322"/>
      <c r="V5" s="136"/>
      <c r="X5" s="136"/>
      <c r="Y5" s="322" t="str">
        <f>メイン!N32</f>
        <v>実施設計段階</v>
      </c>
    </row>
    <row r="6" spans="1:25" s="331" customFormat="1" ht="13.5" customHeight="1">
      <c r="A6" s="24"/>
      <c r="B6" s="1090">
        <v>1.1000000000000001</v>
      </c>
      <c r="C6" s="151" t="s">
        <v>647</v>
      </c>
      <c r="D6" s="1683"/>
      <c r="E6" s="151"/>
      <c r="F6" s="154"/>
      <c r="G6" s="154"/>
      <c r="H6" s="154"/>
      <c r="I6" s="154"/>
      <c r="J6" s="154"/>
      <c r="K6" s="154"/>
      <c r="L6" s="154"/>
      <c r="M6" s="154"/>
      <c r="N6" s="306"/>
      <c r="O6" s="179"/>
      <c r="P6" s="179"/>
      <c r="Q6" s="179"/>
      <c r="R6" s="305"/>
      <c r="S6" s="305"/>
      <c r="T6" s="305"/>
      <c r="U6" s="305"/>
      <c r="V6" s="305"/>
      <c r="W6" s="305"/>
      <c r="X6" s="305"/>
      <c r="Y6" s="480"/>
    </row>
    <row r="7" spans="1:25" s="331" customFormat="1" ht="16.5" customHeight="1" thickBot="1">
      <c r="A7" s="154"/>
      <c r="B7" s="154"/>
      <c r="C7" s="154"/>
      <c r="D7" s="154"/>
      <c r="E7" s="306"/>
      <c r="F7" s="306"/>
      <c r="G7" s="306"/>
      <c r="H7" s="306"/>
      <c r="I7" s="154"/>
      <c r="J7" s="418"/>
      <c r="K7" s="154"/>
      <c r="L7" s="180" t="s">
        <v>2</v>
      </c>
      <c r="M7" s="177">
        <f>重み!M54</f>
        <v>0.9</v>
      </c>
      <c r="N7" s="306"/>
      <c r="O7" s="328">
        <f t="shared" ref="O7:Y7" si="0">C7</f>
        <v>0</v>
      </c>
      <c r="P7" s="328">
        <f t="shared" si="0"/>
        <v>0</v>
      </c>
      <c r="Q7" s="328">
        <f t="shared" si="0"/>
        <v>0</v>
      </c>
      <c r="R7" s="328">
        <f t="shared" si="0"/>
        <v>0</v>
      </c>
      <c r="S7" s="328">
        <f t="shared" si="0"/>
        <v>0</v>
      </c>
      <c r="T7" s="328">
        <f t="shared" si="0"/>
        <v>0</v>
      </c>
      <c r="U7" s="328">
        <f t="shared" si="0"/>
        <v>0</v>
      </c>
      <c r="V7" s="328">
        <f t="shared" si="0"/>
        <v>0</v>
      </c>
      <c r="W7" s="328">
        <f t="shared" si="0"/>
        <v>0</v>
      </c>
      <c r="X7" s="328" t="str">
        <f t="shared" si="0"/>
        <v>重み係数＝</v>
      </c>
      <c r="Y7" s="328">
        <f t="shared" si="0"/>
        <v>0.9</v>
      </c>
    </row>
    <row r="8" spans="1:25" ht="16.5" customHeight="1" thickBot="1">
      <c r="A8" s="2"/>
      <c r="B8" s="40"/>
      <c r="C8" s="40"/>
      <c r="D8" s="1684">
        <f>IF(J29=T28,IF(M17&gt;5,5,IF(M17&lt;1,1,M17)),R29)</f>
        <v>5</v>
      </c>
      <c r="E8" s="1685" t="s">
        <v>467</v>
      </c>
      <c r="F8" s="1686"/>
      <c r="G8" s="1686"/>
      <c r="H8" s="1686"/>
      <c r="I8" s="1686"/>
      <c r="J8" s="1687" t="s">
        <v>648</v>
      </c>
      <c r="K8" s="1686"/>
      <c r="L8" s="1686"/>
      <c r="M8" s="1688"/>
      <c r="N8" s="306"/>
      <c r="O8" s="328"/>
      <c r="P8" s="328"/>
      <c r="Q8" s="328"/>
      <c r="R8" s="328"/>
      <c r="S8" s="328"/>
      <c r="T8" s="136"/>
      <c r="U8" s="136"/>
      <c r="V8" s="136"/>
      <c r="W8" s="136"/>
      <c r="X8" s="136"/>
      <c r="Y8" s="136"/>
    </row>
    <row r="9" spans="1:25" ht="16.5" customHeight="1">
      <c r="A9" s="2"/>
      <c r="B9" s="40"/>
      <c r="C9" s="40"/>
      <c r="D9" s="2405" t="s">
        <v>296</v>
      </c>
      <c r="E9" s="2408" t="s">
        <v>1118</v>
      </c>
      <c r="F9" s="2409"/>
      <c r="G9" s="2409"/>
      <c r="H9" s="2409"/>
      <c r="I9" s="2410"/>
      <c r="J9" s="2417" t="s">
        <v>1119</v>
      </c>
      <c r="K9" s="2418"/>
      <c r="L9" s="2418"/>
      <c r="M9" s="2419"/>
      <c r="N9" s="306"/>
      <c r="O9" s="328"/>
      <c r="P9" s="588">
        <f>$Q$9</f>
        <v>1</v>
      </c>
      <c r="Q9" s="320">
        <v>1</v>
      </c>
      <c r="R9" s="323" t="s">
        <v>538</v>
      </c>
      <c r="S9" s="321" t="s">
        <v>94</v>
      </c>
      <c r="T9" s="136"/>
      <c r="U9" s="588">
        <f>$Q$9</f>
        <v>1</v>
      </c>
      <c r="V9" s="136"/>
      <c r="W9" s="136"/>
      <c r="X9" s="136"/>
      <c r="Y9" s="136"/>
    </row>
    <row r="10" spans="1:25" ht="16.5" customHeight="1">
      <c r="A10" s="2"/>
      <c r="B10" s="40"/>
      <c r="C10" s="40"/>
      <c r="D10" s="2406"/>
      <c r="E10" s="2411"/>
      <c r="F10" s="2412"/>
      <c r="G10" s="2412"/>
      <c r="H10" s="2412"/>
      <c r="I10" s="2413"/>
      <c r="J10" s="2420"/>
      <c r="K10" s="2421"/>
      <c r="L10" s="2421"/>
      <c r="M10" s="2422"/>
      <c r="N10" s="306"/>
      <c r="O10" s="328"/>
      <c r="P10" s="588">
        <f>$Q$10</f>
        <v>2</v>
      </c>
      <c r="Q10" s="320">
        <v>2</v>
      </c>
      <c r="R10" s="323" t="s">
        <v>539</v>
      </c>
      <c r="S10" s="321" t="s">
        <v>95</v>
      </c>
      <c r="T10" s="136"/>
      <c r="U10" s="588">
        <f>$Q$10</f>
        <v>2</v>
      </c>
      <c r="V10" s="136"/>
      <c r="W10" s="136"/>
      <c r="X10" s="136"/>
      <c r="Y10" s="136"/>
    </row>
    <row r="11" spans="1:25" ht="16.5" customHeight="1">
      <c r="A11" s="2"/>
      <c r="B11" s="40"/>
      <c r="C11" s="40"/>
      <c r="D11" s="2406"/>
      <c r="E11" s="2411"/>
      <c r="F11" s="2412"/>
      <c r="G11" s="2412"/>
      <c r="H11" s="2412"/>
      <c r="I11" s="2413"/>
      <c r="J11" s="2420"/>
      <c r="K11" s="2421"/>
      <c r="L11" s="2421"/>
      <c r="M11" s="2422"/>
      <c r="N11" s="306"/>
      <c r="O11" s="328"/>
      <c r="P11" s="588">
        <f>$Q$11</f>
        <v>3</v>
      </c>
      <c r="Q11" s="320">
        <v>3</v>
      </c>
      <c r="R11" s="323" t="s">
        <v>540</v>
      </c>
      <c r="S11" s="321" t="s">
        <v>96</v>
      </c>
      <c r="T11" s="136"/>
      <c r="U11" s="588">
        <f>$Q$11</f>
        <v>3</v>
      </c>
      <c r="V11" s="136"/>
      <c r="W11" s="136"/>
      <c r="X11" s="136"/>
      <c r="Y11" s="136"/>
    </row>
    <row r="12" spans="1:25" ht="16.5" customHeight="1">
      <c r="A12" s="2"/>
      <c r="B12" s="40"/>
      <c r="C12" s="40"/>
      <c r="D12" s="2406"/>
      <c r="E12" s="2411"/>
      <c r="F12" s="2412"/>
      <c r="G12" s="2412"/>
      <c r="H12" s="2412"/>
      <c r="I12" s="2413"/>
      <c r="J12" s="2420"/>
      <c r="K12" s="2421"/>
      <c r="L12" s="2421"/>
      <c r="M12" s="2422"/>
      <c r="N12" s="306"/>
      <c r="O12" s="328"/>
      <c r="P12" s="588">
        <f>$Q$12</f>
        <v>4</v>
      </c>
      <c r="Q12" s="320">
        <v>4</v>
      </c>
      <c r="R12" s="323" t="s">
        <v>541</v>
      </c>
      <c r="S12" s="321" t="s">
        <v>97</v>
      </c>
      <c r="T12" s="136"/>
      <c r="U12" s="588">
        <f>$Q$12</f>
        <v>4</v>
      </c>
      <c r="V12" s="136"/>
      <c r="W12" s="136"/>
      <c r="X12" s="136"/>
      <c r="Y12" s="136"/>
    </row>
    <row r="13" spans="1:25" ht="16.5" customHeight="1">
      <c r="A13" s="2"/>
      <c r="B13" s="40"/>
      <c r="C13" s="40"/>
      <c r="D13" s="2407"/>
      <c r="E13" s="2414"/>
      <c r="F13" s="2415"/>
      <c r="G13" s="2415"/>
      <c r="H13" s="2415"/>
      <c r="I13" s="2416"/>
      <c r="J13" s="2423"/>
      <c r="K13" s="2424"/>
      <c r="L13" s="2424"/>
      <c r="M13" s="2425"/>
      <c r="N13" s="137"/>
      <c r="O13" s="328"/>
      <c r="P13" s="588">
        <f>$Q$13</f>
        <v>5</v>
      </c>
      <c r="Q13" s="320">
        <v>5</v>
      </c>
      <c r="R13" s="323" t="s">
        <v>542</v>
      </c>
      <c r="S13" s="321" t="s">
        <v>98</v>
      </c>
      <c r="T13" s="136"/>
      <c r="U13" s="588">
        <f>$Q$13</f>
        <v>5</v>
      </c>
      <c r="V13" s="136"/>
      <c r="W13" s="136"/>
      <c r="X13" s="136"/>
      <c r="Y13" s="136"/>
    </row>
    <row r="14" spans="1:25" s="148" customFormat="1" ht="15.75">
      <c r="A14" s="55"/>
      <c r="B14" s="566"/>
      <c r="C14" s="135"/>
      <c r="D14" s="313"/>
      <c r="E14" s="1829" t="s">
        <v>1047</v>
      </c>
      <c r="F14" s="49"/>
      <c r="G14" s="49"/>
      <c r="H14" s="304"/>
      <c r="I14" s="1031"/>
      <c r="J14" s="304"/>
      <c r="K14" s="304"/>
      <c r="L14" s="304"/>
      <c r="M14" s="304"/>
      <c r="N14" s="154"/>
      <c r="P14" s="588" t="s">
        <v>75</v>
      </c>
      <c r="Q14" s="328" t="s">
        <v>99</v>
      </c>
      <c r="R14" s="5"/>
      <c r="S14" s="5"/>
      <c r="T14" s="136"/>
    </row>
    <row r="15" spans="1:25" s="148" customFormat="1" ht="16.5" hidden="1" thickBot="1">
      <c r="A15" s="55"/>
      <c r="B15" s="1745"/>
      <c r="C15" s="1746"/>
      <c r="D15" s="313"/>
      <c r="E15" s="1689" t="s">
        <v>653</v>
      </c>
      <c r="F15" s="550"/>
      <c r="G15" s="550"/>
      <c r="H15" s="1743" t="s">
        <v>649</v>
      </c>
      <c r="I15" s="536"/>
      <c r="J15" s="304"/>
      <c r="K15" s="304"/>
      <c r="L15" s="304"/>
      <c r="M15" s="304"/>
      <c r="N15" s="154"/>
      <c r="P15" s="1742" t="s">
        <v>649</v>
      </c>
      <c r="Q15" s="1151" t="s">
        <v>109</v>
      </c>
      <c r="R15" s="5"/>
      <c r="S15" s="5"/>
      <c r="T15" s="136"/>
      <c r="U15" s="619"/>
      <c r="V15" s="136"/>
      <c r="W15" s="136"/>
      <c r="X15" s="136"/>
      <c r="Y15" s="136"/>
    </row>
    <row r="16" spans="1:25" ht="16.5" thickBot="1">
      <c r="A16" s="2"/>
      <c r="B16" s="566"/>
      <c r="C16" s="135"/>
      <c r="D16" s="313"/>
      <c r="E16" s="1689" t="s">
        <v>653</v>
      </c>
      <c r="F16" s="550"/>
      <c r="G16" s="550"/>
      <c r="H16" s="1756" t="s">
        <v>650</v>
      </c>
      <c r="I16" s="1690" t="s">
        <v>651</v>
      </c>
      <c r="J16" s="1064" t="s">
        <v>1091</v>
      </c>
      <c r="M16" s="1032" t="s">
        <v>652</v>
      </c>
      <c r="N16" s="137"/>
      <c r="O16" s="328"/>
      <c r="P16" s="619"/>
      <c r="Q16" s="328"/>
      <c r="T16" s="136"/>
      <c r="U16" s="619"/>
      <c r="V16" s="136"/>
      <c r="W16" s="136"/>
      <c r="X16" s="136"/>
      <c r="Y16" s="136"/>
    </row>
    <row r="17" spans="1:25" s="331" customFormat="1" ht="14.25" customHeight="1" thickBot="1">
      <c r="A17" s="24"/>
      <c r="B17" s="566"/>
      <c r="C17" s="135"/>
      <c r="D17" s="313"/>
      <c r="E17" s="1753" t="s">
        <v>1050</v>
      </c>
      <c r="F17" s="1754"/>
      <c r="G17" s="1754"/>
      <c r="H17" s="1757">
        <v>70782</v>
      </c>
      <c r="I17" s="1758">
        <f>H17-H18</f>
        <v>51971</v>
      </c>
      <c r="J17" s="1856">
        <v>1</v>
      </c>
      <c r="K17" s="1691"/>
      <c r="L17" s="1028" t="s">
        <v>877</v>
      </c>
      <c r="M17" s="1149">
        <f>ROUNDDOWN(IF(J19&lt;=0.85,5,IF(J19&gt;1.2,1,IF(J19&gt;=0.9,-0.1*J19*100+13,-0.2*J19*100+22))),1)</f>
        <v>5</v>
      </c>
      <c r="N17" s="306"/>
      <c r="O17" s="136"/>
      <c r="Q17" s="5"/>
      <c r="R17" s="5"/>
      <c r="S17" s="5"/>
      <c r="T17" s="136"/>
      <c r="V17" s="136"/>
      <c r="W17" s="136"/>
      <c r="X17" s="136"/>
      <c r="Y17" s="136"/>
    </row>
    <row r="18" spans="1:25" s="331" customFormat="1" ht="14.25" customHeight="1">
      <c r="A18" s="24"/>
      <c r="B18" s="566"/>
      <c r="C18" s="135"/>
      <c r="D18" s="313"/>
      <c r="E18" s="1753" t="s">
        <v>1051</v>
      </c>
      <c r="F18" s="1754"/>
      <c r="G18" s="1754"/>
      <c r="H18" s="1759">
        <v>18811</v>
      </c>
      <c r="I18" s="1760"/>
      <c r="J18" s="1850"/>
      <c r="K18" s="1691"/>
      <c r="L18" s="1028"/>
      <c r="M18" s="1028"/>
      <c r="N18" s="1028"/>
      <c r="O18" s="136"/>
      <c r="Q18" s="5"/>
      <c r="R18" s="5"/>
      <c r="S18" s="5"/>
      <c r="T18" s="136"/>
      <c r="V18" s="136"/>
      <c r="W18" s="136"/>
      <c r="X18" s="136"/>
      <c r="Y18" s="136"/>
    </row>
    <row r="19" spans="1:25" ht="15.75">
      <c r="A19" s="2"/>
      <c r="B19" s="566"/>
      <c r="C19" s="135"/>
      <c r="D19" s="313"/>
      <c r="E19" s="1753" t="s">
        <v>1052</v>
      </c>
      <c r="F19" s="1754"/>
      <c r="G19" s="1754"/>
      <c r="H19" s="1759">
        <v>46343</v>
      </c>
      <c r="I19" s="1758">
        <f>H19-H18</f>
        <v>27532</v>
      </c>
      <c r="J19" s="1855">
        <f>IF(OR(I17=P56,I17=0),P56,I19/I17)</f>
        <v>0.52975697985414938</v>
      </c>
      <c r="N19" s="137"/>
      <c r="O19" s="328"/>
      <c r="P19" s="328"/>
      <c r="Q19" s="328"/>
      <c r="R19" s="328"/>
      <c r="S19" s="328"/>
      <c r="T19" s="328"/>
      <c r="U19" s="328"/>
      <c r="V19" s="328"/>
      <c r="W19" s="328"/>
      <c r="X19" s="328"/>
      <c r="Y19" s="328"/>
    </row>
    <row r="20" spans="1:25" ht="16.5" customHeight="1">
      <c r="A20" s="2"/>
      <c r="B20" s="566"/>
      <c r="C20" s="135"/>
      <c r="D20" s="313"/>
      <c r="E20" s="1851" t="s">
        <v>1092</v>
      </c>
      <c r="F20" s="1852"/>
      <c r="G20" s="1849"/>
      <c r="H20" s="1759">
        <v>-12468</v>
      </c>
      <c r="I20" s="1760"/>
      <c r="J20" s="1761"/>
      <c r="N20" s="137"/>
      <c r="O20" s="328"/>
      <c r="P20" s="328"/>
      <c r="Q20" s="328"/>
      <c r="R20" s="328"/>
      <c r="S20" s="328"/>
      <c r="T20" s="328"/>
      <c r="U20" s="328"/>
      <c r="V20" s="328"/>
      <c r="W20" s="328"/>
      <c r="X20" s="328"/>
      <c r="Y20" s="328"/>
    </row>
    <row r="21" spans="1:25" ht="16.5" customHeight="1">
      <c r="A21" s="2"/>
      <c r="B21" s="566"/>
      <c r="C21" s="135"/>
      <c r="D21" s="313"/>
      <c r="E21" s="1851" t="s">
        <v>1093</v>
      </c>
      <c r="F21" s="1852"/>
      <c r="G21" s="1849"/>
      <c r="H21" s="1828">
        <v>0</v>
      </c>
      <c r="I21" s="1760"/>
      <c r="J21" s="1761"/>
      <c r="N21" s="137"/>
      <c r="O21" s="328"/>
      <c r="P21" s="328"/>
      <c r="Q21" s="328"/>
      <c r="R21" s="328"/>
      <c r="S21" s="328"/>
      <c r="T21" s="328"/>
      <c r="U21" s="328"/>
      <c r="V21" s="328"/>
      <c r="W21" s="328"/>
      <c r="X21" s="328"/>
      <c r="Y21" s="328"/>
    </row>
    <row r="22" spans="1:25" ht="16.5" thickBot="1">
      <c r="A22" s="2"/>
      <c r="B22" s="566"/>
      <c r="C22" s="135"/>
      <c r="D22" s="313"/>
      <c r="E22" s="1851" t="s">
        <v>1094</v>
      </c>
      <c r="F22" s="1853"/>
      <c r="G22" s="1848"/>
      <c r="H22" s="1762">
        <v>32879</v>
      </c>
      <c r="I22" s="1760"/>
      <c r="J22" s="1761"/>
      <c r="N22" s="137"/>
      <c r="O22" s="328"/>
      <c r="P22" s="328"/>
      <c r="Q22" s="328"/>
      <c r="R22" s="328"/>
      <c r="S22" s="328"/>
      <c r="T22" s="328"/>
      <c r="U22" s="328"/>
      <c r="V22" s="328"/>
      <c r="W22" s="328"/>
      <c r="X22" s="328"/>
      <c r="Y22" s="328"/>
    </row>
    <row r="23" spans="1:25" ht="15.75">
      <c r="A23" s="2"/>
      <c r="B23" s="566"/>
      <c r="C23" s="135"/>
      <c r="D23" s="313"/>
      <c r="E23"/>
      <c r="F23"/>
      <c r="G23"/>
      <c r="H23"/>
      <c r="I23"/>
      <c r="J23"/>
      <c r="N23" s="137"/>
      <c r="O23" s="328"/>
      <c r="P23" s="328"/>
      <c r="Q23" s="328"/>
      <c r="R23" s="328"/>
      <c r="S23" s="328"/>
      <c r="T23" s="328"/>
      <c r="U23" s="328"/>
      <c r="V23" s="328"/>
      <c r="W23" s="328"/>
      <c r="X23" s="328"/>
      <c r="Y23" s="328"/>
    </row>
    <row r="24" spans="1:25" ht="16.5" hidden="1" customHeight="1">
      <c r="A24" s="2"/>
      <c r="B24" s="168"/>
      <c r="C24" s="611"/>
      <c r="D24" s="313"/>
      <c r="E24" s="1755"/>
      <c r="F24" s="2"/>
      <c r="G24" s="2"/>
      <c r="H24" s="2"/>
      <c r="I24" s="2"/>
      <c r="J24" s="2"/>
      <c r="K24" s="2"/>
      <c r="L24" s="2"/>
      <c r="M24" s="2"/>
      <c r="N24" s="137"/>
    </row>
    <row r="25" spans="1:25" ht="15.75" hidden="1">
      <c r="A25" s="2"/>
      <c r="B25" s="168"/>
      <c r="C25" s="611"/>
      <c r="D25" s="313"/>
      <c r="E25" s="2431"/>
      <c r="F25" s="2431"/>
      <c r="G25" s="2431"/>
      <c r="H25" s="2431"/>
      <c r="I25" s="2431"/>
      <c r="J25" s="2431"/>
      <c r="K25" s="2"/>
      <c r="L25" s="2"/>
      <c r="M25" s="2"/>
      <c r="N25" s="137"/>
    </row>
    <row r="26" spans="1:25" ht="15.75" hidden="1">
      <c r="A26" s="2"/>
      <c r="B26" s="168"/>
      <c r="C26" s="611"/>
      <c r="D26" s="313"/>
      <c r="E26" s="1834"/>
      <c r="F26" s="1834"/>
      <c r="G26" s="1834"/>
      <c r="H26" s="1834"/>
      <c r="I26" s="1834"/>
      <c r="J26" s="1834"/>
      <c r="K26" s="2"/>
      <c r="L26" s="2"/>
      <c r="M26" s="2"/>
      <c r="N26" s="137"/>
    </row>
    <row r="27" spans="1:25" ht="15.75">
      <c r="A27" s="2"/>
      <c r="B27" s="168"/>
      <c r="C27" s="611"/>
      <c r="D27" s="313"/>
      <c r="E27" s="1829" t="s">
        <v>1055</v>
      </c>
      <c r="F27" s="1834"/>
      <c r="G27" s="1834"/>
      <c r="H27" s="1834"/>
      <c r="I27" s="1834"/>
      <c r="J27" s="1834"/>
      <c r="K27" s="2"/>
      <c r="L27" s="2"/>
      <c r="M27" s="2"/>
      <c r="N27" s="137"/>
    </row>
    <row r="28" spans="1:25" ht="8.25" customHeight="1" thickBot="1">
      <c r="A28" s="2"/>
      <c r="B28" s="168"/>
      <c r="C28" s="611"/>
      <c r="D28" s="313"/>
      <c r="E28" s="1835"/>
      <c r="F28" s="1763"/>
      <c r="G28" s="1763"/>
      <c r="H28" s="1763"/>
      <c r="I28" s="1763"/>
      <c r="J28" s="1763"/>
      <c r="K28" s="1763"/>
      <c r="L28" s="1763"/>
      <c r="M28" s="1764"/>
      <c r="N28" s="154"/>
      <c r="O28" s="148"/>
      <c r="P28" s="148"/>
      <c r="Q28" s="148"/>
      <c r="R28" s="1833"/>
      <c r="S28" s="1832"/>
      <c r="T28" s="1832" t="s">
        <v>1049</v>
      </c>
      <c r="U28" s="1832"/>
    </row>
    <row r="29" spans="1:25" ht="16.5" customHeight="1" thickBot="1">
      <c r="A29" s="2"/>
      <c r="B29" s="168"/>
      <c r="C29" s="611"/>
      <c r="D29" s="313"/>
      <c r="E29" s="2432" t="s">
        <v>1120</v>
      </c>
      <c r="F29" s="2433"/>
      <c r="G29" s="2433"/>
      <c r="H29" s="2433"/>
      <c r="I29" s="2433"/>
      <c r="J29" s="2429" t="s">
        <v>1049</v>
      </c>
      <c r="K29" s="2430"/>
      <c r="L29" s="1836"/>
      <c r="M29" s="1766"/>
      <c r="N29" s="154"/>
      <c r="O29" s="148"/>
      <c r="P29" s="148"/>
      <c r="Q29" s="148"/>
      <c r="R29" s="1833" t="e">
        <f>VLOOKUP(J29,T29:U30,2,FALSE)</f>
        <v>#N/A</v>
      </c>
      <c r="S29" s="1832"/>
      <c r="T29" s="1832" t="s">
        <v>1048</v>
      </c>
      <c r="U29" s="1832">
        <v>1</v>
      </c>
    </row>
    <row r="30" spans="1:25" ht="21" customHeight="1">
      <c r="A30" s="2"/>
      <c r="B30" s="168"/>
      <c r="C30" s="611"/>
      <c r="D30" s="313"/>
      <c r="E30" s="2432"/>
      <c r="F30" s="2433"/>
      <c r="G30" s="2433"/>
      <c r="H30" s="2433"/>
      <c r="I30" s="2433"/>
      <c r="J30" s="1765"/>
      <c r="K30" s="864"/>
      <c r="L30" s="864"/>
      <c r="M30" s="1766"/>
      <c r="N30" s="154"/>
      <c r="O30" s="148"/>
      <c r="P30" s="148"/>
      <c r="Q30" s="148"/>
      <c r="R30" s="1833"/>
      <c r="S30" s="1832"/>
      <c r="T30" s="1832" t="s">
        <v>235</v>
      </c>
      <c r="U30" s="1832">
        <v>3</v>
      </c>
    </row>
    <row r="31" spans="1:25" ht="4.5" customHeight="1" thickBot="1">
      <c r="A31" s="2"/>
      <c r="B31" s="168"/>
      <c r="C31" s="611"/>
      <c r="D31" s="313"/>
      <c r="E31" s="1767"/>
      <c r="F31" s="864"/>
      <c r="G31" s="864"/>
      <c r="H31" s="864"/>
      <c r="I31" s="864"/>
      <c r="J31" s="1765"/>
      <c r="K31" s="864"/>
      <c r="L31" s="864"/>
      <c r="M31" s="1766"/>
      <c r="N31" s="154"/>
      <c r="O31" s="148"/>
      <c r="P31" s="148"/>
      <c r="Q31" s="148"/>
      <c r="S31" s="1747"/>
      <c r="T31" s="1747"/>
      <c r="U31" s="1747"/>
    </row>
    <row r="32" spans="1:25" ht="16.5" customHeight="1" thickBot="1">
      <c r="A32" s="2"/>
      <c r="B32" s="168"/>
      <c r="C32" s="611"/>
      <c r="D32" s="313"/>
      <c r="E32" s="1768" t="s">
        <v>979</v>
      </c>
      <c r="F32" s="1769" t="s">
        <v>1121</v>
      </c>
      <c r="G32" s="864"/>
      <c r="H32" s="864"/>
      <c r="I32" s="864"/>
      <c r="J32" s="1765" t="s">
        <v>981</v>
      </c>
      <c r="K32" s="1769" t="s">
        <v>1121</v>
      </c>
      <c r="L32" s="864"/>
      <c r="M32" s="1766"/>
      <c r="N32" s="154"/>
      <c r="O32" s="148"/>
      <c r="P32" s="148"/>
      <c r="Q32" s="148"/>
      <c r="S32" s="1747"/>
      <c r="T32" s="1747" t="s">
        <v>983</v>
      </c>
      <c r="U32" s="1747" t="s">
        <v>982</v>
      </c>
    </row>
    <row r="33" spans="1:21" ht="16.5" customHeight="1">
      <c r="A33" s="2"/>
      <c r="B33" s="168"/>
      <c r="C33" s="611"/>
      <c r="D33" s="313"/>
      <c r="E33" s="1767"/>
      <c r="F33" s="864" t="s">
        <v>984</v>
      </c>
      <c r="G33" s="864"/>
      <c r="H33" s="864"/>
      <c r="I33" s="864"/>
      <c r="J33" s="1765"/>
      <c r="K33" s="864" t="s">
        <v>1061</v>
      </c>
      <c r="L33" s="864"/>
      <c r="M33" s="1766"/>
      <c r="N33" s="154"/>
      <c r="O33" s="148"/>
      <c r="P33" s="148"/>
      <c r="Q33" s="148"/>
      <c r="S33" s="1747"/>
      <c r="T33" s="1747" t="s">
        <v>985</v>
      </c>
      <c r="U33" s="1747" t="s">
        <v>986</v>
      </c>
    </row>
    <row r="34" spans="1:21" ht="16.5" customHeight="1">
      <c r="A34" s="2"/>
      <c r="B34" s="168"/>
      <c r="C34" s="611"/>
      <c r="D34" s="313"/>
      <c r="E34" s="1767"/>
      <c r="F34" s="864" t="s">
        <v>987</v>
      </c>
      <c r="G34" s="864"/>
      <c r="H34" s="864"/>
      <c r="I34" s="864"/>
      <c r="J34" s="1765"/>
      <c r="K34" s="864" t="s">
        <v>1062</v>
      </c>
      <c r="L34" s="864"/>
      <c r="M34" s="1766"/>
      <c r="N34" s="154"/>
      <c r="O34" s="148"/>
      <c r="P34" s="148"/>
      <c r="Q34" s="148"/>
      <c r="S34" s="1747"/>
      <c r="T34" s="1747" t="s">
        <v>980</v>
      </c>
      <c r="U34" s="1747" t="s">
        <v>487</v>
      </c>
    </row>
    <row r="35" spans="1:21" ht="16.5" customHeight="1">
      <c r="A35" s="2"/>
      <c r="B35" s="168"/>
      <c r="C35" s="611"/>
      <c r="D35" s="313"/>
      <c r="E35" s="1767"/>
      <c r="F35" s="864" t="s">
        <v>988</v>
      </c>
      <c r="G35" s="864"/>
      <c r="H35" s="864"/>
      <c r="I35" s="864"/>
      <c r="J35" s="1765"/>
      <c r="K35" s="1838" t="s">
        <v>1063</v>
      </c>
      <c r="L35" s="864"/>
      <c r="M35" s="1766"/>
      <c r="N35" s="154"/>
      <c r="O35" s="148"/>
      <c r="P35" s="148"/>
      <c r="Q35" s="148"/>
      <c r="S35" s="1747"/>
      <c r="T35" s="1747" t="s">
        <v>487</v>
      </c>
      <c r="U35" s="1747"/>
    </row>
    <row r="36" spans="1:21" ht="16.5" customHeight="1">
      <c r="A36" s="2"/>
      <c r="B36" s="168"/>
      <c r="C36" s="611"/>
      <c r="D36" s="313"/>
      <c r="E36" s="1770"/>
      <c r="F36" s="1839" t="s">
        <v>1063</v>
      </c>
      <c r="G36" s="1497"/>
      <c r="H36" s="1497"/>
      <c r="I36" s="1497"/>
      <c r="J36" s="1771"/>
      <c r="K36" s="1497"/>
      <c r="L36" s="1497"/>
      <c r="M36" s="1772"/>
      <c r="N36" s="154"/>
      <c r="O36" s="148"/>
      <c r="P36" s="148"/>
      <c r="Q36" s="148"/>
      <c r="S36" s="1747"/>
      <c r="T36" s="1747"/>
      <c r="U36" s="1747"/>
    </row>
    <row r="37" spans="1:21" ht="7.5" customHeight="1">
      <c r="A37" s="2"/>
      <c r="B37" s="168"/>
      <c r="C37" s="611"/>
      <c r="D37" s="313"/>
      <c r="E37" s="313"/>
      <c r="F37" s="2"/>
      <c r="G37" s="2"/>
      <c r="H37" s="2"/>
      <c r="I37" s="2"/>
      <c r="J37" s="2"/>
      <c r="K37" s="2"/>
      <c r="L37" s="2"/>
      <c r="M37" s="2"/>
      <c r="N37" s="137"/>
    </row>
    <row r="38" spans="1:21" ht="15.75" hidden="1" customHeight="1">
      <c r="A38" s="2"/>
      <c r="B38" s="168"/>
      <c r="C38" s="611"/>
      <c r="D38" s="313"/>
      <c r="E38" s="1749" t="s">
        <v>1026</v>
      </c>
      <c r="F38" s="2"/>
      <c r="G38" s="5"/>
      <c r="H38" s="2"/>
      <c r="I38" s="2"/>
      <c r="J38" s="2"/>
      <c r="K38" s="2"/>
      <c r="L38" s="2"/>
      <c r="M38" s="2"/>
      <c r="N38" s="137"/>
    </row>
    <row r="39" spans="1:21" ht="15.75" hidden="1" customHeight="1">
      <c r="A39" s="2"/>
      <c r="B39" s="168"/>
      <c r="C39" s="611"/>
      <c r="D39" s="313"/>
      <c r="E39" s="1811" t="s">
        <v>1028</v>
      </c>
      <c r="F39" s="1809"/>
      <c r="G39" s="1810"/>
      <c r="H39" s="5"/>
      <c r="I39" s="2"/>
      <c r="J39" s="2"/>
      <c r="K39" s="2"/>
      <c r="L39" s="2"/>
      <c r="M39" s="2"/>
      <c r="N39" s="137"/>
    </row>
    <row r="40" spans="1:21" ht="15.75" hidden="1" customHeight="1">
      <c r="A40" s="2"/>
      <c r="B40" s="168"/>
      <c r="C40" s="611"/>
      <c r="D40" s="313"/>
      <c r="E40" s="1807" t="s">
        <v>973</v>
      </c>
      <c r="F40" s="1808"/>
      <c r="G40" s="1822"/>
      <c r="H40" s="2" t="s">
        <v>1027</v>
      </c>
      <c r="I40" s="2"/>
      <c r="J40" s="2"/>
      <c r="K40" s="2"/>
      <c r="L40" s="2"/>
      <c r="M40" s="2"/>
      <c r="N40" s="137"/>
    </row>
    <row r="41" spans="1:21" ht="15.75" hidden="1" customHeight="1">
      <c r="A41" s="2"/>
      <c r="B41" s="168"/>
      <c r="C41" s="611"/>
      <c r="D41" s="313"/>
      <c r="E41" s="1807" t="s">
        <v>976</v>
      </c>
      <c r="F41" s="1808"/>
      <c r="G41" s="1823"/>
      <c r="H41" s="2" t="s">
        <v>1027</v>
      </c>
      <c r="I41" s="2"/>
      <c r="J41" s="2"/>
      <c r="K41" s="2"/>
      <c r="L41" s="2"/>
      <c r="M41" s="2"/>
      <c r="N41" s="137"/>
    </row>
    <row r="42" spans="1:21" ht="15.75" hidden="1" customHeight="1">
      <c r="A42" s="2"/>
      <c r="B42" s="168"/>
      <c r="C42" s="611"/>
      <c r="D42" s="313"/>
      <c r="E42" s="1807" t="s">
        <v>977</v>
      </c>
      <c r="F42" s="1808"/>
      <c r="G42" s="1823"/>
      <c r="H42" s="2" t="s">
        <v>1027</v>
      </c>
      <c r="I42" s="2"/>
      <c r="J42" s="2"/>
      <c r="K42" s="2"/>
      <c r="L42" s="2"/>
      <c r="M42" s="2"/>
      <c r="N42" s="137"/>
    </row>
    <row r="43" spans="1:21" ht="16.5" hidden="1" customHeight="1" thickBot="1">
      <c r="A43" s="2"/>
      <c r="B43" s="168"/>
      <c r="C43" s="611"/>
      <c r="D43" s="313"/>
      <c r="E43" s="1807" t="s">
        <v>978</v>
      </c>
      <c r="F43" s="1808"/>
      <c r="G43" s="1824"/>
      <c r="H43" s="2" t="s">
        <v>1027</v>
      </c>
      <c r="I43" s="2"/>
      <c r="J43" s="2"/>
      <c r="K43" s="2"/>
      <c r="L43" s="2"/>
      <c r="M43" s="2"/>
      <c r="N43" s="137"/>
    </row>
    <row r="44" spans="1:21" ht="15.75" hidden="1" customHeight="1">
      <c r="A44" s="2"/>
      <c r="B44" s="168"/>
      <c r="C44" s="611"/>
      <c r="D44" s="313"/>
      <c r="E44" s="313"/>
      <c r="F44" s="2"/>
      <c r="G44" s="2"/>
      <c r="H44" s="2"/>
      <c r="I44" s="2"/>
      <c r="J44" s="2"/>
      <c r="K44" s="2"/>
      <c r="L44" s="2"/>
      <c r="M44" s="2"/>
      <c r="N44" s="137"/>
    </row>
    <row r="45" spans="1:21" ht="16.5" customHeight="1">
      <c r="A45" s="2"/>
      <c r="B45" s="168"/>
      <c r="C45" s="611"/>
      <c r="D45" s="148"/>
      <c r="E45" s="786" t="s">
        <v>3</v>
      </c>
      <c r="F45" s="787"/>
      <c r="G45" s="1242"/>
      <c r="H45" s="1242"/>
      <c r="I45" s="1241"/>
      <c r="J45" s="1243"/>
      <c r="K45" s="1243"/>
      <c r="L45" s="1243"/>
      <c r="M45" s="1244"/>
      <c r="N45" s="137"/>
      <c r="P45" s="1744" t="s">
        <v>707</v>
      </c>
      <c r="U45" s="588">
        <f>$Q$9</f>
        <v>1</v>
      </c>
    </row>
    <row r="46" spans="1:21" ht="16.5" customHeight="1">
      <c r="A46" s="2"/>
      <c r="B46"/>
      <c r="C46"/>
      <c r="D46"/>
      <c r="E46"/>
      <c r="F46"/>
      <c r="G46"/>
      <c r="H46"/>
      <c r="I46"/>
      <c r="J46"/>
      <c r="K46"/>
      <c r="L46"/>
      <c r="M46"/>
      <c r="N46" s="137"/>
      <c r="P46" s="588"/>
      <c r="U46" s="588">
        <f>$Q$10</f>
        <v>2</v>
      </c>
    </row>
    <row r="47" spans="1:21" ht="10.5" customHeight="1">
      <c r="A47" s="2"/>
      <c r="B47" s="168"/>
      <c r="C47" s="38"/>
      <c r="D47" s="42"/>
      <c r="E47" s="42"/>
      <c r="F47" s="42"/>
      <c r="G47" s="42"/>
      <c r="H47" s="42"/>
      <c r="I47" s="42"/>
      <c r="J47" s="158"/>
      <c r="K47" s="158"/>
      <c r="L47" s="158"/>
      <c r="M47" s="158"/>
      <c r="N47" s="137"/>
      <c r="P47" s="619"/>
      <c r="T47" s="602"/>
      <c r="U47" s="619"/>
    </row>
    <row r="48" spans="1:21" ht="15.75">
      <c r="A48" s="2"/>
      <c r="B48" s="570">
        <v>1.2</v>
      </c>
      <c r="C48" s="151" t="s">
        <v>654</v>
      </c>
      <c r="D48" s="151"/>
      <c r="E48" s="42"/>
      <c r="F48" s="42"/>
      <c r="G48" s="42"/>
      <c r="H48" s="42"/>
      <c r="I48" s="42"/>
      <c r="J48" s="158"/>
      <c r="K48" s="158"/>
      <c r="L48" s="158"/>
      <c r="M48" s="158"/>
      <c r="N48" s="137"/>
      <c r="P48" s="384"/>
      <c r="T48" s="602"/>
      <c r="U48" s="384"/>
    </row>
    <row r="49" spans="1:25" s="331" customFormat="1" ht="16.5" customHeight="1" thickBot="1">
      <c r="A49" s="24"/>
      <c r="B49" s="26"/>
      <c r="C49" s="26"/>
      <c r="D49" s="26"/>
      <c r="E49" s="306"/>
      <c r="F49" s="306"/>
      <c r="G49" s="306"/>
      <c r="H49" s="306"/>
      <c r="I49" s="154"/>
      <c r="J49" s="418"/>
      <c r="K49" s="154"/>
      <c r="L49" s="180" t="s">
        <v>2</v>
      </c>
      <c r="M49" s="177">
        <f>重み!M55</f>
        <v>0.1</v>
      </c>
      <c r="N49" s="306"/>
      <c r="O49" s="328">
        <f t="shared" ref="O49:U49" si="1">C49</f>
        <v>0</v>
      </c>
      <c r="P49" s="328">
        <f t="shared" si="1"/>
        <v>0</v>
      </c>
      <c r="Q49" s="328">
        <f t="shared" si="1"/>
        <v>0</v>
      </c>
      <c r="R49" s="328">
        <f t="shared" si="1"/>
        <v>0</v>
      </c>
      <c r="S49" s="328">
        <f t="shared" si="1"/>
        <v>0</v>
      </c>
      <c r="T49" s="328">
        <f t="shared" si="1"/>
        <v>0</v>
      </c>
      <c r="U49" s="328">
        <f t="shared" si="1"/>
        <v>0</v>
      </c>
      <c r="V49" s="328">
        <f>J49</f>
        <v>0</v>
      </c>
      <c r="W49" s="328">
        <f>K49</f>
        <v>0</v>
      </c>
      <c r="X49" s="328" t="str">
        <f>L49</f>
        <v>重み係数＝</v>
      </c>
      <c r="Y49" s="328">
        <f>M49</f>
        <v>0.1</v>
      </c>
    </row>
    <row r="50" spans="1:25" ht="16.5" customHeight="1" thickBot="1">
      <c r="A50" s="2"/>
      <c r="B50" s="168"/>
      <c r="C50" s="137"/>
      <c r="D50" s="1078">
        <f>ROUND(IF(F63&lt;1,1,IF(F63&lt;2,3,IF(F63&lt;5,4,5))),0)</f>
        <v>3</v>
      </c>
      <c r="E50" s="2349" t="s">
        <v>467</v>
      </c>
      <c r="F50" s="2350"/>
      <c r="G50" s="2350"/>
      <c r="H50" s="2350"/>
      <c r="I50" s="2350"/>
      <c r="J50" s="2350"/>
      <c r="K50" s="2350"/>
      <c r="L50" s="2350"/>
      <c r="M50" s="2351"/>
      <c r="N50" s="137"/>
    </row>
    <row r="51" spans="1:25" ht="16.5" customHeight="1">
      <c r="A51" s="2"/>
      <c r="B51" s="168"/>
      <c r="C51" s="137"/>
      <c r="D51" s="36" t="str">
        <f>IF(D50=$Q$14,$R$9,IF(ROUNDDOWN(D50,0)=$Q$9,$S$9,$R$9))</f>
        <v>　レベル　1</v>
      </c>
      <c r="E51" s="526" t="s">
        <v>655</v>
      </c>
      <c r="F51" s="584"/>
      <c r="G51" s="584"/>
      <c r="H51" s="584"/>
      <c r="I51" s="584"/>
      <c r="J51" s="584"/>
      <c r="K51" s="584"/>
      <c r="L51" s="584"/>
      <c r="M51" s="585"/>
      <c r="N51" s="137"/>
      <c r="P51" s="588">
        <f>$Q$9</f>
        <v>1</v>
      </c>
      <c r="U51" s="588">
        <f>$Q$9</f>
        <v>1</v>
      </c>
    </row>
    <row r="52" spans="1:25" ht="16.5" customHeight="1">
      <c r="A52" s="2"/>
      <c r="B52" s="168"/>
      <c r="C52" s="137"/>
      <c r="D52" s="39" t="str">
        <f>IF(D50=$Q$14,$R$10,IF(ROUNDDOWN(D50,0)=$Q$10,$S$10,$R$10))</f>
        <v>　レベル　2</v>
      </c>
      <c r="E52" s="527" t="s">
        <v>459</v>
      </c>
      <c r="F52" s="586"/>
      <c r="G52" s="586"/>
      <c r="H52" s="586"/>
      <c r="I52" s="586"/>
      <c r="J52" s="586"/>
      <c r="K52" s="586"/>
      <c r="L52" s="586"/>
      <c r="M52" s="587"/>
      <c r="N52" s="137"/>
      <c r="P52" s="588" t="s">
        <v>75</v>
      </c>
      <c r="U52" s="588">
        <f>$Q$10</f>
        <v>2</v>
      </c>
    </row>
    <row r="53" spans="1:25" ht="16.5" customHeight="1">
      <c r="A53" s="2"/>
      <c r="B53" s="168"/>
      <c r="C53" s="137"/>
      <c r="D53" s="39" t="str">
        <f>IF(D50=$Q$14,$R$11,IF(ROUNDDOWN(D50,0)=$Q$11,$S$11,$R$11))</f>
        <v>■レベル　3</v>
      </c>
      <c r="E53" s="527" t="s">
        <v>656</v>
      </c>
      <c r="F53" s="586"/>
      <c r="G53" s="586"/>
      <c r="H53" s="586"/>
      <c r="I53" s="586"/>
      <c r="J53" s="586"/>
      <c r="K53" s="586"/>
      <c r="L53" s="586"/>
      <c r="M53" s="587"/>
      <c r="N53" s="137"/>
      <c r="P53" s="588">
        <f>$Q$11</f>
        <v>3</v>
      </c>
      <c r="U53" s="588">
        <f>$Q$11</f>
        <v>3</v>
      </c>
    </row>
    <row r="54" spans="1:25" ht="16.5" customHeight="1">
      <c r="A54" s="2"/>
      <c r="B54" s="168"/>
      <c r="C54" s="137"/>
      <c r="D54" s="39" t="str">
        <f>IF(D50=$Q$14,$R$12,IF(ROUNDDOWN(D50,0)=$Q$12,$S$12,$R$12))</f>
        <v>　レベル　4</v>
      </c>
      <c r="E54" s="539" t="s">
        <v>657</v>
      </c>
      <c r="F54" s="589"/>
      <c r="G54" s="589"/>
      <c r="H54" s="589"/>
      <c r="I54" s="589"/>
      <c r="J54" s="589"/>
      <c r="K54" s="589"/>
      <c r="L54" s="589"/>
      <c r="M54" s="590"/>
      <c r="N54" s="137"/>
      <c r="P54" s="588">
        <f>$Q$12</f>
        <v>4</v>
      </c>
      <c r="Q54" s="602"/>
      <c r="R54" s="602"/>
      <c r="S54" s="602"/>
      <c r="U54" s="588">
        <f>$Q$12</f>
        <v>4</v>
      </c>
    </row>
    <row r="55" spans="1:25" ht="16.5" customHeight="1">
      <c r="A55" s="2"/>
      <c r="B55" s="168"/>
      <c r="C55" s="137"/>
      <c r="D55" s="37" t="str">
        <f>IF(D50=$Q$14,$R$13,IF(ROUNDDOWN(D50,0)=$Q$13,$S$13,$R$13))</f>
        <v>　レベル　5</v>
      </c>
      <c r="E55" s="565" t="s">
        <v>658</v>
      </c>
      <c r="F55" s="591"/>
      <c r="G55" s="591"/>
      <c r="H55" s="591"/>
      <c r="I55" s="591"/>
      <c r="J55" s="591"/>
      <c r="K55" s="591"/>
      <c r="L55" s="591"/>
      <c r="M55" s="592"/>
      <c r="N55" s="137"/>
      <c r="P55" s="588">
        <f>$Q$13</f>
        <v>5</v>
      </c>
      <c r="U55" s="588">
        <f>$Q$13</f>
        <v>5</v>
      </c>
    </row>
    <row r="56" spans="1:25" ht="16.5" customHeight="1">
      <c r="A56" s="2"/>
      <c r="B56" s="168"/>
      <c r="C56" s="38"/>
      <c r="D56" s="42"/>
      <c r="E56" s="156" t="s">
        <v>41</v>
      </c>
      <c r="F56" s="32"/>
      <c r="G56" s="32"/>
      <c r="H56" s="32"/>
      <c r="I56" s="32"/>
      <c r="J56" s="32"/>
      <c r="K56" s="32"/>
      <c r="L56" s="154"/>
      <c r="M56" s="154"/>
      <c r="N56" s="137"/>
      <c r="P56" s="588" t="s">
        <v>75</v>
      </c>
      <c r="T56" s="602"/>
      <c r="U56" s="588" t="str">
        <f>$Q$14</f>
        <v>対象外</v>
      </c>
    </row>
    <row r="57" spans="1:25" ht="16.5" customHeight="1" thickBot="1">
      <c r="A57" s="2"/>
      <c r="B57" s="168"/>
      <c r="C57" s="38"/>
      <c r="D57" s="138"/>
      <c r="E57" s="144" t="s">
        <v>394</v>
      </c>
      <c r="F57" s="511" t="s">
        <v>546</v>
      </c>
      <c r="G57" s="374"/>
      <c r="H57" s="512"/>
      <c r="I57" s="511" t="s">
        <v>91</v>
      </c>
      <c r="J57" s="374"/>
      <c r="K57" s="374"/>
      <c r="L57" s="512"/>
      <c r="M57" s="169" t="s">
        <v>424</v>
      </c>
      <c r="N57" s="137"/>
    </row>
    <row r="58" spans="1:25" ht="16.5" customHeight="1">
      <c r="A58" s="2"/>
      <c r="B58" s="168"/>
      <c r="C58" s="38"/>
      <c r="D58" s="138"/>
      <c r="E58" s="1095">
        <v>0</v>
      </c>
      <c r="F58" s="1677" t="s">
        <v>115</v>
      </c>
      <c r="G58" s="586" t="s">
        <v>659</v>
      </c>
      <c r="H58" s="596"/>
      <c r="I58" s="586" t="s">
        <v>800</v>
      </c>
      <c r="J58" s="598"/>
      <c r="K58" s="598"/>
      <c r="L58" s="593"/>
      <c r="M58" s="1692">
        <v>2</v>
      </c>
      <c r="N58" s="138"/>
      <c r="P58" s="5">
        <v>0</v>
      </c>
      <c r="Q58" s="5">
        <f>M58</f>
        <v>2</v>
      </c>
    </row>
    <row r="59" spans="1:25" ht="16.5" customHeight="1">
      <c r="A59" s="2"/>
      <c r="B59" s="168"/>
      <c r="C59" s="38"/>
      <c r="D59" s="138"/>
      <c r="E59" s="1096">
        <v>0</v>
      </c>
      <c r="F59" s="2426" t="s">
        <v>114</v>
      </c>
      <c r="G59" s="586" t="s">
        <v>660</v>
      </c>
      <c r="H59" s="587"/>
      <c r="I59" s="586" t="s">
        <v>955</v>
      </c>
      <c r="J59" s="552"/>
      <c r="K59" s="552"/>
      <c r="L59" s="594"/>
      <c r="M59" s="1693">
        <v>1</v>
      </c>
      <c r="N59" s="138"/>
      <c r="P59" s="5">
        <v>0</v>
      </c>
      <c r="Q59" s="5">
        <f>M59</f>
        <v>1</v>
      </c>
    </row>
    <row r="60" spans="1:25" ht="16.5" customHeight="1">
      <c r="A60" s="2"/>
      <c r="B60" s="168"/>
      <c r="C60" s="38"/>
      <c r="D60" s="138"/>
      <c r="E60" s="1847">
        <v>0</v>
      </c>
      <c r="F60" s="2427"/>
      <c r="G60" s="2170" t="s">
        <v>661</v>
      </c>
      <c r="H60" s="1846"/>
      <c r="I60" s="586" t="s">
        <v>800</v>
      </c>
      <c r="J60" s="552"/>
      <c r="K60" s="552"/>
      <c r="L60" s="594"/>
      <c r="M60" s="1693">
        <v>1</v>
      </c>
      <c r="N60" s="138"/>
      <c r="P60" s="5">
        <v>0</v>
      </c>
      <c r="Q60" s="5">
        <f>M60</f>
        <v>1</v>
      </c>
    </row>
    <row r="61" spans="1:25" ht="16.5" customHeight="1">
      <c r="A61" s="2"/>
      <c r="B61" s="168"/>
      <c r="C61" s="38"/>
      <c r="D61" s="138"/>
      <c r="E61" s="2434">
        <v>1</v>
      </c>
      <c r="F61" s="2428"/>
      <c r="G61" s="586" t="s">
        <v>662</v>
      </c>
      <c r="H61" s="587"/>
      <c r="I61" s="586" t="s">
        <v>894</v>
      </c>
      <c r="J61" s="552"/>
      <c r="K61" s="552"/>
      <c r="L61" s="594"/>
      <c r="M61" s="1693">
        <v>1</v>
      </c>
      <c r="N61" s="138"/>
      <c r="P61" s="5">
        <v>0</v>
      </c>
      <c r="Q61" s="5">
        <f>M61</f>
        <v>1</v>
      </c>
    </row>
    <row r="62" spans="1:25" ht="16.5" customHeight="1" thickBot="1">
      <c r="A62" s="2"/>
      <c r="B62" s="168"/>
      <c r="C62" s="168"/>
      <c r="D62" s="138"/>
      <c r="E62" s="2435"/>
      <c r="F62" s="595" t="s">
        <v>116</v>
      </c>
      <c r="G62" s="597" t="s">
        <v>663</v>
      </c>
      <c r="H62" s="597"/>
      <c r="I62" s="2358" t="s">
        <v>801</v>
      </c>
      <c r="J62" s="2363"/>
      <c r="K62" s="2363"/>
      <c r="L62" s="2364"/>
      <c r="M62" s="1694">
        <v>1</v>
      </c>
      <c r="N62" s="138"/>
    </row>
    <row r="63" spans="1:25" ht="16.5" customHeight="1">
      <c r="A63" s="2"/>
      <c r="B63" s="1046"/>
      <c r="C63" s="38"/>
      <c r="D63" s="138"/>
      <c r="E63" s="600" t="s">
        <v>535</v>
      </c>
      <c r="F63" s="560">
        <f>SUM(E58:E62)</f>
        <v>1</v>
      </c>
      <c r="G63" s="1056"/>
      <c r="H63" s="1056"/>
      <c r="I63" s="374"/>
      <c r="J63" s="560"/>
      <c r="K63" s="560"/>
      <c r="L63" s="374"/>
      <c r="M63" s="562"/>
      <c r="N63" s="138"/>
    </row>
    <row r="64" spans="1:25" s="148" customFormat="1" ht="8.25" customHeight="1">
      <c r="A64" s="55"/>
      <c r="B64" s="168"/>
      <c r="C64" s="611"/>
      <c r="D64" s="313"/>
      <c r="E64" s="313"/>
      <c r="F64" s="2"/>
      <c r="G64" s="2"/>
      <c r="H64" s="2"/>
      <c r="I64" s="2"/>
      <c r="J64" s="2"/>
      <c r="K64" s="2"/>
      <c r="L64" s="2"/>
      <c r="M64" s="2"/>
      <c r="N64" s="154"/>
      <c r="P64" s="588" t="s">
        <v>75</v>
      </c>
      <c r="Q64" s="328" t="s">
        <v>99</v>
      </c>
      <c r="R64" s="5"/>
      <c r="S64" s="5"/>
      <c r="T64" s="136"/>
    </row>
    <row r="65" spans="1:25" s="148" customFormat="1" ht="21" customHeight="1">
      <c r="A65" s="55"/>
      <c r="B65" s="168"/>
      <c r="C65" s="611"/>
      <c r="E65" s="786" t="s">
        <v>3</v>
      </c>
      <c r="F65" s="787"/>
      <c r="G65" s="1242"/>
      <c r="H65" s="1242"/>
      <c r="I65" s="1241"/>
      <c r="J65" s="1243"/>
      <c r="K65" s="1243"/>
      <c r="L65" s="1243"/>
      <c r="M65" s="1244"/>
      <c r="N65" s="154"/>
      <c r="P65" s="619"/>
      <c r="Q65" s="328"/>
      <c r="R65" s="5"/>
      <c r="S65" s="5"/>
      <c r="T65" s="136"/>
      <c r="U65" s="619"/>
      <c r="V65" s="136"/>
      <c r="W65" s="136"/>
      <c r="X65" s="136"/>
      <c r="Y65" s="136"/>
    </row>
    <row r="66" spans="1:25" ht="11.25" customHeight="1">
      <c r="A66" s="2"/>
      <c r="B66" s="168"/>
      <c r="C66" s="38"/>
      <c r="D66" s="42"/>
      <c r="E66" s="42"/>
      <c r="F66" s="42"/>
      <c r="G66" s="42"/>
      <c r="H66" s="42"/>
      <c r="I66" s="42"/>
      <c r="J66" s="158"/>
      <c r="K66" s="158"/>
      <c r="L66" s="158"/>
      <c r="M66" s="158"/>
      <c r="N66" s="137"/>
      <c r="Q66" s="331"/>
      <c r="R66" s="331"/>
      <c r="S66" s="331"/>
    </row>
    <row r="67" spans="1:25">
      <c r="A67" s="2"/>
      <c r="B67" s="164"/>
      <c r="C67" s="3"/>
      <c r="D67" s="315"/>
      <c r="E67" s="315"/>
      <c r="F67" s="315"/>
      <c r="G67" s="315"/>
      <c r="H67" s="315"/>
      <c r="I67" s="315"/>
      <c r="J67" s="162"/>
      <c r="K67" s="162"/>
      <c r="L67" s="162"/>
      <c r="M67" s="162"/>
      <c r="N67" s="137"/>
      <c r="Q67" s="331"/>
      <c r="R67" s="331"/>
      <c r="S67" s="331"/>
    </row>
    <row r="68" spans="1:25" s="331" customFormat="1" ht="14.25" customHeight="1">
      <c r="A68" s="24"/>
      <c r="B68" s="311">
        <v>2</v>
      </c>
      <c r="C68" s="151" t="s">
        <v>529</v>
      </c>
      <c r="D68" s="154"/>
      <c r="E68" s="154"/>
      <c r="F68" s="315"/>
      <c r="G68" s="154"/>
      <c r="H68" s="154"/>
      <c r="I68" s="154"/>
      <c r="J68" s="154"/>
      <c r="K68" s="154"/>
      <c r="L68" s="154"/>
      <c r="M68" s="154"/>
      <c r="N68" s="306"/>
      <c r="Q68" s="5"/>
      <c r="R68" s="5"/>
      <c r="S68" s="5"/>
    </row>
    <row r="69" spans="1:25" s="331" customFormat="1" ht="14.25" customHeight="1">
      <c r="A69" s="24"/>
      <c r="B69" s="1090">
        <v>2.1</v>
      </c>
      <c r="C69" s="151" t="s">
        <v>530</v>
      </c>
      <c r="D69" s="154"/>
      <c r="E69" s="314"/>
      <c r="F69" s="315"/>
      <c r="G69" s="154"/>
      <c r="H69" s="154"/>
      <c r="I69" s="154"/>
      <c r="J69" s="314"/>
      <c r="K69" s="154"/>
      <c r="L69" s="154"/>
      <c r="M69" s="154"/>
      <c r="N69" s="306"/>
      <c r="O69" s="328"/>
      <c r="P69" s="328"/>
      <c r="Q69" s="328"/>
      <c r="R69" s="328"/>
      <c r="S69" s="328"/>
      <c r="T69" s="328"/>
      <c r="U69" s="328"/>
      <c r="V69" s="328"/>
      <c r="W69" s="328"/>
      <c r="X69" s="328"/>
    </row>
    <row r="70" spans="1:25" ht="16.5" customHeight="1" thickBot="1">
      <c r="A70" s="2"/>
      <c r="B70" s="40"/>
      <c r="C70" s="40"/>
      <c r="D70" s="139"/>
      <c r="E70" s="306"/>
      <c r="F70" s="306"/>
      <c r="G70" s="306"/>
      <c r="H70" s="306"/>
      <c r="I70" s="154"/>
      <c r="J70" s="418"/>
      <c r="K70" s="154"/>
      <c r="L70" s="180" t="s">
        <v>2</v>
      </c>
      <c r="M70" s="177">
        <f>重み!M57</f>
        <v>0.75</v>
      </c>
      <c r="N70" s="137"/>
      <c r="O70" s="328">
        <f t="shared" ref="O70:U70" si="2">C70</f>
        <v>0</v>
      </c>
      <c r="P70" s="328">
        <f t="shared" si="2"/>
        <v>0</v>
      </c>
      <c r="Q70" s="328">
        <f t="shared" si="2"/>
        <v>0</v>
      </c>
      <c r="R70" s="328">
        <f t="shared" si="2"/>
        <v>0</v>
      </c>
      <c r="S70" s="328">
        <f t="shared" si="2"/>
        <v>0</v>
      </c>
      <c r="T70" s="328">
        <f t="shared" si="2"/>
        <v>0</v>
      </c>
      <c r="U70" s="328">
        <f t="shared" si="2"/>
        <v>0</v>
      </c>
      <c r="V70" s="328">
        <f>J70</f>
        <v>0</v>
      </c>
      <c r="W70" s="328">
        <f>K70</f>
        <v>0</v>
      </c>
      <c r="X70" s="328" t="str">
        <f>L70</f>
        <v>重み係数＝</v>
      </c>
      <c r="Y70" s="328">
        <f>M70</f>
        <v>0.75</v>
      </c>
    </row>
    <row r="71" spans="1:25" ht="16.5" customHeight="1" thickBot="1">
      <c r="A71" s="2"/>
      <c r="B71" s="40"/>
      <c r="C71" s="40"/>
      <c r="D71" s="1078">
        <f>ROUND(IF(F82=0,1,IF(F82&lt;=1,3,IF(F82&lt;=2,4,5))),0)</f>
        <v>3</v>
      </c>
      <c r="E71" s="2349" t="s">
        <v>467</v>
      </c>
      <c r="F71" s="2350"/>
      <c r="G71" s="2350"/>
      <c r="H71" s="2350"/>
      <c r="I71" s="2350"/>
      <c r="J71" s="2350"/>
      <c r="K71" s="2350"/>
      <c r="L71" s="2350"/>
      <c r="M71" s="2351"/>
      <c r="N71" s="137"/>
    </row>
    <row r="72" spans="1:25" ht="16.5" customHeight="1">
      <c r="A72" s="2"/>
      <c r="B72" s="40"/>
      <c r="C72" s="40"/>
      <c r="D72" s="36" t="str">
        <f>IF(D71=$Q$14,$R$9,IF(ROUNDDOWN(D71,0)=$Q$9,$S$9,$R$9))</f>
        <v>　レベル　1</v>
      </c>
      <c r="E72" s="526" t="s">
        <v>1074</v>
      </c>
      <c r="F72" s="584"/>
      <c r="G72" s="584"/>
      <c r="H72" s="584"/>
      <c r="I72" s="584"/>
      <c r="J72" s="584"/>
      <c r="K72" s="584"/>
      <c r="L72" s="584"/>
      <c r="M72" s="585"/>
      <c r="N72" s="137"/>
      <c r="P72" s="588">
        <f>$Q$9</f>
        <v>1</v>
      </c>
      <c r="U72" s="588">
        <f>$Q$9</f>
        <v>1</v>
      </c>
    </row>
    <row r="73" spans="1:25" ht="16.5" customHeight="1">
      <c r="A73" s="2"/>
      <c r="B73" s="40"/>
      <c r="C73" s="40"/>
      <c r="D73" s="39" t="str">
        <f>IF(D71=$Q$14,$R$10,IF(ROUNDDOWN(D71,0)=$Q$10,$S$10,$R$10))</f>
        <v>　レベル　2</v>
      </c>
      <c r="E73" s="527" t="s">
        <v>459</v>
      </c>
      <c r="F73" s="586"/>
      <c r="G73" s="586"/>
      <c r="H73" s="586"/>
      <c r="I73" s="586"/>
      <c r="J73" s="586"/>
      <c r="K73" s="586"/>
      <c r="L73" s="586"/>
      <c r="M73" s="587"/>
      <c r="N73" s="137"/>
      <c r="P73" s="588" t="s">
        <v>62</v>
      </c>
      <c r="U73" s="588">
        <f>$Q$10</f>
        <v>2</v>
      </c>
    </row>
    <row r="74" spans="1:25" ht="16.5" customHeight="1">
      <c r="A74" s="2"/>
      <c r="B74" s="40"/>
      <c r="C74" s="40"/>
      <c r="D74" s="39" t="str">
        <f>IF(D71=$Q$14,$R$11,IF(ROUNDDOWN(D71,0)=$Q$11,$S$11,$R$11))</f>
        <v>■レベル　3</v>
      </c>
      <c r="E74" s="527" t="s">
        <v>1075</v>
      </c>
      <c r="F74" s="586"/>
      <c r="G74" s="586"/>
      <c r="H74" s="586"/>
      <c r="I74" s="586"/>
      <c r="J74" s="586"/>
      <c r="K74" s="586"/>
      <c r="L74" s="586"/>
      <c r="M74" s="587"/>
      <c r="N74" s="137"/>
      <c r="P74" s="588">
        <f>$Q$11</f>
        <v>3</v>
      </c>
      <c r="U74" s="588">
        <f>$Q$11</f>
        <v>3</v>
      </c>
    </row>
    <row r="75" spans="1:25" ht="16.5" customHeight="1">
      <c r="A75" s="2"/>
      <c r="B75" s="40"/>
      <c r="C75" s="40"/>
      <c r="D75" s="39" t="str">
        <f>IF(D71=$Q$14,$R$12,IF(ROUNDDOWN(D71,0)=$Q$12,$S$12,$R$12))</f>
        <v>　レベル　4</v>
      </c>
      <c r="E75" s="539" t="s">
        <v>1076</v>
      </c>
      <c r="F75" s="589"/>
      <c r="G75" s="589"/>
      <c r="H75" s="589"/>
      <c r="I75" s="589"/>
      <c r="J75" s="589"/>
      <c r="K75" s="589"/>
      <c r="L75" s="589"/>
      <c r="M75" s="590"/>
      <c r="N75" s="137"/>
      <c r="P75" s="588">
        <f>$Q$12</f>
        <v>4</v>
      </c>
      <c r="Q75" s="602"/>
      <c r="R75" s="602"/>
      <c r="S75" s="602"/>
      <c r="U75" s="588">
        <f>$Q$12</f>
        <v>4</v>
      </c>
    </row>
    <row r="76" spans="1:25" ht="16.5" customHeight="1">
      <c r="A76" s="2"/>
      <c r="B76" s="40"/>
      <c r="C76" s="40"/>
      <c r="D76" s="37" t="str">
        <f>IF(D71=$Q$14,$R$13,IF(ROUNDDOWN(D71,0)=$Q$13,$S$13,$R$13))</f>
        <v>　レベル　5</v>
      </c>
      <c r="E76" s="565" t="s">
        <v>1077</v>
      </c>
      <c r="F76" s="591"/>
      <c r="G76" s="591"/>
      <c r="H76" s="591"/>
      <c r="I76" s="591"/>
      <c r="J76" s="591"/>
      <c r="K76" s="591"/>
      <c r="L76" s="591"/>
      <c r="M76" s="592"/>
      <c r="N76" s="137"/>
      <c r="P76" s="588">
        <f>$Q$13</f>
        <v>5</v>
      </c>
      <c r="Q76" s="148"/>
      <c r="U76" s="588">
        <f>$Q$13</f>
        <v>5</v>
      </c>
    </row>
    <row r="77" spans="1:25" ht="16.5" customHeight="1">
      <c r="A77" s="2"/>
      <c r="B77" s="40"/>
      <c r="C77" s="55"/>
      <c r="D77" s="159"/>
      <c r="E77" s="156" t="s">
        <v>41</v>
      </c>
      <c r="F77" s="55"/>
      <c r="G77" s="155"/>
      <c r="H77" s="44"/>
      <c r="I77" s="44"/>
      <c r="J77" s="55"/>
      <c r="K77" s="55"/>
      <c r="L77" s="55"/>
      <c r="M77" s="55"/>
      <c r="N77" s="55"/>
      <c r="O77" s="148"/>
      <c r="P77" s="588" t="s">
        <v>75</v>
      </c>
      <c r="Q77" s="148"/>
      <c r="T77" s="602"/>
      <c r="U77" s="588" t="str">
        <f>$Q$14</f>
        <v>対象外</v>
      </c>
    </row>
    <row r="78" spans="1:25" ht="16.5" customHeight="1" thickBot="1">
      <c r="A78" s="2"/>
      <c r="B78" s="164"/>
      <c r="C78" s="164"/>
      <c r="D78" s="164"/>
      <c r="E78" s="144" t="s">
        <v>394</v>
      </c>
      <c r="F78" s="515" t="s">
        <v>85</v>
      </c>
      <c r="G78" s="2375" t="s">
        <v>802</v>
      </c>
      <c r="H78" s="2376"/>
      <c r="I78" s="2376"/>
      <c r="J78" s="2376"/>
      <c r="K78" s="2376"/>
      <c r="L78" s="2376"/>
      <c r="M78" s="2377"/>
      <c r="N78" s="55"/>
      <c r="O78" s="148"/>
      <c r="P78" s="148"/>
      <c r="Q78" s="148"/>
    </row>
    <row r="79" spans="1:25" ht="16.5" customHeight="1">
      <c r="A79" s="2"/>
      <c r="B79" s="164"/>
      <c r="C79" s="137"/>
      <c r="D79" s="164"/>
      <c r="E79" s="1238" t="s">
        <v>763</v>
      </c>
      <c r="F79" s="516">
        <v>1</v>
      </c>
      <c r="G79" s="545" t="s">
        <v>664</v>
      </c>
      <c r="H79" s="546"/>
      <c r="I79" s="546"/>
      <c r="J79" s="546"/>
      <c r="K79" s="546"/>
      <c r="L79" s="546"/>
      <c r="M79" s="534"/>
      <c r="N79" s="55"/>
      <c r="O79" s="148"/>
      <c r="P79" s="148"/>
      <c r="Q79" s="148"/>
    </row>
    <row r="80" spans="1:25" ht="16.5" customHeight="1">
      <c r="A80" s="2"/>
      <c r="B80" s="164"/>
      <c r="C80" s="137"/>
      <c r="D80" s="164"/>
      <c r="E80" s="1239"/>
      <c r="F80" s="552">
        <v>2</v>
      </c>
      <c r="G80" s="539" t="s">
        <v>665</v>
      </c>
      <c r="H80" s="538"/>
      <c r="I80" s="538"/>
      <c r="J80" s="538"/>
      <c r="K80" s="538"/>
      <c r="L80" s="538"/>
      <c r="M80" s="542"/>
      <c r="N80" s="55"/>
      <c r="O80" s="148"/>
      <c r="P80" s="148"/>
      <c r="Q80" s="148"/>
    </row>
    <row r="81" spans="1:25" ht="16.5" customHeight="1" thickBot="1">
      <c r="A81" s="2"/>
      <c r="B81" s="164"/>
      <c r="C81" s="137"/>
      <c r="D81" s="164"/>
      <c r="E81" s="1240"/>
      <c r="F81" s="554">
        <v>3</v>
      </c>
      <c r="G81" s="548" t="s">
        <v>666</v>
      </c>
      <c r="H81" s="532"/>
      <c r="I81" s="532"/>
      <c r="J81" s="532"/>
      <c r="K81" s="532"/>
      <c r="L81" s="532"/>
      <c r="M81" s="531"/>
      <c r="N81" s="55"/>
      <c r="O81" s="148"/>
      <c r="P81" s="148"/>
      <c r="Q81" s="148"/>
    </row>
    <row r="82" spans="1:25" ht="16.5" customHeight="1">
      <c r="A82" s="2"/>
      <c r="B82" s="1057"/>
      <c r="C82" s="137"/>
      <c r="D82" s="1057"/>
      <c r="E82" s="600" t="s">
        <v>284</v>
      </c>
      <c r="F82" s="1045">
        <f>COUNTIF(E79:E81,"○")</f>
        <v>1</v>
      </c>
      <c r="G82" s="1058"/>
      <c r="H82" s="1058"/>
      <c r="I82" s="143"/>
      <c r="J82" s="143"/>
      <c r="K82" s="143"/>
      <c r="L82" s="143"/>
      <c r="M82" s="512"/>
      <c r="N82" s="55"/>
      <c r="O82" s="148"/>
      <c r="P82" s="148"/>
    </row>
    <row r="83" spans="1:25" s="148" customFormat="1" ht="8.25" customHeight="1">
      <c r="A83" s="55"/>
      <c r="B83" s="168"/>
      <c r="C83" s="611"/>
      <c r="D83" s="313"/>
      <c r="E83" s="313"/>
      <c r="F83" s="2"/>
      <c r="G83" s="2"/>
      <c r="H83" s="2"/>
      <c r="I83" s="2"/>
      <c r="J83" s="2"/>
      <c r="K83" s="2"/>
      <c r="L83" s="2"/>
      <c r="M83" s="2"/>
      <c r="N83" s="154"/>
      <c r="P83" s="588" t="s">
        <v>75</v>
      </c>
      <c r="Q83" s="328" t="s">
        <v>99</v>
      </c>
      <c r="R83" s="5"/>
      <c r="S83" s="5"/>
      <c r="T83" s="136"/>
    </row>
    <row r="84" spans="1:25" s="148" customFormat="1" ht="21" customHeight="1">
      <c r="A84" s="55"/>
      <c r="B84" s="168"/>
      <c r="C84" s="611"/>
      <c r="E84" s="786" t="s">
        <v>3</v>
      </c>
      <c r="F84" s="787"/>
      <c r="G84" s="1242"/>
      <c r="H84" s="1242"/>
      <c r="I84" s="1241"/>
      <c r="J84" s="1243"/>
      <c r="K84" s="1243"/>
      <c r="L84" s="1243"/>
      <c r="M84" s="1244"/>
      <c r="N84" s="154"/>
      <c r="P84" s="619"/>
      <c r="Q84" s="328"/>
      <c r="R84" s="5"/>
      <c r="S84" s="5"/>
      <c r="T84" s="136"/>
      <c r="U84" s="619"/>
      <c r="V84" s="136"/>
      <c r="W84" s="136"/>
      <c r="X84" s="136"/>
      <c r="Y84" s="136"/>
    </row>
    <row r="85" spans="1:25" ht="14.25" customHeight="1">
      <c r="A85" s="6"/>
      <c r="B85" s="164"/>
      <c r="C85" s="164"/>
      <c r="D85" s="164"/>
      <c r="E85" s="164"/>
      <c r="F85" s="164"/>
      <c r="G85" s="164"/>
      <c r="H85" s="164"/>
      <c r="I85" s="164"/>
      <c r="J85" s="164"/>
      <c r="K85" s="164"/>
      <c r="L85" s="55"/>
      <c r="M85" s="55"/>
      <c r="N85" s="55"/>
      <c r="O85" s="148"/>
      <c r="P85" s="148"/>
    </row>
    <row r="86" spans="1:25" s="331" customFormat="1" ht="14.25" customHeight="1">
      <c r="A86" s="24"/>
      <c r="B86" s="1090">
        <v>2.2000000000000002</v>
      </c>
      <c r="C86" s="151" t="s">
        <v>584</v>
      </c>
      <c r="D86" s="154"/>
      <c r="E86" s="314"/>
      <c r="F86" s="154"/>
      <c r="G86" s="154"/>
      <c r="H86" s="154"/>
      <c r="I86" s="154"/>
      <c r="J86" s="314"/>
      <c r="K86" s="154"/>
      <c r="L86" s="154"/>
      <c r="M86" s="154"/>
      <c r="N86" s="306"/>
      <c r="O86" s="148"/>
      <c r="Q86" s="5"/>
      <c r="R86" s="5"/>
      <c r="S86" s="5"/>
    </row>
    <row r="87" spans="1:25" ht="16.5" customHeight="1" thickBot="1">
      <c r="A87" s="2"/>
      <c r="B87" s="40"/>
      <c r="C87" s="40"/>
      <c r="D87" s="139"/>
      <c r="E87" s="306"/>
      <c r="F87" s="306"/>
      <c r="G87" s="306"/>
      <c r="H87" s="306"/>
      <c r="I87" s="154"/>
      <c r="J87" s="418"/>
      <c r="K87" s="154"/>
      <c r="L87" s="180" t="s">
        <v>2</v>
      </c>
      <c r="M87" s="177">
        <f>重み!M58</f>
        <v>0.25</v>
      </c>
      <c r="N87" s="137"/>
      <c r="O87" s="328">
        <f t="shared" ref="O87:U87" si="3">C87</f>
        <v>0</v>
      </c>
      <c r="P87" s="328">
        <f t="shared" si="3"/>
        <v>0</v>
      </c>
      <c r="Q87" s="328">
        <f t="shared" si="3"/>
        <v>0</v>
      </c>
      <c r="R87" s="328">
        <f t="shared" si="3"/>
        <v>0</v>
      </c>
      <c r="S87" s="328">
        <f t="shared" si="3"/>
        <v>0</v>
      </c>
      <c r="T87" s="328">
        <f t="shared" si="3"/>
        <v>0</v>
      </c>
      <c r="U87" s="328">
        <f t="shared" si="3"/>
        <v>0</v>
      </c>
      <c r="V87" s="328">
        <f>J87</f>
        <v>0</v>
      </c>
      <c r="W87" s="328">
        <f>K87</f>
        <v>0</v>
      </c>
      <c r="X87" s="328" t="str">
        <f>L87</f>
        <v>重み係数＝</v>
      </c>
      <c r="Y87" s="328">
        <f>M87</f>
        <v>0.25</v>
      </c>
    </row>
    <row r="88" spans="1:25" ht="16.5" customHeight="1" thickBot="1">
      <c r="A88" s="2"/>
      <c r="B88" s="40"/>
      <c r="C88" s="40"/>
      <c r="D88" s="1078">
        <v>3</v>
      </c>
      <c r="E88" s="2349" t="s">
        <v>467</v>
      </c>
      <c r="F88" s="2350"/>
      <c r="G88" s="2350"/>
      <c r="H88" s="2350"/>
      <c r="I88" s="2350"/>
      <c r="J88" s="2350"/>
      <c r="K88" s="2350"/>
      <c r="L88" s="2350"/>
      <c r="M88" s="2351"/>
      <c r="N88" s="137"/>
      <c r="O88" s="148"/>
    </row>
    <row r="89" spans="1:25" ht="16.5" customHeight="1">
      <c r="A89" s="2"/>
      <c r="B89" s="40"/>
      <c r="C89" s="40"/>
      <c r="D89" s="36" t="str">
        <f>IF(D88=$Q$14,$R$9,IF(ROUNDDOWN(D88,0)=$Q$9,$S$9,$R$9))</f>
        <v>　レベル　1</v>
      </c>
      <c r="E89" s="526" t="s">
        <v>459</v>
      </c>
      <c r="F89" s="584"/>
      <c r="G89" s="584"/>
      <c r="H89" s="584"/>
      <c r="I89" s="584"/>
      <c r="J89" s="584"/>
      <c r="K89" s="584"/>
      <c r="L89" s="584"/>
      <c r="M89" s="585"/>
      <c r="N89" s="137"/>
      <c r="O89" s="148"/>
      <c r="P89" s="588" t="s">
        <v>75</v>
      </c>
      <c r="U89" s="588">
        <f>$Q$9</f>
        <v>1</v>
      </c>
    </row>
    <row r="90" spans="1:25" ht="16.5" customHeight="1">
      <c r="A90" s="2"/>
      <c r="B90" s="40"/>
      <c r="C90" s="40"/>
      <c r="D90" s="39" t="str">
        <f>IF(D88=$Q$14,$R$10,IF(ROUNDDOWN(D88,0)=$Q$10,$S$10,$R$10))</f>
        <v>　レベル　2</v>
      </c>
      <c r="E90" s="527" t="s">
        <v>459</v>
      </c>
      <c r="F90" s="586"/>
      <c r="G90" s="586"/>
      <c r="H90" s="586"/>
      <c r="I90" s="586"/>
      <c r="J90" s="586"/>
      <c r="K90" s="586"/>
      <c r="L90" s="586"/>
      <c r="M90" s="587"/>
      <c r="N90" s="137"/>
      <c r="O90" s="148"/>
      <c r="P90" s="588" t="s">
        <v>75</v>
      </c>
      <c r="U90" s="588">
        <f>$Q$10</f>
        <v>2</v>
      </c>
    </row>
    <row r="91" spans="1:25" ht="16.5" customHeight="1">
      <c r="A91" s="2"/>
      <c r="B91" s="40"/>
      <c r="C91" s="40"/>
      <c r="D91" s="39" t="str">
        <f>IF(D88=$Q$14,$R$11,IF(ROUNDDOWN(D88,0)=$Q$11,$S$11,$R$11))</f>
        <v>■レベル　3</v>
      </c>
      <c r="E91" s="527" t="s">
        <v>11</v>
      </c>
      <c r="F91" s="586"/>
      <c r="G91" s="586"/>
      <c r="H91" s="586"/>
      <c r="I91" s="586"/>
      <c r="J91" s="586"/>
      <c r="K91" s="586"/>
      <c r="L91" s="586"/>
      <c r="M91" s="587"/>
      <c r="N91" s="137"/>
      <c r="O91" s="148"/>
      <c r="P91" s="588">
        <f>$Q$11</f>
        <v>3</v>
      </c>
      <c r="U91" s="588">
        <f>$Q$11</f>
        <v>3</v>
      </c>
    </row>
    <row r="92" spans="1:25" ht="16.5" customHeight="1">
      <c r="A92" s="2"/>
      <c r="B92" s="40"/>
      <c r="C92" s="40"/>
      <c r="D92" s="39" t="str">
        <f>IF(D88=$Q$14,$R$12,IF(ROUNDDOWN(D88,0)=$Q$12,$S$12,$R$12))</f>
        <v>　レベル　4</v>
      </c>
      <c r="E92" s="539" t="s">
        <v>803</v>
      </c>
      <c r="F92" s="589"/>
      <c r="G92" s="589"/>
      <c r="H92" s="589"/>
      <c r="I92" s="589"/>
      <c r="J92" s="589"/>
      <c r="K92" s="589"/>
      <c r="L92" s="589"/>
      <c r="M92" s="590"/>
      <c r="N92" s="137"/>
      <c r="O92" s="148"/>
      <c r="P92" s="588">
        <f>$Q$12</f>
        <v>4</v>
      </c>
      <c r="U92" s="588">
        <f>$Q$12</f>
        <v>4</v>
      </c>
    </row>
    <row r="93" spans="1:25" ht="16.5" customHeight="1">
      <c r="A93" s="2"/>
      <c r="B93" s="40"/>
      <c r="C93" s="40"/>
      <c r="D93" s="37" t="str">
        <f>IF(D88=$Q$14,$R$13,IF(ROUNDDOWN(D88,0)=$Q$13,$S$13,$R$13))</f>
        <v>　レベル　5</v>
      </c>
      <c r="E93" s="565" t="s">
        <v>667</v>
      </c>
      <c r="F93" s="591"/>
      <c r="G93" s="591"/>
      <c r="H93" s="591"/>
      <c r="I93" s="591"/>
      <c r="J93" s="591"/>
      <c r="K93" s="591"/>
      <c r="L93" s="591"/>
      <c r="M93" s="592"/>
      <c r="N93" s="137"/>
      <c r="O93" s="148"/>
      <c r="P93" s="588">
        <f>$Q$13</f>
        <v>5</v>
      </c>
      <c r="Q93" s="331"/>
      <c r="R93" s="331"/>
      <c r="S93" s="331"/>
      <c r="U93" s="588">
        <f>$Q$13</f>
        <v>5</v>
      </c>
    </row>
    <row r="94" spans="1:25" s="148" customFormat="1" ht="8.25" customHeight="1">
      <c r="A94" s="55"/>
      <c r="B94" s="168"/>
      <c r="C94" s="611"/>
      <c r="D94" s="313"/>
      <c r="E94" s="313"/>
      <c r="F94" s="2"/>
      <c r="G94" s="2"/>
      <c r="H94" s="2"/>
      <c r="I94" s="2"/>
      <c r="J94" s="2"/>
      <c r="K94" s="2"/>
      <c r="L94" s="2"/>
      <c r="M94" s="2"/>
      <c r="N94" s="154"/>
      <c r="P94" s="588" t="s">
        <v>75</v>
      </c>
      <c r="Q94" s="328" t="s">
        <v>99</v>
      </c>
      <c r="R94" s="5"/>
      <c r="S94" s="5"/>
      <c r="T94" s="136"/>
    </row>
    <row r="95" spans="1:25" s="148" customFormat="1" ht="21" customHeight="1">
      <c r="A95" s="55"/>
      <c r="B95" s="168"/>
      <c r="C95" s="611"/>
      <c r="E95" s="786" t="s">
        <v>3</v>
      </c>
      <c r="F95" s="787"/>
      <c r="G95" s="1242"/>
      <c r="H95" s="1242"/>
      <c r="I95" s="1241"/>
      <c r="J95" s="1243"/>
      <c r="K95" s="1243"/>
      <c r="L95" s="1243"/>
      <c r="M95" s="1244"/>
      <c r="N95" s="154"/>
      <c r="P95" s="619"/>
      <c r="Q95" s="328"/>
      <c r="R95" s="5"/>
      <c r="S95" s="5"/>
      <c r="T95" s="136"/>
      <c r="U95" s="619"/>
      <c r="V95" s="136"/>
      <c r="W95" s="136"/>
      <c r="X95" s="136"/>
      <c r="Y95" s="136"/>
    </row>
    <row r="96" spans="1:25" ht="14.25" customHeight="1">
      <c r="A96" s="2"/>
      <c r="B96" s="164"/>
      <c r="C96" s="164"/>
      <c r="D96" s="164"/>
      <c r="E96" s="164"/>
      <c r="F96" s="164"/>
      <c r="G96" s="164"/>
      <c r="H96" s="164"/>
      <c r="I96" s="164"/>
      <c r="J96" s="164"/>
      <c r="K96" s="164"/>
      <c r="L96" s="164"/>
      <c r="M96" s="164"/>
      <c r="N96" s="164"/>
      <c r="O96" s="148"/>
      <c r="P96" s="619"/>
      <c r="Q96" s="331"/>
      <c r="R96" s="331"/>
      <c r="S96" s="331"/>
      <c r="U96" s="619"/>
    </row>
    <row r="97" spans="1:25" s="331" customFormat="1" ht="14.25" customHeight="1">
      <c r="A97" s="24"/>
      <c r="B97" s="311">
        <v>3</v>
      </c>
      <c r="C97" s="151" t="s">
        <v>586</v>
      </c>
      <c r="D97" s="154"/>
      <c r="E97" s="154"/>
      <c r="F97" s="154"/>
      <c r="G97" s="154"/>
      <c r="H97" s="154"/>
      <c r="I97" s="154"/>
      <c r="J97" s="154"/>
      <c r="K97" s="154"/>
      <c r="L97" s="154"/>
      <c r="M97" s="154"/>
      <c r="N97" s="306"/>
      <c r="Q97" s="5"/>
      <c r="R97" s="5"/>
      <c r="S97" s="5"/>
    </row>
    <row r="98" spans="1:25" s="331" customFormat="1" ht="14.25" customHeight="1">
      <c r="A98" s="24"/>
      <c r="B98" s="1090">
        <v>3.1</v>
      </c>
      <c r="C98" s="151" t="s">
        <v>531</v>
      </c>
      <c r="D98" s="154"/>
      <c r="E98" s="314"/>
      <c r="F98" s="154"/>
      <c r="G98" s="154"/>
      <c r="H98" s="154"/>
      <c r="I98" s="154"/>
      <c r="J98" s="314"/>
      <c r="K98" s="154"/>
      <c r="L98" s="154"/>
      <c r="M98" s="154"/>
      <c r="N98" s="306"/>
      <c r="Q98" s="5"/>
      <c r="R98" s="5"/>
      <c r="S98" s="5"/>
    </row>
    <row r="99" spans="1:25" ht="16.5" customHeight="1" thickBot="1">
      <c r="A99" s="2"/>
      <c r="B99" s="40"/>
      <c r="C99" s="40"/>
      <c r="D99" s="139"/>
      <c r="E99" s="306"/>
      <c r="F99" s="306"/>
      <c r="G99" s="306"/>
      <c r="H99" s="306"/>
      <c r="I99" s="154"/>
      <c r="J99" s="418"/>
      <c r="K99" s="154"/>
      <c r="L99" s="180" t="s">
        <v>2</v>
      </c>
      <c r="M99" s="177">
        <f>重み!M60</f>
        <v>0.5</v>
      </c>
      <c r="N99" s="137"/>
      <c r="O99" s="328">
        <f t="shared" ref="O99:U99" si="4">C99</f>
        <v>0</v>
      </c>
      <c r="P99" s="328">
        <f t="shared" si="4"/>
        <v>0</v>
      </c>
      <c r="Q99" s="328">
        <f t="shared" si="4"/>
        <v>0</v>
      </c>
      <c r="R99" s="328">
        <f t="shared" si="4"/>
        <v>0</v>
      </c>
      <c r="S99" s="328">
        <f t="shared" si="4"/>
        <v>0</v>
      </c>
      <c r="T99" s="328">
        <f t="shared" si="4"/>
        <v>0</v>
      </c>
      <c r="U99" s="328">
        <f t="shared" si="4"/>
        <v>0</v>
      </c>
      <c r="V99" s="328">
        <f>J99</f>
        <v>0</v>
      </c>
      <c r="W99" s="328">
        <f>K99</f>
        <v>0</v>
      </c>
      <c r="X99" s="328" t="str">
        <f>L99</f>
        <v>重み係数＝</v>
      </c>
      <c r="Y99" s="328">
        <f>M99</f>
        <v>0.5</v>
      </c>
    </row>
    <row r="100" spans="1:25" ht="16.5" customHeight="1" thickBot="1">
      <c r="A100" s="2"/>
      <c r="B100" s="40"/>
      <c r="C100" s="40"/>
      <c r="D100" s="1078">
        <v>3</v>
      </c>
      <c r="E100" s="2349" t="s">
        <v>467</v>
      </c>
      <c r="F100" s="2350"/>
      <c r="G100" s="2350"/>
      <c r="H100" s="2350"/>
      <c r="I100" s="2350"/>
      <c r="J100" s="2350"/>
      <c r="K100" s="2350"/>
      <c r="L100" s="2350"/>
      <c r="M100" s="2351"/>
      <c r="N100" s="137"/>
      <c r="O100" s="331"/>
    </row>
    <row r="101" spans="1:25" ht="16.5" customHeight="1">
      <c r="A101" s="2"/>
      <c r="B101" s="40"/>
      <c r="C101" s="40"/>
      <c r="D101" s="36" t="str">
        <f>IF(D100=$Q$14,$R$9,IF(ROUNDDOWN(D100,0)=$Q$9,$S$9,$R$9))</f>
        <v>　レベル　1</v>
      </c>
      <c r="E101" s="526" t="s">
        <v>11</v>
      </c>
      <c r="F101" s="584"/>
      <c r="G101" s="584"/>
      <c r="H101" s="584"/>
      <c r="I101" s="584"/>
      <c r="J101" s="584"/>
      <c r="K101" s="584"/>
      <c r="L101" s="584"/>
      <c r="M101" s="585"/>
      <c r="N101" s="137"/>
      <c r="O101" s="331"/>
      <c r="P101" s="588">
        <f>$Q$9</f>
        <v>1</v>
      </c>
      <c r="U101" s="588">
        <f>$Q$9</f>
        <v>1</v>
      </c>
    </row>
    <row r="102" spans="1:25" ht="16.5" customHeight="1">
      <c r="A102" s="2"/>
      <c r="B102" s="40"/>
      <c r="C102" s="40"/>
      <c r="D102" s="39" t="str">
        <f>IF(D100=$Q$14,$R$10,IF(ROUNDDOWN(D100,0)=$Q$10,$S$10,$R$10))</f>
        <v>　レベル　2</v>
      </c>
      <c r="E102" s="527" t="s">
        <v>459</v>
      </c>
      <c r="F102" s="586"/>
      <c r="G102" s="586"/>
      <c r="H102" s="586"/>
      <c r="I102" s="586"/>
      <c r="J102" s="586"/>
      <c r="K102" s="586"/>
      <c r="L102" s="586"/>
      <c r="M102" s="587"/>
      <c r="N102" s="137"/>
      <c r="O102" s="331"/>
      <c r="P102" s="588" t="s">
        <v>75</v>
      </c>
      <c r="U102" s="588">
        <f>$Q$10</f>
        <v>2</v>
      </c>
    </row>
    <row r="103" spans="1:25" ht="16.5" customHeight="1">
      <c r="A103" s="2"/>
      <c r="B103" s="40"/>
      <c r="C103" s="40"/>
      <c r="D103" s="39" t="str">
        <f>IF(D100=$Q$14,$R$11,IF(ROUNDDOWN(D100,0)=$Q$11,$S$11,$R$11))</f>
        <v>■レベル　3</v>
      </c>
      <c r="E103" s="527" t="s">
        <v>804</v>
      </c>
      <c r="F103" s="586"/>
      <c r="G103" s="586"/>
      <c r="H103" s="586"/>
      <c r="I103" s="586"/>
      <c r="J103" s="586"/>
      <c r="K103" s="586"/>
      <c r="L103" s="586"/>
      <c r="M103" s="587"/>
      <c r="N103" s="137"/>
      <c r="O103" s="331"/>
      <c r="P103" s="588">
        <f>$Q$11</f>
        <v>3</v>
      </c>
      <c r="U103" s="588">
        <f>$Q$11</f>
        <v>3</v>
      </c>
    </row>
    <row r="104" spans="1:25" ht="16.5" customHeight="1">
      <c r="A104" s="2"/>
      <c r="B104" s="40"/>
      <c r="C104" s="40"/>
      <c r="D104" s="39" t="str">
        <f>IF(D100=$Q$14,$R$12,IF(ROUNDDOWN(D100,0)=$Q$12,$S$12,$R$12))</f>
        <v>　レベル　4</v>
      </c>
      <c r="E104" s="539" t="s">
        <v>805</v>
      </c>
      <c r="F104" s="589"/>
      <c r="G104" s="589"/>
      <c r="H104" s="589"/>
      <c r="I104" s="589"/>
      <c r="J104" s="589"/>
      <c r="K104" s="589"/>
      <c r="L104" s="589"/>
      <c r="M104" s="590"/>
      <c r="N104" s="137"/>
      <c r="O104" s="331"/>
      <c r="P104" s="588">
        <f>$Q$12</f>
        <v>4</v>
      </c>
      <c r="U104" s="588">
        <f>$Q$12</f>
        <v>4</v>
      </c>
    </row>
    <row r="105" spans="1:25" ht="16.5" customHeight="1">
      <c r="A105" s="2"/>
      <c r="B105" s="40"/>
      <c r="C105" s="40"/>
      <c r="D105" s="37" t="str">
        <f>IF(D100=$Q$14,$R$13,IF(ROUNDDOWN(D100,0)=$Q$13,$S$13,$R$13))</f>
        <v>　レベル　5</v>
      </c>
      <c r="E105" s="565" t="s">
        <v>806</v>
      </c>
      <c r="F105" s="591"/>
      <c r="G105" s="591"/>
      <c r="H105" s="591"/>
      <c r="I105" s="591"/>
      <c r="J105" s="591"/>
      <c r="K105" s="591"/>
      <c r="L105" s="591"/>
      <c r="M105" s="592"/>
      <c r="N105" s="137"/>
      <c r="O105" s="331"/>
      <c r="P105" s="588">
        <f>$Q$13</f>
        <v>5</v>
      </c>
      <c r="U105" s="588">
        <f>$Q$13</f>
        <v>5</v>
      </c>
    </row>
    <row r="106" spans="1:25" s="148" customFormat="1" ht="8.25" customHeight="1">
      <c r="A106" s="55"/>
      <c r="B106" s="168"/>
      <c r="C106" s="611"/>
      <c r="D106" s="313"/>
      <c r="E106" s="313"/>
      <c r="F106" s="2"/>
      <c r="G106" s="2"/>
      <c r="H106" s="2"/>
      <c r="I106" s="2"/>
      <c r="J106" s="2"/>
      <c r="K106" s="2"/>
      <c r="L106" s="2"/>
      <c r="M106" s="2"/>
      <c r="N106" s="154"/>
      <c r="P106" s="588" t="s">
        <v>75</v>
      </c>
      <c r="Q106" s="328" t="s">
        <v>99</v>
      </c>
      <c r="R106" s="5"/>
      <c r="S106" s="5"/>
      <c r="T106" s="136"/>
    </row>
    <row r="107" spans="1:25" s="148" customFormat="1" ht="21" customHeight="1">
      <c r="A107" s="55"/>
      <c r="B107" s="168"/>
      <c r="C107" s="611"/>
      <c r="E107" s="786" t="s">
        <v>3</v>
      </c>
      <c r="F107" s="787"/>
      <c r="G107" s="1242"/>
      <c r="H107" s="1242"/>
      <c r="I107" s="1241"/>
      <c r="J107" s="1243"/>
      <c r="K107" s="1243"/>
      <c r="L107" s="1243"/>
      <c r="M107" s="1244"/>
      <c r="N107" s="154"/>
      <c r="P107" s="619"/>
      <c r="Q107" s="328"/>
      <c r="R107" s="5"/>
      <c r="S107" s="5"/>
      <c r="T107" s="136"/>
      <c r="U107" s="619"/>
      <c r="V107" s="136"/>
      <c r="W107" s="136"/>
      <c r="X107" s="136"/>
      <c r="Y107" s="136"/>
    </row>
    <row r="108" spans="1:25">
      <c r="A108" s="2"/>
      <c r="B108" s="164"/>
      <c r="C108" s="164"/>
      <c r="D108" s="164"/>
      <c r="E108" s="164"/>
      <c r="F108" s="164"/>
      <c r="G108" s="164"/>
      <c r="H108" s="164"/>
      <c r="I108" s="164"/>
      <c r="J108" s="164"/>
      <c r="K108" s="164"/>
      <c r="L108" s="164"/>
      <c r="M108" s="164"/>
      <c r="N108" s="137"/>
      <c r="O108" s="331"/>
      <c r="P108" s="619"/>
      <c r="Q108" s="331"/>
      <c r="R108" s="331"/>
      <c r="S108" s="331"/>
      <c r="U108" s="619"/>
    </row>
    <row r="109" spans="1:25" ht="15.75">
      <c r="A109" s="2"/>
      <c r="B109" s="1090">
        <v>3.2</v>
      </c>
      <c r="C109" s="151" t="s">
        <v>585</v>
      </c>
      <c r="D109" s="151"/>
      <c r="E109" s="306"/>
      <c r="F109" s="160"/>
      <c r="G109" s="160"/>
      <c r="H109" s="161"/>
      <c r="I109" s="161"/>
      <c r="J109" s="161"/>
      <c r="K109" s="56"/>
      <c r="L109" s="56"/>
      <c r="M109" s="56"/>
      <c r="N109" s="137"/>
      <c r="O109" s="331"/>
    </row>
    <row r="110" spans="1:25" s="331" customFormat="1" ht="16.5" customHeight="1" thickBot="1">
      <c r="A110" s="24"/>
      <c r="B110" s="24"/>
      <c r="C110" s="24"/>
      <c r="D110" s="139"/>
      <c r="E110" s="306"/>
      <c r="F110" s="306"/>
      <c r="G110" s="306"/>
      <c r="H110" s="306"/>
      <c r="I110" s="154"/>
      <c r="J110" s="418"/>
      <c r="K110" s="154"/>
      <c r="L110" s="180" t="s">
        <v>2</v>
      </c>
      <c r="M110" s="177">
        <f>重み!M61</f>
        <v>0.5</v>
      </c>
      <c r="N110" s="306"/>
      <c r="O110" s="328">
        <f t="shared" ref="O110:U110" si="5">C110</f>
        <v>0</v>
      </c>
      <c r="P110" s="328">
        <f t="shared" si="5"/>
        <v>0</v>
      </c>
      <c r="Q110" s="328">
        <f t="shared" si="5"/>
        <v>0</v>
      </c>
      <c r="R110" s="328">
        <f t="shared" si="5"/>
        <v>0</v>
      </c>
      <c r="S110" s="328">
        <f t="shared" si="5"/>
        <v>0</v>
      </c>
      <c r="T110" s="328">
        <f t="shared" si="5"/>
        <v>0</v>
      </c>
      <c r="U110" s="328">
        <f t="shared" si="5"/>
        <v>0</v>
      </c>
      <c r="V110" s="328">
        <f>J110</f>
        <v>0</v>
      </c>
      <c r="W110" s="328">
        <f>K110</f>
        <v>0</v>
      </c>
      <c r="X110" s="328" t="str">
        <f>L110</f>
        <v>重み係数＝</v>
      </c>
      <c r="Y110" s="328">
        <f>M110</f>
        <v>0.5</v>
      </c>
    </row>
    <row r="111" spans="1:25" ht="16.5" customHeight="1" thickBot="1">
      <c r="A111" s="2"/>
      <c r="B111" s="168"/>
      <c r="C111" s="137"/>
      <c r="D111" s="1078">
        <v>3</v>
      </c>
      <c r="E111" s="2349" t="s">
        <v>467</v>
      </c>
      <c r="F111" s="2350"/>
      <c r="G111" s="2350"/>
      <c r="H111" s="2350"/>
      <c r="I111" s="2350"/>
      <c r="J111" s="2350"/>
      <c r="K111" s="2350"/>
      <c r="L111" s="2350"/>
      <c r="M111" s="2351"/>
      <c r="N111" s="137"/>
    </row>
    <row r="112" spans="1:25" ht="16.5" customHeight="1">
      <c r="A112" s="2"/>
      <c r="B112" s="168"/>
      <c r="C112" s="137"/>
      <c r="D112" s="36" t="str">
        <f>IF(D111=$Q$14,$R$9,IF(ROUNDDOWN(D111,0)=$Q$9,$S$9,$R$9))</f>
        <v>　レベル　1</v>
      </c>
      <c r="E112" s="526" t="s">
        <v>459</v>
      </c>
      <c r="F112" s="584"/>
      <c r="G112" s="584"/>
      <c r="H112" s="584"/>
      <c r="I112" s="584"/>
      <c r="J112" s="584"/>
      <c r="K112" s="584"/>
      <c r="L112" s="584"/>
      <c r="M112" s="585"/>
      <c r="N112" s="137"/>
      <c r="P112" s="588" t="s">
        <v>902</v>
      </c>
      <c r="U112" s="588">
        <f>$Q$9</f>
        <v>1</v>
      </c>
    </row>
    <row r="113" spans="1:25" ht="16.5" customHeight="1">
      <c r="A113" s="2"/>
      <c r="B113" s="168"/>
      <c r="C113" s="137"/>
      <c r="D113" s="39" t="str">
        <f>IF(D111=$Q$14,$R$10,IF(ROUNDDOWN(D111,0)=$Q$10,$S$10,$R$10))</f>
        <v>　レベル　2</v>
      </c>
      <c r="E113" s="527" t="s">
        <v>459</v>
      </c>
      <c r="F113" s="586"/>
      <c r="G113" s="586"/>
      <c r="H113" s="586"/>
      <c r="I113" s="586"/>
      <c r="J113" s="586"/>
      <c r="K113" s="586"/>
      <c r="L113" s="586"/>
      <c r="M113" s="587"/>
      <c r="N113" s="137"/>
      <c r="P113" s="588" t="s">
        <v>903</v>
      </c>
      <c r="U113" s="588">
        <f>$Q$10</f>
        <v>2</v>
      </c>
    </row>
    <row r="114" spans="1:25" ht="16.5" customHeight="1">
      <c r="A114" s="2"/>
      <c r="B114" s="168"/>
      <c r="C114" s="137"/>
      <c r="D114" s="39" t="str">
        <f>IF(D111=$Q$14,$R$11,IF(ROUNDDOWN(D111,0)=$Q$11,$S$11,$R$11))</f>
        <v>■レベル　3</v>
      </c>
      <c r="E114" s="527" t="s">
        <v>11</v>
      </c>
      <c r="F114" s="586"/>
      <c r="G114" s="586"/>
      <c r="H114" s="586"/>
      <c r="I114" s="586"/>
      <c r="J114" s="586"/>
      <c r="K114" s="586"/>
      <c r="L114" s="586"/>
      <c r="M114" s="587"/>
      <c r="N114" s="137"/>
      <c r="P114" s="588">
        <f>$Q$11</f>
        <v>3</v>
      </c>
      <c r="U114" s="588">
        <f>$Q$11</f>
        <v>3</v>
      </c>
    </row>
    <row r="115" spans="1:25" ht="16.5" customHeight="1">
      <c r="A115" s="2"/>
      <c r="B115" s="168"/>
      <c r="C115" s="137"/>
      <c r="D115" s="39" t="str">
        <f>IF(D111=$Q$14,$R$12,IF(ROUNDDOWN(D111,0)=$Q$12,$S$12,$R$12))</f>
        <v>　レベル　4</v>
      </c>
      <c r="E115" s="539" t="s">
        <v>807</v>
      </c>
      <c r="F115" s="589"/>
      <c r="G115" s="589"/>
      <c r="H115" s="589"/>
      <c r="I115" s="589"/>
      <c r="J115" s="589"/>
      <c r="K115" s="589"/>
      <c r="L115" s="589"/>
      <c r="M115" s="590"/>
      <c r="N115" s="137"/>
      <c r="P115" s="588">
        <f>$Q$12</f>
        <v>4</v>
      </c>
      <c r="Q115" s="602"/>
      <c r="R115" s="602"/>
      <c r="S115" s="602"/>
      <c r="U115" s="588">
        <f>$Q$12</f>
        <v>4</v>
      </c>
    </row>
    <row r="116" spans="1:25" ht="16.5" customHeight="1">
      <c r="A116" s="2"/>
      <c r="B116" s="168"/>
      <c r="C116" s="137"/>
      <c r="D116" s="37" t="str">
        <f>IF(D111=$Q$14,$R$13,IF(ROUNDDOWN(D111,0)=$Q$13,$S$13,$R$13))</f>
        <v>　レベル　5</v>
      </c>
      <c r="E116" s="565" t="s">
        <v>735</v>
      </c>
      <c r="F116" s="591"/>
      <c r="G116" s="591"/>
      <c r="H116" s="591"/>
      <c r="I116" s="591"/>
      <c r="J116" s="591"/>
      <c r="K116" s="591"/>
      <c r="L116" s="591"/>
      <c r="M116" s="592"/>
      <c r="N116" s="137"/>
      <c r="P116" s="588">
        <f>$Q$13</f>
        <v>5</v>
      </c>
      <c r="U116" s="588">
        <f>$Q$13</f>
        <v>5</v>
      </c>
    </row>
    <row r="117" spans="1:25" s="148" customFormat="1" ht="8.25" customHeight="1">
      <c r="A117" s="55"/>
      <c r="B117" s="168"/>
      <c r="C117" s="611"/>
      <c r="D117" s="313"/>
      <c r="E117" s="313"/>
      <c r="F117" s="2"/>
      <c r="G117" s="2"/>
      <c r="H117" s="2"/>
      <c r="I117" s="2"/>
      <c r="J117" s="2"/>
      <c r="K117" s="2"/>
      <c r="L117" s="2"/>
      <c r="M117" s="2"/>
      <c r="N117" s="154"/>
      <c r="P117" s="588" t="s">
        <v>75</v>
      </c>
      <c r="Q117" s="328" t="s">
        <v>99</v>
      </c>
      <c r="R117" s="5"/>
      <c r="S117" s="5"/>
      <c r="T117" s="136"/>
    </row>
    <row r="118" spans="1:25" s="148" customFormat="1" ht="21" customHeight="1">
      <c r="A118" s="55"/>
      <c r="B118" s="168"/>
      <c r="C118" s="611"/>
      <c r="E118" s="786" t="s">
        <v>3</v>
      </c>
      <c r="F118" s="787"/>
      <c r="G118" s="1242"/>
      <c r="H118" s="1242"/>
      <c r="I118" s="1241"/>
      <c r="J118" s="1243"/>
      <c r="K118" s="1243"/>
      <c r="L118" s="1243"/>
      <c r="M118" s="1244"/>
      <c r="N118" s="154"/>
      <c r="P118" s="619"/>
      <c r="Q118" s="328"/>
      <c r="R118" s="5"/>
      <c r="S118" s="5"/>
      <c r="T118" s="136"/>
      <c r="U118" s="619"/>
      <c r="V118" s="136"/>
      <c r="W118" s="136"/>
      <c r="X118" s="136"/>
      <c r="Y118" s="136"/>
    </row>
    <row r="119" spans="1:25" ht="14.25" customHeight="1"/>
    <row r="120" spans="1:25" ht="14.25" hidden="1" customHeight="1"/>
    <row r="121" spans="1:25" ht="14.25" hidden="1" customHeight="1"/>
    <row r="122" spans="1:25" ht="14.25" hidden="1" customHeight="1"/>
    <row r="123" spans="1:25" ht="14.25" hidden="1" customHeight="1"/>
    <row r="124" spans="1:25" ht="14.25" hidden="1" customHeight="1"/>
    <row r="125" spans="1:25" ht="14.25" hidden="1" customHeight="1"/>
    <row r="126" spans="1:25" ht="14.25" hidden="1" customHeight="1"/>
    <row r="127" spans="1:25" ht="14.25" hidden="1" customHeight="1"/>
    <row r="128" spans="1:25"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row r="143" ht="14.25" hidden="1" customHeight="1"/>
    <row r="144" ht="14.25" hidden="1" customHeight="1"/>
    <row r="145" ht="14.25" hidden="1" customHeight="1"/>
    <row r="146" ht="14.25" hidden="1" customHeight="1"/>
    <row r="147" ht="14.25" hidden="1" customHeight="1"/>
    <row r="148" ht="14.25" hidden="1" customHeight="1"/>
    <row r="149" ht="14.25" hidden="1" customHeight="1"/>
    <row r="150" ht="14.25" hidden="1" customHeight="1"/>
    <row r="151" ht="14.25" hidden="1" customHeight="1"/>
    <row r="152" ht="14.25" hidden="1" customHeight="1"/>
    <row r="153" ht="14.25" hidden="1" customHeight="1"/>
    <row r="154" ht="14.25" hidden="1" customHeight="1"/>
    <row r="155" ht="14.25" hidden="1" customHeight="1"/>
    <row r="156" ht="14.25" hidden="1" customHeight="1"/>
    <row r="157" ht="14.25" hidden="1" customHeight="1"/>
    <row r="158" ht="14.25" hidden="1" customHeight="1"/>
    <row r="159" ht="14.25" hidden="1" customHeight="1"/>
    <row r="160" ht="14.25" hidden="1" customHeight="1"/>
    <row r="161" ht="14.25" hidden="1" customHeight="1"/>
    <row r="162" ht="14.25" hidden="1" customHeight="1"/>
    <row r="163" ht="14.25" hidden="1" customHeight="1"/>
    <row r="164" ht="14.25" hidden="1" customHeight="1"/>
    <row r="165" ht="14.25" hidden="1" customHeight="1"/>
    <row r="166" ht="14.25" hidden="1" customHeight="1"/>
    <row r="167" ht="14.25" hidden="1" customHeight="1"/>
    <row r="168" ht="14.25" hidden="1" customHeight="1"/>
    <row r="169" ht="14.25" hidden="1" customHeight="1"/>
    <row r="170" ht="14.25" hidden="1" customHeight="1"/>
    <row r="171" ht="14.25" hidden="1" customHeight="1"/>
    <row r="172" ht="14.25" hidden="1" customHeight="1"/>
    <row r="173" ht="14.25" hidden="1" customHeight="1"/>
    <row r="174" ht="14.25" hidden="1" customHeight="1"/>
    <row r="175" ht="14.25" hidden="1" customHeight="1"/>
    <row r="176" ht="14.25" hidden="1" customHeight="1"/>
    <row r="177" ht="14.25" hidden="1" customHeight="1"/>
    <row r="178" ht="14.25" hidden="1" customHeight="1"/>
    <row r="179" ht="14.25" hidden="1" customHeight="1"/>
    <row r="180" ht="14.25" hidden="1" customHeight="1"/>
    <row r="181" ht="14.25" hidden="1" customHeight="1"/>
    <row r="182" ht="14.25" hidden="1" customHeight="1"/>
    <row r="183" ht="14.25" hidden="1" customHeight="1"/>
    <row r="184" ht="14.25" hidden="1" customHeight="1"/>
    <row r="185" ht="14.25" hidden="1" customHeight="1"/>
    <row r="186" ht="14.25" hidden="1" customHeight="1"/>
    <row r="187" ht="14.25" hidden="1" customHeight="1"/>
    <row r="188" ht="14.25" hidden="1" customHeight="1"/>
    <row r="189" ht="14.25" hidden="1" customHeight="1"/>
    <row r="190" ht="14.25" hidden="1" customHeight="1"/>
    <row r="191" ht="14.25" hidden="1" customHeight="1"/>
    <row r="192" ht="14.25" hidden="1" customHeight="1"/>
    <row r="193" ht="14.25" hidden="1" customHeight="1"/>
    <row r="194" ht="14.25" hidden="1" customHeight="1"/>
    <row r="195" ht="14.25" hidden="1" customHeight="1"/>
    <row r="196" ht="14.25" hidden="1" customHeight="1"/>
    <row r="197" ht="14.25" hidden="1" customHeight="1"/>
    <row r="198" ht="14.25" hidden="1" customHeight="1"/>
    <row r="199" ht="14.25" hidden="1" customHeight="1"/>
    <row r="200" ht="14.25" hidden="1" customHeight="1"/>
    <row r="201" ht="14.25" hidden="1" customHeight="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row r="227" ht="14.25" hidden="1" customHeight="1"/>
    <row r="228" ht="14.25" hidden="1" customHeight="1"/>
    <row r="229" ht="14.25" hidden="1" customHeight="1"/>
    <row r="230" ht="14.25" hidden="1" customHeight="1"/>
    <row r="231" ht="14.25" hidden="1" customHeight="1"/>
    <row r="232" ht="14.25" hidden="1" customHeight="1"/>
    <row r="233" ht="14.25" hidden="1" customHeight="1"/>
    <row r="234" ht="14.25" hidden="1" customHeight="1"/>
    <row r="235" ht="14.25" hidden="1" customHeight="1"/>
    <row r="236" ht="14.25" hidden="1" customHeight="1"/>
    <row r="237" ht="14.25" hidden="1" customHeight="1"/>
    <row r="238" ht="14.25" hidden="1" customHeight="1"/>
    <row r="239" ht="14.25" hidden="1" customHeight="1"/>
    <row r="240" ht="14.25" hidden="1" customHeight="1"/>
    <row r="241" ht="14.25" hidden="1" customHeight="1"/>
    <row r="242" ht="14.25" hidden="1" customHeight="1"/>
    <row r="243" ht="14.25" hidden="1" customHeight="1"/>
    <row r="244" ht="14.25" hidden="1" customHeight="1"/>
    <row r="245" ht="14.25" hidden="1" customHeight="1"/>
    <row r="246" ht="14.25" hidden="1" customHeight="1"/>
    <row r="247" ht="14.25" hidden="1" customHeight="1"/>
    <row r="248" ht="14.25" hidden="1" customHeight="1"/>
    <row r="249" ht="14.25" hidden="1" customHeight="1"/>
    <row r="250" ht="14.25" hidden="1" customHeight="1"/>
    <row r="251" ht="14.25" hidden="1" customHeight="1"/>
    <row r="252" ht="14.25" hidden="1" customHeight="1"/>
    <row r="253" ht="14.25" hidden="1" customHeight="1"/>
    <row r="254" ht="14.25" hidden="1" customHeight="1"/>
    <row r="255" ht="14.25" hidden="1" customHeight="1"/>
    <row r="256" ht="14.25" hidden="1" customHeight="1"/>
    <row r="257" ht="14.25" hidden="1" customHeight="1"/>
    <row r="258" ht="14.25" hidden="1" customHeight="1"/>
    <row r="259" ht="14.25" hidden="1" customHeight="1"/>
    <row r="260" ht="14.25" hidden="1" customHeight="1"/>
    <row r="261" ht="14.25" hidden="1" customHeight="1"/>
    <row r="262" ht="14.25" hidden="1" customHeight="1"/>
    <row r="263" ht="14.25" hidden="1" customHeight="1"/>
    <row r="264" ht="14.25" hidden="1" customHeight="1"/>
    <row r="265" ht="14.25" hidden="1" customHeight="1"/>
    <row r="266" ht="14.25" hidden="1" customHeight="1"/>
    <row r="267" ht="14.25" hidden="1" customHeight="1"/>
    <row r="268" ht="14.25" hidden="1" customHeight="1"/>
    <row r="269" ht="14.25" hidden="1" customHeight="1"/>
    <row r="270" ht="14.25" hidden="1" customHeight="1"/>
    <row r="271" ht="14.25" hidden="1" customHeight="1"/>
    <row r="272" ht="14.25" hidden="1" customHeight="1"/>
    <row r="273" ht="14.25" hidden="1" customHeight="1"/>
    <row r="274" ht="14.25" hidden="1" customHeight="1"/>
    <row r="275" ht="14.25" hidden="1" customHeight="1"/>
    <row r="276" ht="14.25" hidden="1" customHeight="1"/>
    <row r="277" ht="14.25" hidden="1" customHeight="1"/>
    <row r="278" ht="14.25" hidden="1" customHeight="1"/>
    <row r="279" ht="14.25" hidden="1" customHeight="1"/>
    <row r="280" ht="14.25" hidden="1" customHeight="1"/>
    <row r="281" ht="14.25" hidden="1" customHeight="1"/>
    <row r="282" ht="14.25" hidden="1" customHeight="1"/>
    <row r="283" ht="14.25" hidden="1" customHeight="1"/>
    <row r="284" ht="14.25" hidden="1" customHeight="1"/>
    <row r="285" ht="14.25" hidden="1" customHeight="1"/>
    <row r="286" ht="14.25" hidden="1" customHeight="1"/>
    <row r="287" ht="14.25" hidden="1" customHeight="1"/>
    <row r="288" ht="14.25" hidden="1" customHeight="1"/>
    <row r="289" ht="14.25" hidden="1" customHeight="1"/>
    <row r="290" ht="14.25" hidden="1" customHeight="1"/>
    <row r="291" ht="14.25" hidden="1" customHeight="1"/>
    <row r="292" ht="14.25" hidden="1" customHeight="1"/>
    <row r="293" ht="14.25" hidden="1" customHeight="1"/>
    <row r="294" ht="14.25" hidden="1" customHeight="1"/>
    <row r="295" ht="14.25" hidden="1" customHeight="1"/>
    <row r="296" ht="14.25" hidden="1" customHeight="1"/>
    <row r="297" ht="14.25" hidden="1" customHeight="1"/>
    <row r="298" ht="14.25" hidden="1" customHeight="1"/>
    <row r="299" ht="14.25" hidden="1" customHeight="1"/>
    <row r="300" ht="14.25" hidden="1" customHeight="1"/>
    <row r="301" ht="14.25" hidden="1" customHeight="1"/>
    <row r="302" ht="14.25" hidden="1" customHeight="1"/>
    <row r="303" ht="14.25" hidden="1" customHeight="1"/>
    <row r="304" ht="14.25" hidden="1" customHeight="1"/>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sheetData>
  <sheetProtection algorithmName="SHA-512" hashValue="6bi9DjRIX4Rs0YPCVnIBqQDKHWZKm+A9XnqDCIqdUjjYVlRpNmxMr86gSAe++z55Rvwo/Dl+kF9yekQnkfCKEA==" saltValue="yq2uSDd5J5fhsnocGyK4lg==" spinCount="100000" sheet="1" objects="1" scenarios="1"/>
  <mergeCells count="15">
    <mergeCell ref="D9:D13"/>
    <mergeCell ref="E9:I13"/>
    <mergeCell ref="J9:M13"/>
    <mergeCell ref="F59:F61"/>
    <mergeCell ref="J29:K29"/>
    <mergeCell ref="E25:J25"/>
    <mergeCell ref="E29:I30"/>
    <mergeCell ref="E50:M50"/>
    <mergeCell ref="E61:E62"/>
    <mergeCell ref="I62:L62"/>
    <mergeCell ref="E111:M111"/>
    <mergeCell ref="G78:M78"/>
    <mergeCell ref="E71:M71"/>
    <mergeCell ref="E88:M88"/>
    <mergeCell ref="E100:M100"/>
  </mergeCells>
  <phoneticPr fontId="4"/>
  <conditionalFormatting sqref="D100 D88 D111">
    <cfRule type="expression" dxfId="102" priority="28" stopIfTrue="1">
      <formula>AND(OR(D88&lt;1,D88&gt;5),D88&lt;&gt;P94)</formula>
    </cfRule>
    <cfRule type="expression" dxfId="101" priority="29" stopIfTrue="1">
      <formula>M87&gt;0</formula>
    </cfRule>
  </conditionalFormatting>
  <conditionalFormatting sqref="E58:E61">
    <cfRule type="expression" dxfId="100" priority="35" stopIfTrue="1">
      <formula>$M$49&gt;0</formula>
    </cfRule>
  </conditionalFormatting>
  <conditionalFormatting sqref="I84:M84 E79:E81">
    <cfRule type="expression" dxfId="99" priority="36" stopIfTrue="1">
      <formula>$M$70&gt;0</formula>
    </cfRule>
  </conditionalFormatting>
  <conditionalFormatting sqref="I107 I95 I118">
    <cfRule type="expression" dxfId="98" priority="38" stopIfTrue="1">
      <formula>M87&gt;0</formula>
    </cfRule>
  </conditionalFormatting>
  <conditionalFormatting sqref="J107 J95 J118">
    <cfRule type="expression" dxfId="97" priority="39" stopIfTrue="1">
      <formula>M87&gt;0</formula>
    </cfRule>
  </conditionalFormatting>
  <conditionalFormatting sqref="K107 K95 K118">
    <cfRule type="expression" dxfId="96" priority="40" stopIfTrue="1">
      <formula>M87&gt;0</formula>
    </cfRule>
  </conditionalFormatting>
  <conditionalFormatting sqref="L107 L95 L118">
    <cfRule type="expression" dxfId="95" priority="41" stopIfTrue="1">
      <formula>M87&gt;0</formula>
    </cfRule>
  </conditionalFormatting>
  <conditionalFormatting sqref="M107 M95 M118">
    <cfRule type="expression" dxfId="94" priority="42" stopIfTrue="1">
      <formula>M87&gt;0</formula>
    </cfRule>
  </conditionalFormatting>
  <conditionalFormatting sqref="I45">
    <cfRule type="expression" dxfId="93" priority="15" stopIfTrue="1">
      <formula>M7&gt;0</formula>
    </cfRule>
  </conditionalFormatting>
  <conditionalFormatting sqref="J45">
    <cfRule type="expression" dxfId="92" priority="16" stopIfTrue="1">
      <formula>M7&gt;0</formula>
    </cfRule>
  </conditionalFormatting>
  <conditionalFormatting sqref="K45">
    <cfRule type="expression" dxfId="91" priority="17" stopIfTrue="1">
      <formula>M7&gt;0</formula>
    </cfRule>
  </conditionalFormatting>
  <conditionalFormatting sqref="L45">
    <cfRule type="expression" dxfId="90" priority="18" stopIfTrue="1">
      <formula>M7&gt;0</formula>
    </cfRule>
  </conditionalFormatting>
  <conditionalFormatting sqref="M45">
    <cfRule type="expression" dxfId="89" priority="19" stopIfTrue="1">
      <formula>M7&gt;0</formula>
    </cfRule>
  </conditionalFormatting>
  <conditionalFormatting sqref="H15">
    <cfRule type="expression" dxfId="88" priority="22" stopIfTrue="1">
      <formula>$M$7</formula>
    </cfRule>
  </conditionalFormatting>
  <conditionalFormatting sqref="F32 K32">
    <cfRule type="cellIs" dxfId="87" priority="7" stopIfTrue="1" operator="equal">
      <formula>0</formula>
    </cfRule>
  </conditionalFormatting>
  <conditionalFormatting sqref="H17">
    <cfRule type="cellIs" dxfId="86" priority="4" stopIfTrue="1" operator="equal">
      <formula>0</formula>
    </cfRule>
  </conditionalFormatting>
  <conditionalFormatting sqref="D8">
    <cfRule type="expression" dxfId="85" priority="5" stopIfTrue="1">
      <formula>AND(OR(D8&lt;1,D8&gt;5),D8&lt;&gt;#REF!)</formula>
    </cfRule>
    <cfRule type="expression" dxfId="84" priority="6" stopIfTrue="1">
      <formula>M7&gt;0</formula>
    </cfRule>
  </conditionalFormatting>
  <conditionalFormatting sqref="H18">
    <cfRule type="cellIs" dxfId="83" priority="3" stopIfTrue="1" operator="equal">
      <formula>0</formula>
    </cfRule>
  </conditionalFormatting>
  <conditionalFormatting sqref="H19">
    <cfRule type="cellIs" dxfId="82" priority="2" stopIfTrue="1" operator="equal">
      <formula>0</formula>
    </cfRule>
  </conditionalFormatting>
  <conditionalFormatting sqref="H20:H22">
    <cfRule type="cellIs" dxfId="81" priority="1" stopIfTrue="1" operator="equal">
      <formula>0</formula>
    </cfRule>
  </conditionalFormatting>
  <conditionalFormatting sqref="I65">
    <cfRule type="expression" dxfId="80" priority="74" stopIfTrue="1">
      <formula>M58&gt;0</formula>
    </cfRule>
  </conditionalFormatting>
  <conditionalFormatting sqref="J65">
    <cfRule type="expression" dxfId="79" priority="75" stopIfTrue="1">
      <formula>M58&gt;0</formula>
    </cfRule>
  </conditionalFormatting>
  <conditionalFormatting sqref="K65">
    <cfRule type="expression" dxfId="78" priority="76" stopIfTrue="1">
      <formula>M58&gt;0</formula>
    </cfRule>
  </conditionalFormatting>
  <conditionalFormatting sqref="L65">
    <cfRule type="expression" dxfId="77" priority="77" stopIfTrue="1">
      <formula>M58&gt;0</formula>
    </cfRule>
  </conditionalFormatting>
  <conditionalFormatting sqref="M65">
    <cfRule type="expression" dxfId="76" priority="78" stopIfTrue="1">
      <formula>M58&gt;0</formula>
    </cfRule>
  </conditionalFormatting>
  <dataValidations xWindow="317" yWindow="180" count="10">
    <dataValidation type="list" allowBlank="1" showInputMessage="1" sqref="D111 D88 D100">
      <formula1>P89:P94</formula1>
    </dataValidation>
    <dataValidation type="textLength" operator="lessThanOrEqual" allowBlank="1" showInputMessage="1" showErrorMessage="1" sqref="I107 I118 I65 I84 I95">
      <formula1>35</formula1>
    </dataValidation>
    <dataValidation type="textLength" operator="lessThanOrEqual" allowBlank="1" showInputMessage="1" showErrorMessage="1" sqref="F118:H118 F107:H107 F65:H65 F84:H84 F95:H95">
      <formula1>30</formula1>
    </dataValidation>
    <dataValidation type="list" operator="greaterThanOrEqual" allowBlank="1" showInputMessage="1" showErrorMessage="1" sqref="E79:E81">
      <formula1>$U$3:$U$4</formula1>
    </dataValidation>
    <dataValidation allowBlank="1" showInputMessage="1" sqref="D8 E16"/>
    <dataValidation type="list" allowBlank="1" showInputMessage="1" showErrorMessage="1" sqref="H15">
      <formula1>$P$15:$Q$15</formula1>
    </dataValidation>
    <dataValidation type="list" allowBlank="1" showInputMessage="1" showErrorMessage="1" sqref="F32">
      <formula1>$T$32:$T$35</formula1>
    </dataValidation>
    <dataValidation type="list" allowBlank="1" showInputMessage="1" showErrorMessage="1" sqref="K32">
      <formula1>$U$32:$U$34</formula1>
    </dataValidation>
    <dataValidation type="list" allowBlank="1" showInputMessage="1" sqref="J29:K29">
      <formula1>$T$28:$T$30</formula1>
    </dataValidation>
    <dataValidation type="list" allowBlank="1" showInputMessage="1" showErrorMessage="1" sqref="E58:E61">
      <formula1>P58:Q58</formula1>
    </dataValidation>
  </dataValidations>
  <printOptions horizontalCentered="1"/>
  <pageMargins left="0.78740157480314965" right="0.78740157480314965" top="0.78740157480314965" bottom="0.78740157480314965" header="0.51181102362204722" footer="0.51181102362204722"/>
  <pageSetup paperSize="9" scale="68" fitToHeight="0" orientation="portrait" horizontalDpi="4294967293" verticalDpi="4294967293" r:id="rId1"/>
  <headerFooter alignWithMargins="0">
    <oddHeader>&amp;L&amp;F&amp;R&amp;A</oddHeader>
    <oddFooter>&amp;C&amp;P/&amp;N</oddFooter>
  </headerFooter>
  <rowBreaks count="1" manualBreakCount="1">
    <brk id="67"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IV184"/>
  <sheetViews>
    <sheetView showGridLines="0" zoomScaleNormal="100" workbookViewId="0">
      <selection activeCell="G19" sqref="G19:M19"/>
    </sheetView>
  </sheetViews>
  <sheetFormatPr defaultColWidth="0" defaultRowHeight="14.25" zeroHeight="1"/>
  <cols>
    <col min="1" max="1" width="1.375" style="5" customWidth="1"/>
    <col min="2" max="2" width="4.625" style="603" customWidth="1"/>
    <col min="3" max="3" width="1.5" style="304" customWidth="1"/>
    <col min="4" max="13" width="11.625" style="304" customWidth="1"/>
    <col min="14" max="14" width="1.625" style="5" customWidth="1"/>
    <col min="15" max="15" width="26.5" style="5" hidden="1" customWidth="1"/>
    <col min="16" max="16" width="18.75" style="5" hidden="1" customWidth="1"/>
    <col min="17" max="17" width="7.125" style="5" hidden="1" customWidth="1"/>
    <col min="18" max="18" width="9.375" style="5" hidden="1" customWidth="1"/>
    <col min="19" max="19" width="10" style="5" hidden="1" customWidth="1"/>
    <col min="20" max="20" width="5" style="5" hidden="1" customWidth="1"/>
    <col min="21" max="21" width="7.125" style="5" hidden="1" customWidth="1"/>
    <col min="22" max="22" width="11" style="5" hidden="1" customWidth="1"/>
    <col min="23" max="23" width="4.75" style="5" hidden="1" customWidth="1"/>
    <col min="24" max="24" width="9.25" style="5" hidden="1" customWidth="1"/>
    <col min="25" max="25" width="5.375" style="5" hidden="1" customWidth="1"/>
    <col min="26" max="255" width="9" style="5" hidden="1" customWidth="1"/>
    <col min="256" max="256" width="0" style="5" hidden="1" customWidth="1"/>
    <col min="257" max="16384" width="1.375" style="5" hidden="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ht="21.75" thickBot="1">
      <c r="A3" s="2"/>
      <c r="B3" s="302" t="s">
        <v>1071</v>
      </c>
      <c r="C3" s="55"/>
      <c r="D3" s="55"/>
      <c r="E3" s="55"/>
      <c r="F3" s="138"/>
      <c r="H3" s="150"/>
      <c r="I3" s="56" t="s">
        <v>73</v>
      </c>
      <c r="J3" s="32"/>
      <c r="K3" s="55"/>
      <c r="L3" s="55"/>
      <c r="M3" s="159" t="str">
        <f>IF(メイン!E31=0,"",メイン!E31)</f>
        <v/>
      </c>
      <c r="N3" s="2"/>
      <c r="O3" s="134"/>
      <c r="P3" s="319" t="s">
        <v>100</v>
      </c>
      <c r="Q3" s="41"/>
      <c r="R3" s="327">
        <v>0</v>
      </c>
      <c r="S3" s="555"/>
      <c r="T3" s="322"/>
      <c r="U3" s="322"/>
      <c r="V3" s="322" t="str">
        <f>メイン!N31</f>
        <v>基本設計段階</v>
      </c>
      <c r="W3" s="148"/>
      <c r="X3" s="148"/>
      <c r="Y3" s="148"/>
    </row>
    <row r="4" spans="1:25" ht="6" customHeight="1">
      <c r="A4" s="2"/>
      <c r="B4" s="40"/>
      <c r="C4" s="55"/>
      <c r="D4" s="55"/>
      <c r="E4" s="55"/>
      <c r="F4" s="55"/>
      <c r="G4" s="55"/>
      <c r="H4" s="55"/>
      <c r="I4" s="55"/>
      <c r="J4" s="55"/>
      <c r="K4" s="55"/>
      <c r="L4" s="55"/>
      <c r="M4" s="55"/>
      <c r="N4" s="2"/>
      <c r="O4" s="148"/>
      <c r="P4" s="148"/>
      <c r="Q4" s="41"/>
      <c r="R4" s="327">
        <v>1</v>
      </c>
      <c r="S4" s="555"/>
      <c r="T4" s="322" t="s">
        <v>101</v>
      </c>
      <c r="U4" s="322" t="s">
        <v>102</v>
      </c>
      <c r="V4" s="322" t="str">
        <f>メイン!N32</f>
        <v>実施設計段階</v>
      </c>
      <c r="W4" s="148" t="s">
        <v>20</v>
      </c>
      <c r="X4" s="148"/>
      <c r="Y4" s="148"/>
    </row>
    <row r="5" spans="1:25" s="331" customFormat="1" ht="13.5" customHeight="1">
      <c r="A5" s="24"/>
      <c r="B5" s="1090">
        <v>1</v>
      </c>
      <c r="C5" s="151" t="s">
        <v>588</v>
      </c>
      <c r="D5" s="151"/>
      <c r="E5" s="151"/>
      <c r="F5" s="154"/>
      <c r="G5" s="154"/>
      <c r="H5" s="154"/>
      <c r="I5" s="154"/>
      <c r="J5" s="154"/>
      <c r="K5" s="154"/>
      <c r="L5" s="154"/>
      <c r="M5" s="154"/>
      <c r="N5" s="24"/>
      <c r="O5" s="179"/>
      <c r="P5" s="328"/>
      <c r="Q5" s="41"/>
      <c r="R5" s="327">
        <v>2</v>
      </c>
      <c r="S5" s="305"/>
      <c r="T5" s="305"/>
      <c r="U5" s="305"/>
      <c r="V5" s="322" t="str">
        <f>メイン!N33</f>
        <v>竣工段階</v>
      </c>
      <c r="W5" s="148" t="s">
        <v>21</v>
      </c>
      <c r="X5" s="148"/>
      <c r="Y5" s="148"/>
    </row>
    <row r="6" spans="1:25" s="331" customFormat="1" ht="13.5" customHeight="1">
      <c r="A6" s="24"/>
      <c r="B6" s="168">
        <v>1.1000000000000001</v>
      </c>
      <c r="C6" s="151" t="s">
        <v>379</v>
      </c>
      <c r="D6" s="151"/>
      <c r="E6" s="151"/>
      <c r="F6" s="154"/>
      <c r="G6" s="154"/>
      <c r="H6" s="154"/>
      <c r="I6" s="154"/>
      <c r="J6" s="154"/>
      <c r="K6" s="154"/>
      <c r="L6" s="154"/>
      <c r="M6" s="154"/>
      <c r="N6" s="24"/>
      <c r="O6" s="179"/>
      <c r="P6" s="328"/>
      <c r="Q6" s="41"/>
      <c r="R6" s="327"/>
      <c r="S6" s="305"/>
      <c r="T6" s="305"/>
      <c r="U6" s="305"/>
      <c r="V6" s="322"/>
      <c r="W6" s="148"/>
      <c r="X6" s="148"/>
      <c r="Y6" s="148"/>
    </row>
    <row r="7" spans="1:25" s="331" customFormat="1" ht="15" thickBot="1">
      <c r="A7" s="24"/>
      <c r="E7" s="151"/>
      <c r="F7" s="154"/>
      <c r="G7" s="159" t="s">
        <v>353</v>
      </c>
      <c r="H7" s="159" t="s">
        <v>354</v>
      </c>
      <c r="I7" s="159" t="s">
        <v>355</v>
      </c>
      <c r="J7" s="154"/>
      <c r="K7" s="154"/>
      <c r="L7" s="154"/>
      <c r="M7" s="154"/>
      <c r="N7" s="24"/>
      <c r="O7" s="179"/>
      <c r="Q7" s="41"/>
      <c r="R7" s="327" t="s">
        <v>99</v>
      </c>
      <c r="S7" s="305"/>
      <c r="T7" s="136"/>
      <c r="U7" s="136"/>
      <c r="V7" s="322">
        <f>メイン!N30</f>
        <v>0</v>
      </c>
      <c r="W7" s="179"/>
      <c r="X7" s="179"/>
      <c r="Y7" s="179"/>
    </row>
    <row r="8" spans="1:25" s="331" customFormat="1" ht="16.5" customHeight="1" thickBot="1">
      <c r="A8" s="24"/>
      <c r="B8" s="631"/>
      <c r="C8" s="151"/>
      <c r="D8" s="812">
        <f>D11*M11+D28*M27+D42*M41</f>
        <v>3</v>
      </c>
      <c r="E8" s="151"/>
      <c r="F8" s="381" t="s">
        <v>356</v>
      </c>
      <c r="G8" s="2180">
        <v>1</v>
      </c>
      <c r="H8" s="2180">
        <v>0</v>
      </c>
      <c r="I8" s="2180">
        <v>0</v>
      </c>
      <c r="J8" s="891" t="str">
        <f>IF(P8&lt;&gt;1,"合計が１になるように入力してください","")</f>
        <v/>
      </c>
      <c r="K8" s="154"/>
      <c r="L8" s="154"/>
      <c r="M8" s="154"/>
      <c r="N8" s="24"/>
      <c r="O8" s="179"/>
      <c r="P8" s="328">
        <f>G8+H8+I8</f>
        <v>1</v>
      </c>
      <c r="Q8" s="41"/>
      <c r="R8" s="817"/>
      <c r="S8" s="305"/>
      <c r="T8" s="136"/>
      <c r="U8" s="136"/>
      <c r="V8" s="480"/>
      <c r="W8" s="179"/>
      <c r="X8" s="179"/>
      <c r="Y8" s="179"/>
    </row>
    <row r="9" spans="1:25" s="331" customFormat="1" ht="18" customHeight="1">
      <c r="A9" s="24"/>
      <c r="B9" s="631"/>
      <c r="C9" s="151"/>
      <c r="D9" s="1070"/>
      <c r="E9" s="151"/>
      <c r="F9" s="381"/>
      <c r="G9" s="1071"/>
      <c r="H9" s="1071"/>
      <c r="I9" s="1071"/>
      <c r="J9" s="891"/>
      <c r="K9" s="154"/>
      <c r="L9" s="154"/>
      <c r="M9" s="154"/>
      <c r="N9" s="24"/>
      <c r="O9" s="179"/>
      <c r="P9" s="328"/>
      <c r="Q9" s="41"/>
      <c r="R9" s="817"/>
      <c r="S9" s="305"/>
      <c r="T9" s="136"/>
      <c r="U9" s="136"/>
      <c r="V9" s="480"/>
      <c r="W9" s="179"/>
      <c r="X9" s="179"/>
      <c r="Y9" s="179"/>
    </row>
    <row r="10" spans="1:25" s="331" customFormat="1" ht="16.5" customHeight="1" thickBot="1">
      <c r="A10" s="24"/>
      <c r="B10" s="631"/>
      <c r="C10" s="151"/>
      <c r="D10" s="1091" t="s">
        <v>421</v>
      </c>
      <c r="E10" s="151"/>
      <c r="F10" s="154"/>
      <c r="G10" s="154"/>
      <c r="H10" s="154"/>
      <c r="I10" s="154"/>
      <c r="J10" s="154"/>
      <c r="K10" s="154"/>
      <c r="L10" s="154"/>
      <c r="M10" s="154"/>
      <c r="N10" s="24"/>
      <c r="O10" s="179"/>
      <c r="P10" s="328"/>
      <c r="Q10" s="41"/>
      <c r="R10" s="817"/>
      <c r="S10" s="305"/>
      <c r="T10" s="136"/>
      <c r="U10" s="136"/>
      <c r="V10" s="480"/>
      <c r="W10" s="179"/>
      <c r="X10" s="179"/>
      <c r="Y10" s="179"/>
    </row>
    <row r="11" spans="1:25" s="331" customFormat="1" ht="16.5" customHeight="1" thickBot="1">
      <c r="A11" s="24"/>
      <c r="B11" s="631"/>
      <c r="C11" s="151"/>
      <c r="D11" s="1079">
        <f>IF(D12+L22&lt;=5,D12+L22,5)</f>
        <v>3</v>
      </c>
      <c r="E11" s="151"/>
      <c r="F11" s="154"/>
      <c r="G11" s="26"/>
      <c r="H11" s="26"/>
      <c r="I11" s="154"/>
      <c r="J11" s="154"/>
      <c r="K11" s="154"/>
      <c r="L11" s="180" t="s">
        <v>2</v>
      </c>
      <c r="M11" s="52">
        <f>重み!M65</f>
        <v>1</v>
      </c>
      <c r="N11" s="24"/>
      <c r="O11" s="148">
        <f>C11</f>
        <v>0</v>
      </c>
      <c r="P11" s="148" t="str">
        <f>D10</f>
        <v>1.1.1　木質系住宅</v>
      </c>
      <c r="Q11" s="148">
        <f t="shared" ref="Q11:Y11" si="0">E11</f>
        <v>0</v>
      </c>
      <c r="R11" s="148">
        <f t="shared" si="0"/>
        <v>0</v>
      </c>
      <c r="S11" s="148">
        <f t="shared" si="0"/>
        <v>0</v>
      </c>
      <c r="T11" s="148">
        <f t="shared" si="0"/>
        <v>0</v>
      </c>
      <c r="U11" s="148">
        <f t="shared" si="0"/>
        <v>0</v>
      </c>
      <c r="V11" s="148">
        <f t="shared" si="0"/>
        <v>0</v>
      </c>
      <c r="W11" s="148">
        <f t="shared" si="0"/>
        <v>0</v>
      </c>
      <c r="X11" s="148" t="str">
        <f t="shared" si="0"/>
        <v>重み係数＝</v>
      </c>
      <c r="Y11" s="148">
        <f t="shared" si="0"/>
        <v>1</v>
      </c>
    </row>
    <row r="12" spans="1:25" ht="16.5" customHeight="1" thickBot="1">
      <c r="A12" s="2"/>
      <c r="B12" s="631"/>
      <c r="C12" s="40"/>
      <c r="D12" s="1077">
        <v>3</v>
      </c>
      <c r="E12" s="2349" t="s">
        <v>467</v>
      </c>
      <c r="F12" s="2350"/>
      <c r="G12" s="2350"/>
      <c r="H12" s="2350"/>
      <c r="I12" s="2350"/>
      <c r="J12" s="2350"/>
      <c r="K12" s="2350"/>
      <c r="L12" s="2350"/>
      <c r="M12" s="2351"/>
      <c r="N12" s="24"/>
      <c r="O12" s="146"/>
      <c r="P12" s="148"/>
      <c r="Q12" s="146"/>
      <c r="R12" s="148"/>
      <c r="S12" s="148"/>
      <c r="T12" s="148"/>
      <c r="U12" s="148"/>
      <c r="V12" s="148"/>
      <c r="W12" s="148"/>
      <c r="X12" s="148"/>
      <c r="Y12" s="148"/>
    </row>
    <row r="13" spans="1:25" ht="16.5" customHeight="1">
      <c r="A13" s="2"/>
      <c r="B13" s="631"/>
      <c r="C13" s="40"/>
      <c r="D13" s="36" t="str">
        <f>IF(D12=$Q$18,$R$13,IF(ROUNDDOWN(D12,0)=$Q$13,$S$13,$R$13))</f>
        <v>　レベル　1</v>
      </c>
      <c r="E13" s="816" t="s">
        <v>459</v>
      </c>
      <c r="F13" s="490"/>
      <c r="G13" s="490"/>
      <c r="H13" s="490"/>
      <c r="I13" s="490"/>
      <c r="J13" s="490"/>
      <c r="K13" s="490"/>
      <c r="L13" s="490"/>
      <c r="M13" s="814"/>
      <c r="N13" s="24"/>
      <c r="O13" s="148"/>
      <c r="P13" s="588" t="s">
        <v>931</v>
      </c>
      <c r="Q13" s="320">
        <v>1</v>
      </c>
      <c r="R13" s="323" t="s">
        <v>538</v>
      </c>
      <c r="S13" s="321" t="s">
        <v>94</v>
      </c>
      <c r="T13" s="136"/>
      <c r="U13" s="588">
        <f>$Q$13</f>
        <v>1</v>
      </c>
      <c r="V13" s="136"/>
      <c r="W13" s="136"/>
      <c r="X13" s="136"/>
      <c r="Y13" s="136"/>
    </row>
    <row r="14" spans="1:25" ht="16.5" customHeight="1">
      <c r="A14" s="2"/>
      <c r="B14" s="631"/>
      <c r="C14" s="40"/>
      <c r="D14" s="39" t="str">
        <f>IF(D12=$Q$18,$R$14,IF(ROUNDDOWN(D12,0)=$Q$14,$S$14,$R$14))</f>
        <v>　レベル　2</v>
      </c>
      <c r="E14" s="178" t="s">
        <v>459</v>
      </c>
      <c r="F14" s="489"/>
      <c r="G14" s="489"/>
      <c r="H14" s="489"/>
      <c r="I14" s="489"/>
      <c r="J14" s="489"/>
      <c r="K14" s="489"/>
      <c r="L14" s="489"/>
      <c r="M14" s="815"/>
      <c r="N14" s="24"/>
      <c r="O14" s="148"/>
      <c r="P14" s="588" t="s">
        <v>931</v>
      </c>
      <c r="Q14" s="320">
        <v>2</v>
      </c>
      <c r="R14" s="323" t="s">
        <v>539</v>
      </c>
      <c r="S14" s="321" t="s">
        <v>95</v>
      </c>
      <c r="T14" s="136"/>
      <c r="U14" s="588">
        <f>$Q$14</f>
        <v>2</v>
      </c>
      <c r="V14" s="136"/>
      <c r="W14" s="136"/>
      <c r="X14" s="136"/>
      <c r="Y14" s="136"/>
    </row>
    <row r="15" spans="1:25" ht="16.5" customHeight="1">
      <c r="A15" s="2"/>
      <c r="B15" s="631"/>
      <c r="C15" s="40"/>
      <c r="D15" s="39" t="str">
        <f>IF(D12=$Q$18,$R$15,IF(ROUNDDOWN(D12,0)=$Q$15,$S$15,$R$15))</f>
        <v>■レベル　3</v>
      </c>
      <c r="E15" s="178" t="s">
        <v>760</v>
      </c>
      <c r="F15" s="489"/>
      <c r="G15" s="489"/>
      <c r="H15" s="489"/>
      <c r="I15" s="489"/>
      <c r="J15" s="489"/>
      <c r="K15" s="489"/>
      <c r="L15" s="489"/>
      <c r="M15" s="815"/>
      <c r="N15" s="24"/>
      <c r="O15" s="148"/>
      <c r="P15" s="588">
        <f>$Q$15</f>
        <v>3</v>
      </c>
      <c r="Q15" s="320">
        <v>3</v>
      </c>
      <c r="R15" s="323" t="s">
        <v>540</v>
      </c>
      <c r="S15" s="321" t="s">
        <v>96</v>
      </c>
      <c r="T15" s="136"/>
      <c r="U15" s="588">
        <f>$Q$15</f>
        <v>3</v>
      </c>
      <c r="V15" s="136"/>
      <c r="W15" s="136"/>
      <c r="X15" s="136"/>
      <c r="Y15" s="136"/>
    </row>
    <row r="16" spans="1:25" ht="16.5" customHeight="1">
      <c r="A16" s="2"/>
      <c r="B16" s="631"/>
      <c r="C16" s="40"/>
      <c r="D16" s="39" t="str">
        <f>IF(D12=$Q$18,$R$16,IF(ROUNDDOWN(D12,0)=$Q$16,$S$16,$R$16))</f>
        <v>　レベル　4</v>
      </c>
      <c r="E16" s="178" t="s">
        <v>381</v>
      </c>
      <c r="F16" s="768"/>
      <c r="G16" s="768"/>
      <c r="H16" s="768"/>
      <c r="I16" s="768"/>
      <c r="J16" s="768"/>
      <c r="K16" s="768"/>
      <c r="L16" s="768"/>
      <c r="M16" s="769"/>
      <c r="N16" s="24"/>
      <c r="O16" s="148"/>
      <c r="P16" s="588">
        <f>$Q$16</f>
        <v>4</v>
      </c>
      <c r="Q16" s="320">
        <v>4</v>
      </c>
      <c r="R16" s="323" t="s">
        <v>541</v>
      </c>
      <c r="S16" s="321" t="s">
        <v>97</v>
      </c>
      <c r="T16" s="136"/>
      <c r="U16" s="588">
        <f>$Q$16</f>
        <v>4</v>
      </c>
      <c r="V16" s="136"/>
      <c r="W16" s="136"/>
      <c r="X16" s="136"/>
      <c r="Y16" s="136"/>
    </row>
    <row r="17" spans="1:25" ht="16.5" customHeight="1">
      <c r="A17" s="2"/>
      <c r="B17" s="631"/>
      <c r="C17" s="40"/>
      <c r="D17" s="37" t="str">
        <f>IF(D12=$Q$18,$R$17,IF(ROUNDDOWN(D12,0)=$Q$17,$S$17,$R$17))</f>
        <v>　レベル　5</v>
      </c>
      <c r="E17" s="783" t="s">
        <v>886</v>
      </c>
      <c r="F17" s="770"/>
      <c r="G17" s="770"/>
      <c r="H17" s="770"/>
      <c r="I17" s="770"/>
      <c r="J17" s="770"/>
      <c r="K17" s="770"/>
      <c r="L17" s="770"/>
      <c r="M17" s="771"/>
      <c r="N17" s="2"/>
      <c r="O17" s="148"/>
      <c r="P17" s="588">
        <f>$Q$17</f>
        <v>5</v>
      </c>
      <c r="Q17" s="320">
        <v>5</v>
      </c>
      <c r="R17" s="323" t="s">
        <v>542</v>
      </c>
      <c r="S17" s="321" t="s">
        <v>98</v>
      </c>
      <c r="T17" s="136"/>
      <c r="U17" s="588">
        <f>$Q$17</f>
        <v>5</v>
      </c>
      <c r="V17" s="136"/>
      <c r="W17" s="136"/>
      <c r="X17" s="136"/>
      <c r="Y17" s="136"/>
    </row>
    <row r="18" spans="1:25" ht="14.25" customHeight="1" thickBot="1">
      <c r="A18" s="2"/>
      <c r="B18" s="631"/>
      <c r="C18" s="40"/>
      <c r="D18" s="40"/>
      <c r="E18" s="1087" t="s">
        <v>425</v>
      </c>
      <c r="F18" s="300"/>
      <c r="G18" s="300"/>
      <c r="H18" s="300"/>
      <c r="I18" s="300"/>
      <c r="J18" s="154"/>
      <c r="K18" s="154"/>
      <c r="L18" s="154"/>
      <c r="M18" s="154"/>
      <c r="N18" s="2"/>
      <c r="O18" s="148"/>
      <c r="P18" s="588" t="s">
        <v>75</v>
      </c>
      <c r="Q18" s="328" t="s">
        <v>99</v>
      </c>
      <c r="T18" s="136"/>
      <c r="U18" s="588" t="str">
        <f>$Q$18</f>
        <v>対象外</v>
      </c>
      <c r="V18" s="136"/>
      <c r="W18" s="136"/>
      <c r="X18" s="136"/>
      <c r="Y18" s="136"/>
    </row>
    <row r="19" spans="1:25" ht="46.5" customHeight="1">
      <c r="A19" s="2"/>
      <c r="B19" s="168"/>
      <c r="C19" s="38"/>
      <c r="D19" s="42"/>
      <c r="E19" s="747"/>
      <c r="F19" s="516" t="s">
        <v>22</v>
      </c>
      <c r="G19" s="2355" t="s">
        <v>736</v>
      </c>
      <c r="H19" s="2356"/>
      <c r="I19" s="2356"/>
      <c r="J19" s="2356"/>
      <c r="K19" s="2356"/>
      <c r="L19" s="2356"/>
      <c r="M19" s="2357"/>
      <c r="N19" s="137"/>
      <c r="P19" s="619"/>
      <c r="T19" s="602"/>
      <c r="U19" s="619"/>
    </row>
    <row r="20" spans="1:25" ht="16.5" thickBot="1">
      <c r="A20" s="2"/>
      <c r="B20" s="168"/>
      <c r="C20" s="38"/>
      <c r="D20" s="42"/>
      <c r="E20" s="980"/>
      <c r="F20" s="552" t="s">
        <v>23</v>
      </c>
      <c r="G20" s="539" t="s">
        <v>737</v>
      </c>
      <c r="H20" s="538"/>
      <c r="I20" s="538"/>
      <c r="J20" s="538"/>
      <c r="K20" s="538"/>
      <c r="L20" s="538"/>
      <c r="M20" s="542"/>
      <c r="N20" s="137"/>
      <c r="P20" s="619"/>
      <c r="T20" s="602"/>
      <c r="U20" s="619"/>
    </row>
    <row r="21" spans="1:25" ht="15.75" hidden="1">
      <c r="A21" s="2"/>
      <c r="B21" s="168"/>
      <c r="C21" s="38"/>
      <c r="D21" s="42"/>
      <c r="E21" s="801"/>
      <c r="F21" s="143"/>
      <c r="G21" s="532"/>
      <c r="H21" s="532"/>
      <c r="I21" s="532"/>
      <c r="J21" s="532"/>
      <c r="K21" s="532"/>
      <c r="L21" s="532"/>
      <c r="M21" s="531"/>
      <c r="N21" s="137"/>
      <c r="P21" s="619"/>
      <c r="T21" s="602"/>
      <c r="U21" s="619"/>
    </row>
    <row r="22" spans="1:25" ht="15.75">
      <c r="A22" s="2"/>
      <c r="B22" s="168"/>
      <c r="C22" s="38"/>
      <c r="D22" s="42"/>
      <c r="E22" s="811"/>
      <c r="F22" s="532"/>
      <c r="G22" s="532"/>
      <c r="H22" s="532"/>
      <c r="I22" s="532"/>
      <c r="J22" s="532"/>
      <c r="K22" s="532" t="s">
        <v>449</v>
      </c>
      <c r="L22" s="1086">
        <f>IF(E19=U4,1)+IF(E20="過半",2)+IF(E20="一部",1)</f>
        <v>0</v>
      </c>
      <c r="M22" s="531" t="s">
        <v>450</v>
      </c>
      <c r="N22" s="137"/>
      <c r="P22" s="619"/>
      <c r="T22" s="602"/>
      <c r="U22" s="619"/>
    </row>
    <row r="23" spans="1:25" s="148" customFormat="1" ht="8.25" customHeight="1">
      <c r="A23" s="55"/>
      <c r="B23" s="168"/>
      <c r="C23" s="611"/>
      <c r="D23" s="313"/>
      <c r="E23" s="313"/>
      <c r="F23" s="2"/>
      <c r="G23" s="2"/>
      <c r="H23" s="2"/>
      <c r="I23" s="2"/>
      <c r="J23" s="2"/>
      <c r="K23" s="2"/>
      <c r="L23" s="2"/>
      <c r="M23" s="2"/>
      <c r="N23" s="154"/>
      <c r="P23" s="588" t="s">
        <v>75</v>
      </c>
      <c r="Q23" s="328" t="s">
        <v>99</v>
      </c>
      <c r="R23" s="5"/>
      <c r="S23" s="5"/>
      <c r="T23" s="136"/>
    </row>
    <row r="24" spans="1:25" s="148" customFormat="1" ht="21" customHeight="1">
      <c r="A24" s="55"/>
      <c r="B24" s="168"/>
      <c r="C24" s="611"/>
      <c r="E24" s="786" t="s">
        <v>3</v>
      </c>
      <c r="F24" s="787"/>
      <c r="G24" s="1242"/>
      <c r="H24" s="1242"/>
      <c r="I24" s="1241"/>
      <c r="J24" s="1243"/>
      <c r="K24" s="1243"/>
      <c r="L24" s="1243"/>
      <c r="M24" s="1244"/>
      <c r="N24" s="154"/>
      <c r="P24" s="619"/>
      <c r="Q24" s="328"/>
      <c r="R24" s="5"/>
      <c r="S24" s="5"/>
      <c r="T24" s="136"/>
      <c r="U24" s="619"/>
      <c r="V24" s="136"/>
      <c r="W24" s="136"/>
      <c r="X24" s="136"/>
      <c r="Y24" s="136"/>
    </row>
    <row r="25" spans="1:25" ht="14.25" customHeight="1">
      <c r="A25" s="2"/>
      <c r="B25" s="631"/>
      <c r="C25" s="40"/>
      <c r="D25" s="40"/>
      <c r="E25" s="166"/>
      <c r="F25" s="300"/>
      <c r="G25" s="300"/>
      <c r="H25" s="300"/>
      <c r="I25" s="300"/>
      <c r="J25" s="154"/>
      <c r="K25" s="154"/>
      <c r="L25" s="154"/>
      <c r="M25" s="154"/>
      <c r="N25" s="2"/>
      <c r="O25" s="148"/>
      <c r="P25" s="619"/>
      <c r="Q25" s="328"/>
      <c r="T25" s="136"/>
      <c r="U25" s="619"/>
      <c r="V25" s="136"/>
      <c r="W25" s="136"/>
      <c r="X25" s="136"/>
      <c r="Y25" s="136"/>
    </row>
    <row r="26" spans="1:25" ht="14.25" customHeight="1" thickBot="1">
      <c r="A26" s="2"/>
      <c r="B26" s="631"/>
      <c r="C26" s="40"/>
      <c r="D26" s="1088" t="s">
        <v>422</v>
      </c>
      <c r="E26" s="166"/>
      <c r="F26" s="300"/>
      <c r="G26" s="300"/>
      <c r="H26" s="300"/>
      <c r="I26" s="300"/>
      <c r="J26" s="154"/>
      <c r="K26" s="154"/>
      <c r="L26" s="154"/>
      <c r="M26" s="154"/>
      <c r="N26" s="2"/>
      <c r="O26" s="148"/>
      <c r="P26" s="619"/>
      <c r="Q26" s="328"/>
      <c r="T26" s="136"/>
      <c r="U26" s="619"/>
      <c r="V26" s="136"/>
      <c r="W26" s="136"/>
      <c r="X26" s="136"/>
      <c r="Y26" s="136"/>
    </row>
    <row r="27" spans="1:25" s="331" customFormat="1" ht="16.5" customHeight="1" thickBot="1">
      <c r="A27" s="24"/>
      <c r="B27" s="631"/>
      <c r="C27" s="151"/>
      <c r="D27" s="1079">
        <f>IF(D28+L37&lt;=5,D28+L37,5)</f>
        <v>3</v>
      </c>
      <c r="E27" s="151"/>
      <c r="F27" s="154"/>
      <c r="G27" s="26"/>
      <c r="H27" s="26"/>
      <c r="I27" s="154"/>
      <c r="J27" s="154"/>
      <c r="K27" s="154"/>
      <c r="L27" s="180" t="s">
        <v>2</v>
      </c>
      <c r="M27" s="52">
        <f>重み!M66</f>
        <v>0</v>
      </c>
      <c r="N27" s="24"/>
      <c r="O27" s="148">
        <f>C27</f>
        <v>0</v>
      </c>
      <c r="P27" s="148" t="str">
        <f>D26</f>
        <v>1.1.2　鉄骨系住宅</v>
      </c>
      <c r="Q27" s="148">
        <f t="shared" ref="Q27:W27" si="1">E27</f>
        <v>0</v>
      </c>
      <c r="R27" s="148">
        <f t="shared" si="1"/>
        <v>0</v>
      </c>
      <c r="S27" s="148" t="str">
        <f>L27</f>
        <v>重み係数＝</v>
      </c>
      <c r="T27" s="148">
        <f>M27</f>
        <v>0</v>
      </c>
      <c r="U27" s="148">
        <f t="shared" si="1"/>
        <v>0</v>
      </c>
      <c r="V27" s="148">
        <f t="shared" si="1"/>
        <v>0</v>
      </c>
      <c r="W27" s="148">
        <f t="shared" si="1"/>
        <v>0</v>
      </c>
      <c r="X27" s="148" t="e">
        <f>#REF!</f>
        <v>#REF!</v>
      </c>
      <c r="Y27" s="148" t="e">
        <f>#REF!</f>
        <v>#REF!</v>
      </c>
    </row>
    <row r="28" spans="1:25" ht="16.5" customHeight="1" thickBot="1">
      <c r="A28" s="2"/>
      <c r="B28" s="631"/>
      <c r="C28" s="40"/>
      <c r="D28" s="1077">
        <v>3</v>
      </c>
      <c r="E28" s="2349" t="s">
        <v>467</v>
      </c>
      <c r="F28" s="2350"/>
      <c r="G28" s="2350"/>
      <c r="H28" s="2350"/>
      <c r="I28" s="2350"/>
      <c r="J28" s="2350"/>
      <c r="K28" s="2350"/>
      <c r="L28" s="2350"/>
      <c r="M28" s="2351"/>
      <c r="N28" s="24"/>
      <c r="O28" s="146"/>
      <c r="P28" s="148"/>
      <c r="Q28" s="146"/>
      <c r="R28" s="148"/>
      <c r="S28" s="148"/>
      <c r="T28" s="148"/>
      <c r="U28" s="148"/>
      <c r="V28" s="148"/>
      <c r="W28" s="148"/>
      <c r="X28" s="148"/>
      <c r="Y28" s="148"/>
    </row>
    <row r="29" spans="1:25" ht="16.5" customHeight="1">
      <c r="A29" s="2"/>
      <c r="B29" s="631"/>
      <c r="C29" s="40"/>
      <c r="D29" s="36" t="str">
        <f>IF(D28=$Q$18,$R$13,IF(ROUNDDOWN(D28,0)=$Q$13,$S$13,$R$13))</f>
        <v>　レベル　1</v>
      </c>
      <c r="E29" s="526" t="s">
        <v>459</v>
      </c>
      <c r="F29" s="584"/>
      <c r="G29" s="584"/>
      <c r="H29" s="584"/>
      <c r="I29" s="584"/>
      <c r="J29" s="584"/>
      <c r="K29" s="584"/>
      <c r="L29" s="584"/>
      <c r="M29" s="585"/>
      <c r="N29" s="24"/>
      <c r="O29" s="146"/>
      <c r="P29" s="588" t="s">
        <v>75</v>
      </c>
      <c r="Q29" s="146"/>
      <c r="R29" s="304"/>
      <c r="S29" s="148"/>
      <c r="T29" s="148"/>
      <c r="U29" s="588">
        <f>$Q$13</f>
        <v>1</v>
      </c>
      <c r="V29" s="304"/>
      <c r="W29" s="304"/>
      <c r="X29" s="148"/>
      <c r="Y29" s="148"/>
    </row>
    <row r="30" spans="1:25" ht="16.5" customHeight="1">
      <c r="A30" s="2"/>
      <c r="B30" s="631"/>
      <c r="C30" s="40"/>
      <c r="D30" s="39" t="str">
        <f>IF(D28=$Q$18,$R$14,IF(ROUNDDOWN(D28,0)=$Q$14,$S$14,$R$14))</f>
        <v>　レベル　2</v>
      </c>
      <c r="E30" s="527" t="s">
        <v>459</v>
      </c>
      <c r="F30" s="586"/>
      <c r="G30" s="586"/>
      <c r="H30" s="586"/>
      <c r="I30" s="586"/>
      <c r="J30" s="586"/>
      <c r="K30" s="586"/>
      <c r="L30" s="586"/>
      <c r="M30" s="587"/>
      <c r="N30" s="24"/>
      <c r="O30" s="146"/>
      <c r="P30" s="588" t="s">
        <v>931</v>
      </c>
      <c r="Q30" s="146"/>
      <c r="R30" s="304"/>
      <c r="S30" s="148"/>
      <c r="T30" s="148"/>
      <c r="U30" s="588">
        <f>$Q$14</f>
        <v>2</v>
      </c>
      <c r="V30" s="304"/>
      <c r="W30" s="304"/>
      <c r="X30" s="148"/>
      <c r="Y30" s="148"/>
    </row>
    <row r="31" spans="1:25" ht="16.5" customHeight="1">
      <c r="A31" s="2"/>
      <c r="B31" s="631"/>
      <c r="C31" s="40"/>
      <c r="D31" s="39" t="str">
        <f>IF(D28=$Q$18,$R$15,IF(ROUNDDOWN(D28,0)=$Q$15,$S$15,$R$15))</f>
        <v>■レベル　3</v>
      </c>
      <c r="E31" s="527" t="s">
        <v>382</v>
      </c>
      <c r="F31" s="586"/>
      <c r="G31" s="586"/>
      <c r="H31" s="586"/>
      <c r="I31" s="586"/>
      <c r="J31" s="586"/>
      <c r="K31" s="586"/>
      <c r="L31" s="586"/>
      <c r="M31" s="587"/>
      <c r="N31" s="24"/>
      <c r="O31" s="146"/>
      <c r="P31" s="588">
        <f>$Q$15</f>
        <v>3</v>
      </c>
      <c r="Q31" s="146"/>
      <c r="R31" s="304"/>
      <c r="S31" s="148"/>
      <c r="T31" s="148"/>
      <c r="U31" s="588">
        <f>$Q$15</f>
        <v>3</v>
      </c>
      <c r="V31" s="304"/>
      <c r="W31" s="304"/>
      <c r="X31" s="148"/>
      <c r="Y31" s="148"/>
    </row>
    <row r="32" spans="1:25" ht="16.5" customHeight="1">
      <c r="A32" s="2"/>
      <c r="B32" s="631"/>
      <c r="C32" s="40"/>
      <c r="D32" s="39" t="str">
        <f>IF(D28=$Q$18,$R$16,IF(ROUNDDOWN(D28,0)=$Q$16,$S$16,$R$16))</f>
        <v>　レベル　4</v>
      </c>
      <c r="E32" s="539" t="s">
        <v>383</v>
      </c>
      <c r="F32" s="589"/>
      <c r="G32" s="589"/>
      <c r="H32" s="589"/>
      <c r="I32" s="589"/>
      <c r="J32" s="589"/>
      <c r="K32" s="589"/>
      <c r="L32" s="589"/>
      <c r="M32" s="590"/>
      <c r="N32" s="24"/>
      <c r="O32" s="146"/>
      <c r="P32" s="588">
        <f>$Q$16</f>
        <v>4</v>
      </c>
      <c r="Q32" s="146"/>
      <c r="R32" s="304"/>
      <c r="S32" s="148"/>
      <c r="T32" s="148"/>
      <c r="U32" s="588">
        <f>$Q$16</f>
        <v>4</v>
      </c>
      <c r="V32" s="304"/>
      <c r="W32" s="304"/>
      <c r="X32" s="148"/>
      <c r="Y32" s="148"/>
    </row>
    <row r="33" spans="1:25" ht="16.5" customHeight="1">
      <c r="A33" s="2"/>
      <c r="B33" s="631"/>
      <c r="C33" s="40"/>
      <c r="D33" s="37" t="str">
        <f>IF(D28=$Q$18,$R$17,IF(ROUNDDOWN(D28,0)=$Q$17,$S$17,$R$17))</f>
        <v>　レベル　5</v>
      </c>
      <c r="E33" s="565" t="s">
        <v>384</v>
      </c>
      <c r="F33" s="591"/>
      <c r="G33" s="591"/>
      <c r="H33" s="591"/>
      <c r="I33" s="591"/>
      <c r="J33" s="591"/>
      <c r="K33" s="591"/>
      <c r="L33" s="591"/>
      <c r="M33" s="592"/>
      <c r="N33" s="2"/>
      <c r="O33" s="146"/>
      <c r="P33" s="588">
        <f>$Q$17</f>
        <v>5</v>
      </c>
      <c r="Q33" s="146"/>
      <c r="R33" s="304"/>
      <c r="S33" s="148"/>
      <c r="T33" s="148"/>
      <c r="U33" s="588">
        <f>$Q$17</f>
        <v>5</v>
      </c>
      <c r="V33" s="304"/>
      <c r="W33" s="304"/>
      <c r="X33" s="148"/>
      <c r="Y33" s="148"/>
    </row>
    <row r="34" spans="1:25" ht="16.5" customHeight="1" thickBot="1">
      <c r="A34" s="2"/>
      <c r="B34" s="631"/>
      <c r="C34" s="40"/>
      <c r="D34" s="40"/>
      <c r="E34" s="1087" t="s">
        <v>425</v>
      </c>
      <c r="F34" s="300"/>
      <c r="G34" s="300"/>
      <c r="H34" s="300"/>
      <c r="I34" s="300"/>
      <c r="J34" s="154"/>
      <c r="K34" s="154"/>
      <c r="L34" s="154"/>
      <c r="M34" s="154"/>
      <c r="N34" s="2"/>
      <c r="O34" s="148"/>
      <c r="P34" s="588" t="s">
        <v>75</v>
      </c>
      <c r="Q34" s="328" t="s">
        <v>99</v>
      </c>
      <c r="T34" s="136"/>
      <c r="U34" s="588" t="str">
        <f>$Q$18</f>
        <v>対象外</v>
      </c>
      <c r="V34" s="136"/>
      <c r="W34" s="136"/>
      <c r="X34" s="136"/>
      <c r="Y34" s="136"/>
    </row>
    <row r="35" spans="1:25" ht="16.5" thickBot="1">
      <c r="A35" s="2"/>
      <c r="B35" s="168"/>
      <c r="C35" s="38"/>
      <c r="D35" s="42"/>
      <c r="E35" s="979"/>
      <c r="F35" s="978" t="s">
        <v>738</v>
      </c>
      <c r="G35" s="546"/>
      <c r="H35" s="546"/>
      <c r="I35" s="546"/>
      <c r="J35" s="546"/>
      <c r="K35" s="546"/>
      <c r="L35" s="546"/>
      <c r="M35" s="534"/>
      <c r="N35" s="137"/>
      <c r="P35" s="619"/>
      <c r="T35" s="602"/>
      <c r="U35" s="619"/>
    </row>
    <row r="36" spans="1:25" ht="15.75" hidden="1">
      <c r="A36" s="2"/>
      <c r="B36" s="168"/>
      <c r="C36" s="38"/>
      <c r="D36" s="42"/>
      <c r="E36" s="801"/>
      <c r="F36" s="143"/>
      <c r="G36" s="532"/>
      <c r="H36" s="532"/>
      <c r="I36" s="532"/>
      <c r="J36" s="532"/>
      <c r="K36" s="532"/>
      <c r="L36" s="532"/>
      <c r="M36" s="531"/>
      <c r="N36" s="137"/>
      <c r="P36" s="619"/>
      <c r="T36" s="602"/>
      <c r="U36" s="619"/>
    </row>
    <row r="37" spans="1:25" ht="15.75">
      <c r="A37" s="2"/>
      <c r="B37" s="168"/>
      <c r="C37" s="38"/>
      <c r="D37" s="42"/>
      <c r="E37" s="811"/>
      <c r="F37" s="532"/>
      <c r="G37" s="532"/>
      <c r="H37" s="532"/>
      <c r="I37" s="532"/>
      <c r="J37" s="532"/>
      <c r="K37" s="532" t="s">
        <v>449</v>
      </c>
      <c r="L37" s="1086">
        <f>IF(E35="過半",2)+IF(E35="一部",1)</f>
        <v>0</v>
      </c>
      <c r="M37" s="531" t="s">
        <v>450</v>
      </c>
      <c r="N37" s="137"/>
      <c r="P37" s="619"/>
      <c r="T37" s="602"/>
      <c r="U37" s="619"/>
    </row>
    <row r="38" spans="1:25" s="148" customFormat="1" ht="8.25" customHeight="1">
      <c r="A38" s="55"/>
      <c r="B38" s="168"/>
      <c r="C38" s="611"/>
      <c r="D38" s="313"/>
      <c r="E38" s="313"/>
      <c r="F38" s="2"/>
      <c r="G38" s="2"/>
      <c r="H38" s="2"/>
      <c r="I38" s="2"/>
      <c r="J38" s="2"/>
      <c r="K38" s="2"/>
      <c r="L38" s="2"/>
      <c r="M38" s="2"/>
      <c r="N38" s="154"/>
      <c r="P38" s="588" t="s">
        <v>75</v>
      </c>
      <c r="Q38" s="328" t="s">
        <v>99</v>
      </c>
      <c r="R38" s="5"/>
      <c r="S38" s="5"/>
      <c r="T38" s="136"/>
    </row>
    <row r="39" spans="1:25" s="148" customFormat="1" ht="21" customHeight="1">
      <c r="A39" s="55"/>
      <c r="B39" s="168"/>
      <c r="C39" s="611"/>
      <c r="E39" s="786" t="s">
        <v>3</v>
      </c>
      <c r="F39" s="787"/>
      <c r="G39" s="1242"/>
      <c r="H39" s="1242"/>
      <c r="I39" s="1241"/>
      <c r="J39" s="1243"/>
      <c r="K39" s="1243"/>
      <c r="L39" s="1243"/>
      <c r="M39" s="1244"/>
      <c r="N39" s="154"/>
      <c r="P39" s="619"/>
      <c r="Q39" s="328"/>
      <c r="R39" s="5"/>
      <c r="S39" s="5"/>
      <c r="T39" s="136"/>
      <c r="U39" s="619"/>
      <c r="V39" s="136"/>
      <c r="W39" s="136"/>
      <c r="X39" s="136"/>
      <c r="Y39" s="136"/>
    </row>
    <row r="40" spans="1:25" ht="14.25" customHeight="1">
      <c r="A40" s="2"/>
      <c r="B40" s="631"/>
      <c r="C40" s="40"/>
      <c r="D40" s="40"/>
      <c r="E40" s="166"/>
      <c r="F40" s="300"/>
      <c r="G40" s="300"/>
      <c r="H40" s="300"/>
      <c r="I40" s="300"/>
      <c r="J40" s="154"/>
      <c r="K40" s="154"/>
      <c r="L40" s="154"/>
      <c r="M40" s="154"/>
      <c r="N40" s="2"/>
      <c r="O40" s="146"/>
      <c r="P40" s="619"/>
      <c r="Q40" s="146"/>
      <c r="R40" s="304"/>
      <c r="S40" s="148"/>
      <c r="T40" s="148"/>
      <c r="U40" s="619"/>
      <c r="V40" s="304"/>
      <c r="W40" s="304"/>
      <c r="X40" s="148"/>
      <c r="Y40" s="304"/>
    </row>
    <row r="41" spans="1:25" s="331" customFormat="1" ht="13.5" customHeight="1" thickBot="1">
      <c r="A41" s="24"/>
      <c r="B41" s="631"/>
      <c r="C41" s="151"/>
      <c r="D41" s="1088" t="s">
        <v>423</v>
      </c>
      <c r="E41" s="151"/>
      <c r="F41" s="154"/>
      <c r="G41" s="26"/>
      <c r="H41" s="26"/>
      <c r="I41" s="154"/>
      <c r="J41" s="154"/>
      <c r="K41" s="154"/>
      <c r="L41" s="180" t="s">
        <v>2</v>
      </c>
      <c r="M41" s="52">
        <f>重み!M67</f>
        <v>0</v>
      </c>
      <c r="N41" s="24"/>
      <c r="O41" s="148">
        <f>C41</f>
        <v>0</v>
      </c>
      <c r="P41" s="148" t="str">
        <f>D41</f>
        <v>1.1.3　コンクリート系住宅</v>
      </c>
      <c r="Q41" s="148">
        <f>E41</f>
        <v>0</v>
      </c>
      <c r="R41" s="148">
        <f>F41</f>
        <v>0</v>
      </c>
      <c r="S41" s="148" t="str">
        <f>L41</f>
        <v>重み係数＝</v>
      </c>
      <c r="T41" s="148">
        <f>M41</f>
        <v>0</v>
      </c>
      <c r="U41" s="148">
        <f>I41</f>
        <v>0</v>
      </c>
      <c r="V41" s="148">
        <f>J41</f>
        <v>0</v>
      </c>
      <c r="W41" s="148">
        <f>K41</f>
        <v>0</v>
      </c>
      <c r="X41" s="148" t="e">
        <f>#REF!</f>
        <v>#REF!</v>
      </c>
      <c r="Y41" s="136">
        <f>メイン!N55</f>
        <v>0</v>
      </c>
    </row>
    <row r="42" spans="1:25" ht="15" thickBot="1">
      <c r="A42" s="2"/>
      <c r="B42" s="631"/>
      <c r="C42" s="40"/>
      <c r="D42" s="1078">
        <f>ROUND(IF(F52=0,3,IF(F52&lt;=1,4,5)),0)</f>
        <v>3</v>
      </c>
      <c r="E42" s="2349" t="s">
        <v>467</v>
      </c>
      <c r="F42" s="2350"/>
      <c r="G42" s="2350"/>
      <c r="H42" s="2350"/>
      <c r="I42" s="2350"/>
      <c r="J42" s="2350"/>
      <c r="K42" s="2350"/>
      <c r="L42" s="2350"/>
      <c r="M42" s="2351"/>
      <c r="N42" s="24"/>
      <c r="O42" s="146"/>
      <c r="P42" s="148"/>
      <c r="Q42" s="146"/>
      <c r="R42" s="148"/>
      <c r="S42" s="148"/>
      <c r="T42" s="148"/>
      <c r="U42" s="148"/>
      <c r="V42" s="148"/>
      <c r="W42" s="148"/>
      <c r="X42" s="148"/>
      <c r="Y42" s="136">
        <f>M42</f>
        <v>0</v>
      </c>
    </row>
    <row r="43" spans="1:25" ht="14.25" customHeight="1">
      <c r="A43" s="2"/>
      <c r="B43" s="631"/>
      <c r="C43" s="40"/>
      <c r="D43" s="36" t="str">
        <f>IF(D42=$Q$18,$R$13,IF(ROUNDDOWN(D42,0)=$Q$13,$S$13,$R$13))</f>
        <v>　レベル　1</v>
      </c>
      <c r="E43" s="526" t="s">
        <v>459</v>
      </c>
      <c r="F43" s="584"/>
      <c r="G43" s="584"/>
      <c r="H43" s="584"/>
      <c r="I43" s="584"/>
      <c r="J43" s="584"/>
      <c r="K43" s="584"/>
      <c r="L43" s="584"/>
      <c r="M43" s="585"/>
      <c r="N43" s="24"/>
      <c r="O43" s="146"/>
      <c r="P43" s="588" t="s">
        <v>62</v>
      </c>
      <c r="Q43" s="146"/>
      <c r="R43" s="304"/>
      <c r="S43" s="148"/>
      <c r="T43" s="148"/>
      <c r="U43" s="588">
        <f>$Q$13</f>
        <v>1</v>
      </c>
      <c r="V43" s="304"/>
      <c r="W43" s="304"/>
      <c r="X43" s="148"/>
      <c r="Y43" s="136"/>
    </row>
    <row r="44" spans="1:25" ht="14.25" customHeight="1">
      <c r="A44" s="2"/>
      <c r="B44" s="631"/>
      <c r="C44" s="40"/>
      <c r="D44" s="39" t="str">
        <f>IF(D42=$Q$18,$R$14,IF(ROUNDDOWN(D42,0)=$Q$14,$S$14,$R$14))</f>
        <v>　レベル　2</v>
      </c>
      <c r="E44" s="527" t="s">
        <v>459</v>
      </c>
      <c r="F44" s="586"/>
      <c r="G44" s="586"/>
      <c r="H44" s="586"/>
      <c r="I44" s="586"/>
      <c r="J44" s="586"/>
      <c r="K44" s="586"/>
      <c r="L44" s="586"/>
      <c r="M44" s="587"/>
      <c r="N44" s="24"/>
      <c r="O44" s="146"/>
      <c r="P44" s="588" t="s">
        <v>62</v>
      </c>
      <c r="Q44" s="146"/>
      <c r="R44" s="304"/>
      <c r="S44" s="148"/>
      <c r="T44" s="148"/>
      <c r="U44" s="588">
        <f>$Q$14</f>
        <v>2</v>
      </c>
      <c r="V44" s="304"/>
      <c r="W44" s="304"/>
      <c r="X44" s="148"/>
      <c r="Y44" s="136"/>
    </row>
    <row r="45" spans="1:25" ht="14.25" customHeight="1">
      <c r="A45" s="2"/>
      <c r="B45" s="631"/>
      <c r="C45" s="40"/>
      <c r="D45" s="39" t="str">
        <f>IF(D42=$Q$18,$R$15,IF(ROUNDDOWN(D42,0)=$Q$15,$S$15,$R$15))</f>
        <v>■レベル　3</v>
      </c>
      <c r="E45" s="527" t="s">
        <v>285</v>
      </c>
      <c r="F45" s="586"/>
      <c r="G45" s="586"/>
      <c r="H45" s="586"/>
      <c r="I45" s="586"/>
      <c r="J45" s="586"/>
      <c r="K45" s="586"/>
      <c r="L45" s="586"/>
      <c r="M45" s="587"/>
      <c r="N45" s="24"/>
      <c r="O45" s="146"/>
      <c r="P45" s="588">
        <f>$Q$15</f>
        <v>3</v>
      </c>
      <c r="Q45" s="146"/>
      <c r="R45" s="304"/>
      <c r="S45" s="148"/>
      <c r="T45" s="148"/>
      <c r="U45" s="588">
        <f>$Q$15</f>
        <v>3</v>
      </c>
      <c r="V45" s="304"/>
      <c r="W45" s="304"/>
      <c r="X45" s="148"/>
      <c r="Y45" s="136"/>
    </row>
    <row r="46" spans="1:25" ht="14.25" customHeight="1">
      <c r="A46" s="2"/>
      <c r="B46" s="631"/>
      <c r="C46" s="40"/>
      <c r="D46" s="39" t="str">
        <f>IF(D42=$Q$18,$R$16,IF(ROUNDDOWN(D42,0)=$Q$16,$S$16,$R$16))</f>
        <v>　レベル　4</v>
      </c>
      <c r="E46" s="539" t="s">
        <v>286</v>
      </c>
      <c r="F46" s="589"/>
      <c r="G46" s="589"/>
      <c r="H46" s="589"/>
      <c r="I46" s="589"/>
      <c r="J46" s="589"/>
      <c r="K46" s="589"/>
      <c r="L46" s="589"/>
      <c r="M46" s="590"/>
      <c r="N46" s="24"/>
      <c r="O46" s="146"/>
      <c r="P46" s="588">
        <f>$Q$16</f>
        <v>4</v>
      </c>
      <c r="Q46" s="146"/>
      <c r="R46" s="304"/>
      <c r="S46" s="148"/>
      <c r="T46" s="148"/>
      <c r="U46" s="588">
        <f>$Q$16</f>
        <v>4</v>
      </c>
      <c r="V46" s="304"/>
      <c r="W46" s="304"/>
      <c r="X46" s="148"/>
      <c r="Y46" s="136"/>
    </row>
    <row r="47" spans="1:25" ht="14.25" customHeight="1">
      <c r="A47" s="2"/>
      <c r="B47" s="631"/>
      <c r="C47" s="40"/>
      <c r="D47" s="37" t="str">
        <f>IF(D42=$Q$18,$R$17,IF(ROUNDDOWN(D42,0)=$Q$17,$S$17,$R$17))</f>
        <v>　レベル　5</v>
      </c>
      <c r="E47" s="565" t="s">
        <v>287</v>
      </c>
      <c r="F47" s="591"/>
      <c r="G47" s="591"/>
      <c r="H47" s="591"/>
      <c r="I47" s="591"/>
      <c r="J47" s="591"/>
      <c r="K47" s="591"/>
      <c r="L47" s="591"/>
      <c r="M47" s="592"/>
      <c r="N47" s="2"/>
      <c r="O47" s="146"/>
      <c r="P47" s="588">
        <f>$Q$17</f>
        <v>5</v>
      </c>
      <c r="Q47" s="146"/>
      <c r="R47" s="304"/>
      <c r="S47" s="148"/>
      <c r="T47" s="148"/>
      <c r="U47" s="588">
        <f>$Q$17</f>
        <v>5</v>
      </c>
      <c r="V47" s="304"/>
      <c r="W47" s="304"/>
      <c r="X47" s="148"/>
      <c r="Y47" s="136"/>
    </row>
    <row r="48" spans="1:25" ht="16.5" customHeight="1">
      <c r="A48" s="2"/>
      <c r="B48" s="631"/>
      <c r="C48" s="40"/>
      <c r="D48" s="40"/>
      <c r="E48" s="156" t="s">
        <v>41</v>
      </c>
      <c r="F48" s="55"/>
      <c r="G48" s="155"/>
      <c r="H48" s="44"/>
      <c r="I48" s="44"/>
      <c r="J48" s="55"/>
      <c r="K48" s="55"/>
      <c r="L48" s="55"/>
      <c r="M48" s="55"/>
      <c r="N48" s="2"/>
      <c r="O48" s="146"/>
      <c r="P48" s="588" t="str">
        <f>$Q$18</f>
        <v>対象外</v>
      </c>
      <c r="Q48" s="146"/>
      <c r="R48" s="304"/>
      <c r="S48" s="148"/>
      <c r="T48" s="148"/>
      <c r="U48" s="588" t="str">
        <f>$Q$18</f>
        <v>対象外</v>
      </c>
      <c r="V48" s="304"/>
      <c r="W48" s="304"/>
      <c r="X48" s="148"/>
      <c r="Y48" s="136"/>
    </row>
    <row r="49" spans="1:25" ht="16.5" customHeight="1" thickBot="1">
      <c r="A49" s="2"/>
      <c r="B49" s="631"/>
      <c r="C49" s="40"/>
      <c r="D49" s="40"/>
      <c r="E49" s="144" t="s">
        <v>394</v>
      </c>
      <c r="F49" s="515" t="s">
        <v>85</v>
      </c>
      <c r="G49" s="549" t="s">
        <v>91</v>
      </c>
      <c r="H49" s="550"/>
      <c r="I49" s="550"/>
      <c r="J49" s="550"/>
      <c r="K49" s="550"/>
      <c r="L49" s="550"/>
      <c r="M49" s="551"/>
      <c r="N49" s="2"/>
      <c r="O49" s="136"/>
      <c r="P49" s="384"/>
      <c r="Q49" s="384"/>
      <c r="R49" s="384"/>
      <c r="S49" s="384"/>
      <c r="T49" s="384"/>
      <c r="U49" s="384"/>
      <c r="V49" s="136"/>
      <c r="W49" s="136"/>
      <c r="X49" s="136"/>
      <c r="Y49" s="136"/>
    </row>
    <row r="50" spans="1:25" ht="24" customHeight="1">
      <c r="A50" s="2"/>
      <c r="B50" s="631"/>
      <c r="C50" s="40"/>
      <c r="D50" s="40"/>
      <c r="E50" s="379"/>
      <c r="F50" s="516">
        <v>1</v>
      </c>
      <c r="G50" s="2355" t="s">
        <v>930</v>
      </c>
      <c r="H50" s="2356"/>
      <c r="I50" s="2356"/>
      <c r="J50" s="2356"/>
      <c r="K50" s="2356"/>
      <c r="L50" s="2356"/>
      <c r="M50" s="2357"/>
      <c r="N50" s="2"/>
      <c r="O50" s="136"/>
      <c r="P50" s="384"/>
      <c r="Q50" s="384"/>
      <c r="R50" s="384"/>
      <c r="S50" s="384"/>
      <c r="T50" s="384"/>
      <c r="U50" s="384"/>
      <c r="V50" s="136"/>
      <c r="W50" s="136"/>
      <c r="X50" s="136"/>
      <c r="Y50" s="136"/>
    </row>
    <row r="51" spans="1:25" ht="24" customHeight="1" thickBot="1">
      <c r="A51" s="2"/>
      <c r="B51" s="631"/>
      <c r="C51" s="40"/>
      <c r="D51" s="40"/>
      <c r="E51" s="380"/>
      <c r="F51" s="554">
        <v>2</v>
      </c>
      <c r="G51" s="2358" t="s">
        <v>364</v>
      </c>
      <c r="H51" s="2359"/>
      <c r="I51" s="2359"/>
      <c r="J51" s="2359"/>
      <c r="K51" s="2359"/>
      <c r="L51" s="2359"/>
      <c r="M51" s="2360"/>
      <c r="N51" s="2"/>
      <c r="O51" s="136"/>
      <c r="P51" s="384"/>
      <c r="Q51" s="384"/>
      <c r="R51" s="384"/>
      <c r="S51" s="384"/>
      <c r="T51" s="384"/>
      <c r="U51" s="384"/>
      <c r="V51" s="136"/>
      <c r="W51" s="136"/>
      <c r="X51" s="136"/>
      <c r="Y51" s="136"/>
    </row>
    <row r="52" spans="1:25" ht="16.5" customHeight="1">
      <c r="A52" s="2"/>
      <c r="B52" s="381"/>
      <c r="C52" s="612"/>
      <c r="D52" s="612"/>
      <c r="E52" s="600" t="s">
        <v>535</v>
      </c>
      <c r="F52" s="1045">
        <f>COUNTIF(E50:E51,"○")</f>
        <v>0</v>
      </c>
      <c r="G52" s="1047"/>
      <c r="H52" s="1047"/>
      <c r="I52" s="374"/>
      <c r="J52" s="375"/>
      <c r="K52" s="374"/>
      <c r="L52" s="375"/>
      <c r="M52" s="376"/>
      <c r="N52" s="2"/>
      <c r="O52" s="136"/>
      <c r="P52" s="384"/>
      <c r="Q52" s="384"/>
      <c r="R52" s="384"/>
      <c r="S52" s="384"/>
      <c r="T52" s="384"/>
      <c r="U52" s="384"/>
      <c r="V52" s="136"/>
      <c r="W52" s="136"/>
      <c r="X52" s="136"/>
      <c r="Y52" s="136"/>
    </row>
    <row r="53" spans="1:25" s="148" customFormat="1" ht="8.25" customHeight="1">
      <c r="A53" s="55"/>
      <c r="B53" s="168"/>
      <c r="C53" s="611"/>
      <c r="D53" s="313"/>
      <c r="E53" s="313"/>
      <c r="F53" s="2"/>
      <c r="G53" s="2"/>
      <c r="H53" s="2"/>
      <c r="I53" s="2"/>
      <c r="J53" s="2"/>
      <c r="K53" s="2"/>
      <c r="L53" s="2"/>
      <c r="M53" s="2"/>
      <c r="N53" s="154"/>
      <c r="P53" s="588" t="s">
        <v>75</v>
      </c>
      <c r="Q53" s="328" t="s">
        <v>99</v>
      </c>
      <c r="R53" s="5"/>
      <c r="S53" s="5"/>
      <c r="T53" s="136"/>
    </row>
    <row r="54" spans="1:25" s="148" customFormat="1" ht="21" customHeight="1">
      <c r="A54" s="55"/>
      <c r="B54" s="168"/>
      <c r="C54" s="611"/>
      <c r="E54" s="786" t="s">
        <v>3</v>
      </c>
      <c r="F54" s="787"/>
      <c r="G54" s="1242"/>
      <c r="H54" s="1242"/>
      <c r="I54" s="1241"/>
      <c r="J54" s="1243"/>
      <c r="K54" s="1243"/>
      <c r="L54" s="1243"/>
      <c r="M54" s="1244"/>
      <c r="N54" s="154"/>
      <c r="P54" s="619"/>
      <c r="Q54" s="328"/>
      <c r="R54" s="5"/>
      <c r="S54" s="5"/>
      <c r="T54" s="136"/>
      <c r="U54" s="619"/>
      <c r="V54" s="136"/>
      <c r="W54" s="136"/>
      <c r="X54" s="136"/>
      <c r="Y54" s="136"/>
    </row>
    <row r="55" spans="1:25" ht="14.25" customHeight="1">
      <c r="A55" s="2"/>
      <c r="B55" s="631"/>
      <c r="C55" s="40"/>
      <c r="D55" s="40"/>
      <c r="E55" s="40"/>
      <c r="F55" s="40"/>
      <c r="G55" s="40"/>
      <c r="H55" s="40"/>
      <c r="I55" s="40"/>
      <c r="J55" s="40"/>
      <c r="K55" s="40"/>
      <c r="L55" s="40"/>
      <c r="M55" s="40"/>
      <c r="N55" s="2"/>
      <c r="O55" s="136"/>
      <c r="P55" s="384"/>
      <c r="Q55" s="384"/>
      <c r="R55" s="384"/>
      <c r="S55" s="384"/>
      <c r="T55" s="384"/>
      <c r="U55" s="384"/>
      <c r="V55" s="136"/>
      <c r="W55" s="136"/>
      <c r="X55" s="136"/>
      <c r="Y55" s="136"/>
    </row>
    <row r="56" spans="1:25" s="331" customFormat="1" ht="14.25" customHeight="1">
      <c r="A56" s="24"/>
      <c r="B56" s="1090">
        <v>1.2</v>
      </c>
      <c r="C56" s="151" t="s">
        <v>593</v>
      </c>
      <c r="D56" s="151"/>
      <c r="E56" s="154"/>
      <c r="F56" s="314"/>
      <c r="G56" s="154"/>
      <c r="H56" s="154"/>
      <c r="I56" s="154"/>
      <c r="J56" s="314"/>
      <c r="K56" s="154"/>
      <c r="L56" s="154"/>
      <c r="M56" s="154"/>
      <c r="N56" s="24"/>
      <c r="O56" s="136"/>
      <c r="V56" s="136"/>
      <c r="W56" s="136"/>
      <c r="X56" s="136"/>
      <c r="Y56" s="136"/>
    </row>
    <row r="57" spans="1:25" ht="16.5" customHeight="1" thickBot="1">
      <c r="A57" s="2"/>
      <c r="B57" s="631"/>
      <c r="C57" s="40"/>
      <c r="D57" s="139"/>
      <c r="E57" s="151"/>
      <c r="F57" s="154"/>
      <c r="G57" s="6"/>
      <c r="H57" s="6"/>
      <c r="I57" s="154"/>
      <c r="J57" s="418"/>
      <c r="K57" s="418"/>
      <c r="L57" s="180" t="s">
        <v>2</v>
      </c>
      <c r="M57" s="177">
        <f>重み!M68</f>
        <v>0.2</v>
      </c>
      <c r="N57" s="2"/>
      <c r="O57" s="148">
        <f>C57</f>
        <v>0</v>
      </c>
      <c r="P57" s="148">
        <f>D57</f>
        <v>0</v>
      </c>
      <c r="Q57" s="148">
        <f>E57</f>
        <v>0</v>
      </c>
      <c r="R57" s="148">
        <f>F57</f>
        <v>0</v>
      </c>
      <c r="S57" s="148" t="str">
        <f>L57</f>
        <v>重み係数＝</v>
      </c>
      <c r="T57" s="148">
        <f>M57</f>
        <v>0.2</v>
      </c>
      <c r="U57" s="148">
        <f>I57</f>
        <v>0</v>
      </c>
      <c r="V57" s="148">
        <f>J57</f>
        <v>0</v>
      </c>
      <c r="W57" s="148">
        <f>K57</f>
        <v>0</v>
      </c>
      <c r="X57" s="148" t="e">
        <f>#REF!</f>
        <v>#REF!</v>
      </c>
      <c r="Y57" s="136"/>
    </row>
    <row r="58" spans="1:25" ht="16.5" customHeight="1" thickBot="1">
      <c r="A58" s="2"/>
      <c r="B58" s="631"/>
      <c r="C58" s="40"/>
      <c r="D58" s="1078">
        <f>ROUND(IF(F69=0,3,IF(F69&lt;=1,4,5)),0)</f>
        <v>3</v>
      </c>
      <c r="E58" s="2349" t="s">
        <v>467</v>
      </c>
      <c r="F58" s="2350"/>
      <c r="G58" s="2350"/>
      <c r="H58" s="2350"/>
      <c r="I58" s="2350"/>
      <c r="J58" s="2350"/>
      <c r="K58" s="2350"/>
      <c r="L58" s="2350"/>
      <c r="M58" s="2351"/>
      <c r="N58" s="2"/>
      <c r="O58" s="146"/>
      <c r="P58" s="148"/>
      <c r="Q58" s="146"/>
      <c r="R58" s="148"/>
      <c r="S58" s="148"/>
      <c r="T58" s="148"/>
      <c r="U58" s="148"/>
      <c r="V58" s="148"/>
      <c r="W58" s="148"/>
      <c r="X58" s="148"/>
    </row>
    <row r="59" spans="1:25" ht="16.5" customHeight="1">
      <c r="A59" s="2"/>
      <c r="B59" s="631"/>
      <c r="C59" s="40"/>
      <c r="D59" s="36" t="str">
        <f>IF(D58=$Q$18,$R$13,IF(ROUNDDOWN(D58,0)=$Q$13,$S$13,$R$13))</f>
        <v>　レベル　1</v>
      </c>
      <c r="E59" s="526" t="s">
        <v>459</v>
      </c>
      <c r="F59" s="584"/>
      <c r="G59" s="584"/>
      <c r="H59" s="584"/>
      <c r="I59" s="584"/>
      <c r="J59" s="584"/>
      <c r="K59" s="584"/>
      <c r="L59" s="584"/>
      <c r="M59" s="585"/>
      <c r="N59" s="2"/>
      <c r="O59" s="146"/>
      <c r="P59" s="588" t="s">
        <v>62</v>
      </c>
      <c r="Q59" s="146"/>
      <c r="R59" s="304"/>
      <c r="S59" s="148"/>
      <c r="T59" s="148"/>
      <c r="U59" s="588">
        <f>$Q$13</f>
        <v>1</v>
      </c>
      <c r="V59" s="304"/>
      <c r="W59" s="304"/>
      <c r="X59" s="148"/>
    </row>
    <row r="60" spans="1:25" ht="16.5" customHeight="1">
      <c r="A60" s="2"/>
      <c r="B60" s="631"/>
      <c r="C60" s="40"/>
      <c r="D60" s="39" t="str">
        <f>IF(D58=$Q$18,$R$14,IF(ROUNDDOWN(D58,0)=$Q$14,$S$14,$R$14))</f>
        <v>　レベル　2</v>
      </c>
      <c r="E60" s="527" t="s">
        <v>459</v>
      </c>
      <c r="F60" s="586"/>
      <c r="G60" s="586"/>
      <c r="H60" s="586"/>
      <c r="I60" s="586"/>
      <c r="J60" s="586"/>
      <c r="K60" s="586"/>
      <c r="L60" s="586"/>
      <c r="M60" s="587"/>
      <c r="N60" s="2"/>
      <c r="O60" s="146"/>
      <c r="P60" s="588" t="s">
        <v>62</v>
      </c>
      <c r="Q60" s="146"/>
      <c r="R60" s="304"/>
      <c r="S60" s="148"/>
      <c r="T60" s="148"/>
      <c r="U60" s="588">
        <f>$Q$14</f>
        <v>2</v>
      </c>
      <c r="V60" s="304"/>
      <c r="W60" s="304"/>
      <c r="X60" s="148"/>
    </row>
    <row r="61" spans="1:25" ht="16.5" customHeight="1">
      <c r="A61" s="2"/>
      <c r="B61" s="631"/>
      <c r="C61" s="40"/>
      <c r="D61" s="39" t="str">
        <f>IF(D58=$Q$18,$R$15,IF(ROUNDDOWN(D58,0)=$Q$15,$S$15,$R$15))</f>
        <v>■レベル　3</v>
      </c>
      <c r="E61" s="527" t="s">
        <v>288</v>
      </c>
      <c r="F61" s="586"/>
      <c r="G61" s="586"/>
      <c r="H61" s="586"/>
      <c r="I61" s="586"/>
      <c r="J61" s="586"/>
      <c r="K61" s="586"/>
      <c r="L61" s="586"/>
      <c r="M61" s="587"/>
      <c r="N61" s="2"/>
      <c r="O61" s="146"/>
      <c r="P61" s="588">
        <f>$Q$15</f>
        <v>3</v>
      </c>
      <c r="Q61" s="146"/>
      <c r="R61" s="304"/>
      <c r="S61" s="148"/>
      <c r="T61" s="148"/>
      <c r="U61" s="588">
        <f>$Q$15</f>
        <v>3</v>
      </c>
      <c r="V61" s="304"/>
      <c r="W61" s="304"/>
      <c r="X61" s="148"/>
    </row>
    <row r="62" spans="1:25" ht="16.5" customHeight="1">
      <c r="A62" s="2"/>
      <c r="B62" s="631"/>
      <c r="C62" s="40"/>
      <c r="D62" s="39" t="str">
        <f>IF(D58=$Q$18,$R$16,IF(ROUNDDOWN(D58,0)=$Q$16,$S$16,$R$16))</f>
        <v>　レベル　4</v>
      </c>
      <c r="E62" s="539" t="s">
        <v>289</v>
      </c>
      <c r="F62" s="589"/>
      <c r="G62" s="589"/>
      <c r="H62" s="589"/>
      <c r="I62" s="589"/>
      <c r="J62" s="589"/>
      <c r="K62" s="589"/>
      <c r="L62" s="589"/>
      <c r="M62" s="590"/>
      <c r="N62" s="2"/>
      <c r="O62" s="146"/>
      <c r="P62" s="588">
        <f>$Q$16</f>
        <v>4</v>
      </c>
      <c r="Q62" s="146"/>
      <c r="R62" s="304"/>
      <c r="S62" s="148"/>
      <c r="T62" s="148"/>
      <c r="U62" s="588">
        <f>$Q$16</f>
        <v>4</v>
      </c>
      <c r="V62" s="304"/>
      <c r="W62" s="304"/>
      <c r="X62" s="148"/>
    </row>
    <row r="63" spans="1:25" ht="16.5" customHeight="1">
      <c r="A63" s="2"/>
      <c r="B63" s="631"/>
      <c r="C63" s="40"/>
      <c r="D63" s="37" t="str">
        <f>IF(D58=$Q$18,$R$17,IF(ROUNDDOWN(D58,0)=$Q$17,$S$17,$R$17))</f>
        <v>　レベル　5</v>
      </c>
      <c r="E63" s="565" t="s">
        <v>290</v>
      </c>
      <c r="F63" s="591"/>
      <c r="G63" s="591"/>
      <c r="H63" s="591"/>
      <c r="I63" s="591"/>
      <c r="J63" s="591"/>
      <c r="K63" s="591"/>
      <c r="L63" s="591"/>
      <c r="M63" s="592"/>
      <c r="N63" s="2"/>
      <c r="O63" s="146"/>
      <c r="P63" s="588">
        <f>$Q$17</f>
        <v>5</v>
      </c>
      <c r="Q63" s="146"/>
      <c r="R63" s="304"/>
      <c r="S63" s="148"/>
      <c r="T63" s="148"/>
      <c r="U63" s="588">
        <f>$Q$17</f>
        <v>5</v>
      </c>
      <c r="V63" s="304"/>
      <c r="W63" s="304"/>
      <c r="X63" s="148"/>
    </row>
    <row r="64" spans="1:25" ht="16.5" customHeight="1">
      <c r="A64" s="2"/>
      <c r="B64" s="631"/>
      <c r="C64" s="40"/>
      <c r="D64" s="40"/>
      <c r="E64" s="156" t="s">
        <v>41</v>
      </c>
      <c r="F64" s="55"/>
      <c r="G64" s="155"/>
      <c r="H64" s="44"/>
      <c r="I64" s="44"/>
      <c r="J64" s="55"/>
      <c r="K64" s="55"/>
      <c r="L64" s="55"/>
      <c r="M64" s="55"/>
      <c r="N64" s="2"/>
      <c r="O64" s="146"/>
      <c r="P64" s="588" t="s">
        <v>75</v>
      </c>
      <c r="Q64" s="146"/>
      <c r="R64" s="146"/>
      <c r="S64" s="146"/>
      <c r="T64" s="146"/>
      <c r="U64" s="588" t="str">
        <f>$Q$18</f>
        <v>対象外</v>
      </c>
      <c r="V64" s="146"/>
      <c r="W64" s="304"/>
      <c r="X64" s="148"/>
    </row>
    <row r="65" spans="1:256" ht="16.5" customHeight="1" thickBot="1">
      <c r="A65" s="2"/>
      <c r="B65" s="631"/>
      <c r="C65" s="40"/>
      <c r="D65" s="40"/>
      <c r="E65" s="144" t="s">
        <v>394</v>
      </c>
      <c r="F65" s="515" t="s">
        <v>85</v>
      </c>
      <c r="G65" s="549" t="s">
        <v>91</v>
      </c>
      <c r="H65" s="550"/>
      <c r="I65" s="550"/>
      <c r="J65" s="550"/>
      <c r="K65" s="550"/>
      <c r="L65" s="550"/>
      <c r="M65" s="551"/>
      <c r="N65" s="2"/>
      <c r="O65" s="146"/>
      <c r="P65" s="146"/>
      <c r="Q65" s="146"/>
      <c r="R65" s="146"/>
      <c r="S65" s="146"/>
      <c r="T65" s="146"/>
      <c r="U65" s="146"/>
      <c r="V65" s="146"/>
      <c r="W65" s="304"/>
      <c r="X65" s="148"/>
    </row>
    <row r="66" spans="1:256" ht="16.5" customHeight="1">
      <c r="A66" s="2"/>
      <c r="B66" s="631"/>
      <c r="C66" s="40"/>
      <c r="D66" s="40"/>
      <c r="E66" s="379"/>
      <c r="F66" s="516">
        <v>1</v>
      </c>
      <c r="G66" s="599" t="s">
        <v>117</v>
      </c>
      <c r="H66" s="577"/>
      <c r="I66" s="577"/>
      <c r="J66" s="577"/>
      <c r="K66" s="577"/>
      <c r="L66" s="577"/>
      <c r="M66" s="533"/>
      <c r="N66" s="2"/>
      <c r="O66" s="146"/>
      <c r="P66" s="146"/>
      <c r="Q66" s="146"/>
      <c r="R66" s="146"/>
      <c r="S66" s="146"/>
      <c r="T66" s="146"/>
      <c r="U66" s="146"/>
      <c r="V66" s="146"/>
      <c r="W66" s="304"/>
      <c r="X66" s="148"/>
    </row>
    <row r="67" spans="1:256" ht="16.5" customHeight="1">
      <c r="A67" s="2"/>
      <c r="B67" s="631"/>
      <c r="C67" s="40"/>
      <c r="D67" s="40"/>
      <c r="E67" s="537"/>
      <c r="F67" s="552">
        <v>2</v>
      </c>
      <c r="G67" s="527" t="s">
        <v>118</v>
      </c>
      <c r="H67" s="538"/>
      <c r="I67" s="538"/>
      <c r="J67" s="538"/>
      <c r="K67" s="538"/>
      <c r="L67" s="538"/>
      <c r="M67" s="542"/>
      <c r="N67" s="2"/>
      <c r="O67" s="146"/>
      <c r="P67" s="146"/>
      <c r="Q67" s="146"/>
      <c r="R67" s="146"/>
      <c r="S67" s="146"/>
      <c r="T67" s="146"/>
      <c r="U67" s="146"/>
      <c r="V67" s="146"/>
      <c r="W67" s="304"/>
      <c r="X67" s="148"/>
    </row>
    <row r="68" spans="1:256" ht="16.5" customHeight="1" thickBot="1">
      <c r="A68" s="2"/>
      <c r="B68" s="631"/>
      <c r="C68" s="40"/>
      <c r="D68" s="40"/>
      <c r="E68" s="575"/>
      <c r="F68" s="554">
        <v>3</v>
      </c>
      <c r="G68" s="528" t="s">
        <v>119</v>
      </c>
      <c r="H68" s="532"/>
      <c r="I68" s="532"/>
      <c r="J68" s="532"/>
      <c r="K68" s="532"/>
      <c r="L68" s="532"/>
      <c r="M68" s="531"/>
      <c r="N68" s="2"/>
      <c r="O68" s="146"/>
      <c r="P68" s="146"/>
      <c r="Q68" s="146"/>
      <c r="R68" s="146"/>
      <c r="S68" s="146"/>
      <c r="T68" s="146"/>
      <c r="U68" s="146"/>
      <c r="V68" s="146"/>
      <c r="W68" s="304"/>
      <c r="X68" s="148"/>
    </row>
    <row r="69" spans="1:256" ht="16.5" customHeight="1">
      <c r="A69" s="2"/>
      <c r="B69" s="381"/>
      <c r="C69" s="612"/>
      <c r="D69" s="612"/>
      <c r="E69" s="600" t="s">
        <v>291</v>
      </c>
      <c r="F69" s="1045">
        <f>COUNTIF(E66:E68,"○")</f>
        <v>0</v>
      </c>
      <c r="G69" s="1047"/>
      <c r="H69" s="1047"/>
      <c r="I69" s="374"/>
      <c r="J69" s="375"/>
      <c r="K69" s="374"/>
      <c r="L69" s="375"/>
      <c r="M69" s="376"/>
      <c r="N69" s="2"/>
      <c r="O69" s="146"/>
      <c r="P69" s="146"/>
      <c r="Q69" s="146"/>
      <c r="R69" s="146"/>
      <c r="S69" s="146"/>
      <c r="T69" s="146"/>
      <c r="U69" s="146"/>
      <c r="V69" s="146"/>
      <c r="W69" s="304"/>
      <c r="X69" s="148"/>
    </row>
    <row r="70" spans="1:256" s="148" customFormat="1" ht="8.25" customHeight="1">
      <c r="A70" s="55"/>
      <c r="B70" s="168"/>
      <c r="C70" s="611"/>
      <c r="D70" s="313"/>
      <c r="E70" s="313"/>
      <c r="F70" s="2"/>
      <c r="G70" s="2"/>
      <c r="H70" s="2"/>
      <c r="I70" s="2"/>
      <c r="J70" s="2"/>
      <c r="K70" s="2"/>
      <c r="L70" s="2"/>
      <c r="M70" s="2"/>
      <c r="N70" s="154"/>
      <c r="P70" s="588" t="s">
        <v>75</v>
      </c>
      <c r="Q70" s="328" t="s">
        <v>99</v>
      </c>
      <c r="R70" s="5"/>
      <c r="S70" s="5"/>
      <c r="T70" s="136"/>
    </row>
    <row r="71" spans="1:256" s="148" customFormat="1" ht="21" customHeight="1">
      <c r="A71" s="55"/>
      <c r="B71" s="168"/>
      <c r="C71" s="611"/>
      <c r="E71" s="786" t="s">
        <v>3</v>
      </c>
      <c r="F71" s="787"/>
      <c r="G71" s="1242"/>
      <c r="H71" s="1242"/>
      <c r="I71" s="1241"/>
      <c r="J71" s="1243"/>
      <c r="K71" s="1243"/>
      <c r="L71" s="1243"/>
      <c r="M71" s="1244"/>
      <c r="N71" s="154"/>
      <c r="P71" s="619"/>
      <c r="Q71" s="328"/>
      <c r="R71" s="5"/>
      <c r="S71" s="5"/>
      <c r="T71" s="136"/>
      <c r="U71" s="619"/>
      <c r="V71" s="136"/>
      <c r="W71" s="136"/>
      <c r="X71" s="136"/>
      <c r="Y71" s="136"/>
    </row>
    <row r="72" spans="1:256" ht="14.25" customHeight="1">
      <c r="A72" s="2"/>
      <c r="B72" s="631"/>
      <c r="C72" s="40"/>
      <c r="D72" s="40"/>
      <c r="E72" s="40"/>
      <c r="F72" s="40"/>
      <c r="G72" s="40"/>
      <c r="H72" s="40"/>
      <c r="I72" s="40"/>
      <c r="J72" s="40"/>
      <c r="K72" s="40"/>
      <c r="L72" s="40"/>
      <c r="M72" s="40"/>
      <c r="N72" s="40"/>
      <c r="O72" s="146"/>
      <c r="P72" s="146"/>
      <c r="Q72" s="146"/>
      <c r="R72" s="146"/>
      <c r="S72" s="146"/>
      <c r="T72" s="146"/>
      <c r="U72" s="146"/>
      <c r="V72" s="146"/>
      <c r="W72" s="304"/>
      <c r="X72" s="148"/>
      <c r="Y72" s="602"/>
      <c r="Z72" s="602"/>
      <c r="AA72" s="602"/>
      <c r="AB72" s="602"/>
      <c r="AC72" s="602"/>
      <c r="AD72" s="602"/>
      <c r="AE72" s="602"/>
      <c r="AF72" s="602"/>
      <c r="AG72" s="602"/>
      <c r="AH72" s="602"/>
      <c r="AI72" s="602"/>
      <c r="AJ72" s="602"/>
      <c r="AK72" s="602"/>
      <c r="AL72" s="602"/>
      <c r="AM72" s="602"/>
      <c r="AN72" s="602"/>
      <c r="AO72" s="602"/>
      <c r="AP72" s="602"/>
      <c r="AQ72" s="602"/>
      <c r="AR72" s="602"/>
      <c r="AS72" s="602"/>
      <c r="AT72" s="602"/>
      <c r="AU72" s="602"/>
      <c r="AV72" s="602"/>
      <c r="AW72" s="602"/>
      <c r="AX72" s="602"/>
      <c r="AY72" s="602"/>
      <c r="AZ72" s="602"/>
      <c r="BA72" s="602"/>
      <c r="BB72" s="602"/>
      <c r="BC72" s="602"/>
      <c r="BD72" s="602"/>
      <c r="BE72" s="602"/>
      <c r="BF72" s="602"/>
      <c r="BG72" s="602"/>
      <c r="BH72" s="602"/>
      <c r="BI72" s="602"/>
      <c r="BJ72" s="602"/>
      <c r="BK72" s="602"/>
      <c r="BL72" s="602"/>
      <c r="BM72" s="602"/>
      <c r="BN72" s="602"/>
      <c r="BO72" s="602"/>
      <c r="BP72" s="602"/>
      <c r="BQ72" s="602"/>
      <c r="BR72" s="602"/>
      <c r="BS72" s="602"/>
      <c r="BT72" s="602"/>
      <c r="BU72" s="602"/>
      <c r="BV72" s="602"/>
      <c r="BW72" s="602"/>
      <c r="BX72" s="602"/>
      <c r="BY72" s="602"/>
      <c r="BZ72" s="602"/>
      <c r="CA72" s="602"/>
      <c r="CB72" s="602"/>
      <c r="CC72" s="602"/>
      <c r="CD72" s="602"/>
      <c r="CE72" s="602"/>
      <c r="CF72" s="602"/>
      <c r="CG72" s="602"/>
      <c r="CH72" s="602"/>
      <c r="CI72" s="602"/>
      <c r="CJ72" s="602"/>
      <c r="CK72" s="602"/>
      <c r="CL72" s="602"/>
      <c r="CM72" s="602"/>
      <c r="CN72" s="602"/>
      <c r="CO72" s="602"/>
      <c r="CP72" s="602"/>
      <c r="CQ72" s="602"/>
      <c r="CR72" s="602"/>
      <c r="CS72" s="602"/>
      <c r="CT72" s="602"/>
      <c r="CU72" s="602"/>
      <c r="CV72" s="602"/>
      <c r="CW72" s="602"/>
      <c r="CX72" s="602"/>
      <c r="CY72" s="602"/>
      <c r="CZ72" s="602"/>
      <c r="DA72" s="602"/>
      <c r="DB72" s="602"/>
      <c r="DC72" s="602"/>
      <c r="DD72" s="602"/>
      <c r="DE72" s="602"/>
      <c r="DF72" s="602"/>
      <c r="DG72" s="602"/>
      <c r="DH72" s="602"/>
      <c r="DI72" s="602"/>
      <c r="DJ72" s="602"/>
      <c r="DK72" s="602"/>
      <c r="DL72" s="602"/>
      <c r="DM72" s="602"/>
      <c r="DN72" s="602"/>
      <c r="DO72" s="602"/>
      <c r="DP72" s="602"/>
      <c r="DQ72" s="602"/>
      <c r="DR72" s="602"/>
      <c r="DS72" s="602"/>
      <c r="DT72" s="602"/>
      <c r="DU72" s="602"/>
      <c r="DV72" s="602"/>
      <c r="DW72" s="602"/>
      <c r="DX72" s="602"/>
      <c r="DY72" s="602"/>
      <c r="DZ72" s="602"/>
      <c r="EA72" s="602"/>
      <c r="EB72" s="602"/>
      <c r="EC72" s="602"/>
      <c r="ED72" s="602"/>
      <c r="EE72" s="602"/>
      <c r="EF72" s="602"/>
      <c r="EG72" s="602"/>
      <c r="EH72" s="602"/>
      <c r="EI72" s="602"/>
      <c r="EJ72" s="602"/>
      <c r="EK72" s="602"/>
      <c r="EL72" s="602"/>
      <c r="EM72" s="602"/>
      <c r="EN72" s="602"/>
      <c r="EO72" s="602"/>
      <c r="EP72" s="602"/>
      <c r="EQ72" s="602"/>
      <c r="ER72" s="602"/>
      <c r="ES72" s="602"/>
      <c r="ET72" s="602"/>
      <c r="EU72" s="602"/>
      <c r="EV72" s="602"/>
      <c r="EW72" s="602"/>
      <c r="EX72" s="602"/>
      <c r="EY72" s="602"/>
      <c r="EZ72" s="602"/>
      <c r="FA72" s="602"/>
      <c r="FB72" s="602"/>
      <c r="FC72" s="602"/>
      <c r="FD72" s="602"/>
      <c r="FE72" s="602"/>
      <c r="FF72" s="602"/>
      <c r="FG72" s="602"/>
      <c r="FH72" s="602"/>
      <c r="FI72" s="602"/>
      <c r="FJ72" s="602"/>
      <c r="FK72" s="602"/>
      <c r="FL72" s="602"/>
      <c r="FM72" s="602"/>
      <c r="FN72" s="602"/>
      <c r="FO72" s="602"/>
      <c r="FP72" s="602"/>
      <c r="FQ72" s="602"/>
      <c r="FR72" s="602"/>
      <c r="FS72" s="602"/>
      <c r="FT72" s="602"/>
      <c r="FU72" s="602"/>
      <c r="FV72" s="602"/>
      <c r="FW72" s="602"/>
      <c r="FX72" s="602"/>
      <c r="FY72" s="602"/>
      <c r="FZ72" s="602"/>
      <c r="GA72" s="602"/>
      <c r="GB72" s="602"/>
      <c r="GC72" s="602"/>
      <c r="GD72" s="602"/>
      <c r="GE72" s="602"/>
      <c r="GF72" s="602"/>
      <c r="GG72" s="602"/>
      <c r="GH72" s="602"/>
      <c r="GI72" s="602"/>
      <c r="GJ72" s="602"/>
      <c r="GK72" s="602"/>
      <c r="GL72" s="602"/>
      <c r="GM72" s="602"/>
      <c r="GN72" s="602"/>
      <c r="GO72" s="602"/>
      <c r="GP72" s="602"/>
      <c r="GQ72" s="602"/>
      <c r="GR72" s="602"/>
      <c r="GS72" s="602"/>
      <c r="GT72" s="602"/>
      <c r="GU72" s="602"/>
      <c r="GV72" s="602"/>
      <c r="GW72" s="602"/>
      <c r="GX72" s="602"/>
      <c r="GY72" s="602"/>
      <c r="GZ72" s="602"/>
      <c r="HA72" s="602"/>
      <c r="HB72" s="602"/>
      <c r="HC72" s="602"/>
      <c r="HD72" s="602"/>
      <c r="HE72" s="602"/>
      <c r="HF72" s="602"/>
      <c r="HG72" s="602"/>
      <c r="HH72" s="602"/>
      <c r="HI72" s="602"/>
      <c r="HJ72" s="602"/>
      <c r="HK72" s="602"/>
      <c r="HL72" s="602"/>
      <c r="HM72" s="602"/>
      <c r="HN72" s="602"/>
      <c r="HO72" s="602"/>
      <c r="HP72" s="602"/>
      <c r="HQ72" s="602"/>
      <c r="HR72" s="602"/>
      <c r="HS72" s="602"/>
      <c r="HT72" s="602"/>
      <c r="HU72" s="602"/>
      <c r="HV72" s="602"/>
      <c r="HW72" s="602"/>
      <c r="HX72" s="602"/>
      <c r="HY72" s="602"/>
      <c r="HZ72" s="602"/>
      <c r="IA72" s="602"/>
      <c r="IB72" s="602"/>
      <c r="IC72" s="602"/>
      <c r="ID72" s="602"/>
      <c r="IE72" s="602"/>
      <c r="IF72" s="602"/>
      <c r="IG72" s="602"/>
      <c r="IH72" s="602"/>
      <c r="II72" s="602"/>
      <c r="IJ72" s="602"/>
      <c r="IK72" s="602"/>
      <c r="IL72" s="602"/>
      <c r="IM72" s="602"/>
      <c r="IN72" s="602"/>
      <c r="IO72" s="602"/>
      <c r="IP72" s="602"/>
      <c r="IQ72" s="602"/>
      <c r="IR72" s="602"/>
      <c r="IS72" s="602"/>
      <c r="IT72" s="602"/>
      <c r="IU72" s="602"/>
      <c r="IV72" s="602"/>
    </row>
    <row r="73" spans="1:256" s="331" customFormat="1" ht="14.25" customHeight="1">
      <c r="A73" s="24"/>
      <c r="B73" s="1090">
        <v>1.3</v>
      </c>
      <c r="C73" s="151" t="s">
        <v>385</v>
      </c>
      <c r="D73" s="151"/>
      <c r="E73" s="154"/>
      <c r="F73" s="314"/>
      <c r="G73" s="154"/>
      <c r="H73" s="154"/>
      <c r="I73" s="40"/>
      <c r="J73" s="40"/>
      <c r="K73" s="40"/>
      <c r="L73" s="40"/>
      <c r="M73" s="40"/>
      <c r="N73" s="24"/>
      <c r="O73" s="136"/>
      <c r="V73" s="136"/>
      <c r="W73" s="136"/>
      <c r="X73" s="136"/>
      <c r="Y73" s="136"/>
    </row>
    <row r="74" spans="1:256" s="331" customFormat="1" ht="14.25" customHeight="1" thickBot="1">
      <c r="A74" s="24"/>
      <c r="B74" s="567"/>
      <c r="C74" s="151"/>
      <c r="D74" s="151"/>
      <c r="E74" s="154"/>
      <c r="F74" s="314"/>
      <c r="G74" s="154"/>
      <c r="H74" s="154"/>
      <c r="I74" s="40"/>
      <c r="J74" s="40"/>
      <c r="K74" s="40"/>
      <c r="L74" s="40"/>
      <c r="M74" s="40"/>
      <c r="N74" s="24"/>
      <c r="O74" s="136"/>
      <c r="V74" s="136"/>
      <c r="W74" s="136"/>
      <c r="X74" s="136"/>
      <c r="Y74" s="136"/>
    </row>
    <row r="75" spans="1:256" ht="16.5" customHeight="1" thickBot="1">
      <c r="A75" s="2"/>
      <c r="B75" s="631"/>
      <c r="C75" s="40"/>
      <c r="D75" s="1079">
        <f>IF(D76+L93&lt;=5,D76+L93,5)</f>
        <v>3</v>
      </c>
      <c r="E75" s="151"/>
      <c r="F75" s="154"/>
      <c r="G75" s="6"/>
      <c r="H75" s="6"/>
      <c r="I75" s="40"/>
      <c r="J75" s="40"/>
      <c r="K75" s="40"/>
      <c r="L75" s="180" t="s">
        <v>2</v>
      </c>
      <c r="M75" s="177">
        <f>重み!M69</f>
        <v>0.2</v>
      </c>
      <c r="N75" s="2"/>
      <c r="O75" s="148">
        <f>C75</f>
        <v>0</v>
      </c>
      <c r="P75" s="148">
        <f>D75</f>
        <v>3</v>
      </c>
      <c r="Q75" s="148">
        <f>E75</f>
        <v>0</v>
      </c>
      <c r="R75" s="148">
        <f>F75</f>
        <v>0</v>
      </c>
      <c r="S75" s="148" t="str">
        <f>L75</f>
        <v>重み係数＝</v>
      </c>
      <c r="T75" s="148">
        <f>M75</f>
        <v>0.2</v>
      </c>
      <c r="U75" s="148">
        <f>I75</f>
        <v>0</v>
      </c>
      <c r="V75" s="148">
        <f>J75</f>
        <v>0</v>
      </c>
      <c r="W75" s="148">
        <f>K75</f>
        <v>0</v>
      </c>
      <c r="X75" s="148" t="e">
        <f>#REF!</f>
        <v>#REF!</v>
      </c>
      <c r="Y75" s="136"/>
    </row>
    <row r="76" spans="1:256" ht="16.5" customHeight="1" thickBot="1">
      <c r="A76" s="2"/>
      <c r="B76" s="631"/>
      <c r="C76" s="40"/>
      <c r="D76" s="1077">
        <f>IF(M90&lt;0.4,1,IF(M90&lt;0.6,3,IF(M90&lt;0.8,4,5)))</f>
        <v>3</v>
      </c>
      <c r="E76" s="2349" t="s">
        <v>467</v>
      </c>
      <c r="F76" s="2350"/>
      <c r="G76" s="2350"/>
      <c r="H76" s="2350"/>
      <c r="I76" s="2350"/>
      <c r="J76" s="2350"/>
      <c r="K76" s="2350"/>
      <c r="L76" s="2350"/>
      <c r="M76" s="2351"/>
      <c r="N76" s="2"/>
      <c r="O76" s="146"/>
      <c r="P76" s="148"/>
      <c r="Q76" s="146"/>
      <c r="R76" s="148"/>
      <c r="S76" s="148"/>
      <c r="T76" s="148"/>
      <c r="U76" s="148"/>
      <c r="V76" s="148"/>
      <c r="W76" s="148"/>
      <c r="X76" s="148"/>
    </row>
    <row r="77" spans="1:256" ht="16.5" customHeight="1">
      <c r="A77" s="2"/>
      <c r="B77" s="631"/>
      <c r="C77" s="40"/>
      <c r="D77" s="36" t="str">
        <f>IF(D76=$Q$18,$R$13,IF(ROUNDDOWN(D76,0)=$Q$13,$S$13,$R$13))</f>
        <v>　レベル　1</v>
      </c>
      <c r="E77" s="526" t="s">
        <v>380</v>
      </c>
      <c r="F77" s="584"/>
      <c r="G77" s="584"/>
      <c r="H77" s="584"/>
      <c r="I77" s="584"/>
      <c r="J77" s="584"/>
      <c r="K77" s="584"/>
      <c r="L77" s="584"/>
      <c r="M77" s="585"/>
      <c r="N77" s="2"/>
      <c r="O77" s="146"/>
      <c r="P77" s="588">
        <f>$Q$13</f>
        <v>1</v>
      </c>
      <c r="Q77" s="146"/>
      <c r="R77" s="304"/>
      <c r="S77" s="148"/>
      <c r="T77" s="148"/>
      <c r="U77" s="588">
        <f>$Q$13</f>
        <v>1</v>
      </c>
      <c r="V77" s="304"/>
      <c r="W77" s="304"/>
      <c r="X77" s="148"/>
    </row>
    <row r="78" spans="1:256" ht="16.5" customHeight="1">
      <c r="A78" s="2"/>
      <c r="B78" s="631"/>
      <c r="C78" s="40"/>
      <c r="D78" s="39" t="str">
        <f>IF(D76=$Q$18,$R$14,IF(ROUNDDOWN(D76,0)=$Q$14,$S$14,$R$14))</f>
        <v>　レベル　2</v>
      </c>
      <c r="E78" s="527" t="s">
        <v>739</v>
      </c>
      <c r="F78" s="586"/>
      <c r="G78" s="586"/>
      <c r="H78" s="586"/>
      <c r="I78" s="586"/>
      <c r="J78" s="586"/>
      <c r="K78" s="586"/>
      <c r="L78" s="586"/>
      <c r="M78" s="587"/>
      <c r="N78" s="2"/>
      <c r="O78" s="146"/>
      <c r="P78" s="588" t="s">
        <v>62</v>
      </c>
      <c r="Q78" s="146"/>
      <c r="R78" s="304"/>
      <c r="S78" s="148"/>
      <c r="T78" s="148"/>
      <c r="U78" s="588">
        <f>$Q$14</f>
        <v>2</v>
      </c>
      <c r="V78" s="304"/>
      <c r="W78" s="304"/>
      <c r="X78" s="148"/>
    </row>
    <row r="79" spans="1:256" ht="16.5" customHeight="1">
      <c r="A79" s="2"/>
      <c r="B79" s="631"/>
      <c r="C79" s="40"/>
      <c r="D79" s="39" t="str">
        <f>IF(D76=$Q$18,$R$15,IF(ROUNDDOWN(D76,0)=$Q$15,$S$15,$R$15))</f>
        <v>■レベル　3</v>
      </c>
      <c r="E79" s="527" t="s">
        <v>24</v>
      </c>
      <c r="F79" s="586"/>
      <c r="G79" s="586"/>
      <c r="H79" s="586"/>
      <c r="I79" s="586"/>
      <c r="J79" s="586"/>
      <c r="K79" s="586"/>
      <c r="L79" s="586"/>
      <c r="M79" s="587"/>
      <c r="N79" s="2"/>
      <c r="O79" s="146"/>
      <c r="P79" s="588">
        <f>$Q$15</f>
        <v>3</v>
      </c>
      <c r="Q79" s="146"/>
      <c r="R79" s="304"/>
      <c r="S79" s="148"/>
      <c r="T79" s="148"/>
      <c r="U79" s="588">
        <f>$Q$15</f>
        <v>3</v>
      </c>
      <c r="V79" s="304"/>
      <c r="W79" s="304"/>
      <c r="X79" s="148"/>
    </row>
    <row r="80" spans="1:256" ht="16.5" customHeight="1">
      <c r="A80" s="2"/>
      <c r="B80" s="631"/>
      <c r="C80" s="40"/>
      <c r="D80" s="39" t="str">
        <f>IF(D76=$Q$18,$R$16,IF(ROUNDDOWN(D76,0)=$Q$16,$S$16,$R$16))</f>
        <v>　レベル　4</v>
      </c>
      <c r="E80" s="539" t="s">
        <v>25</v>
      </c>
      <c r="F80" s="589"/>
      <c r="G80" s="589"/>
      <c r="H80" s="589"/>
      <c r="I80" s="589"/>
      <c r="J80" s="589"/>
      <c r="K80" s="589"/>
      <c r="L80" s="589"/>
      <c r="M80" s="590"/>
      <c r="N80" s="2"/>
      <c r="O80" s="146"/>
      <c r="P80" s="588">
        <f>$Q$16</f>
        <v>4</v>
      </c>
      <c r="Q80" s="146"/>
      <c r="R80" s="304"/>
      <c r="S80" s="148"/>
      <c r="T80" s="148"/>
      <c r="U80" s="588">
        <f>$Q$16</f>
        <v>4</v>
      </c>
      <c r="V80" s="304"/>
      <c r="W80" s="304"/>
      <c r="X80" s="148"/>
    </row>
    <row r="81" spans="1:256" ht="16.5" customHeight="1">
      <c r="A81" s="2"/>
      <c r="B81" s="631"/>
      <c r="C81" s="40"/>
      <c r="D81" s="37" t="str">
        <f>IF(D76=$Q$18,$R$17,IF(ROUNDDOWN(D76,0)=$Q$17,$S$17,$R$17))</f>
        <v>　レベル　5</v>
      </c>
      <c r="E81" s="565" t="s">
        <v>26</v>
      </c>
      <c r="F81" s="591"/>
      <c r="G81" s="591"/>
      <c r="H81" s="591"/>
      <c r="I81" s="591"/>
      <c r="J81" s="591"/>
      <c r="K81" s="591"/>
      <c r="L81" s="591"/>
      <c r="M81" s="592"/>
      <c r="N81" s="2"/>
      <c r="O81" s="146"/>
      <c r="P81" s="588">
        <f>$Q$17</f>
        <v>5</v>
      </c>
      <c r="Q81" s="146"/>
      <c r="R81" s="304"/>
      <c r="S81" s="148"/>
      <c r="T81" s="148"/>
      <c r="U81" s="588">
        <f>$Q$17</f>
        <v>5</v>
      </c>
      <c r="V81" s="304"/>
      <c r="W81" s="304"/>
      <c r="X81" s="148"/>
    </row>
    <row r="82" spans="1:256" ht="16.5" customHeight="1">
      <c r="A82" s="2"/>
      <c r="B82" s="631"/>
      <c r="C82" s="40"/>
      <c r="D82" s="40"/>
      <c r="E82" s="156" t="s">
        <v>41</v>
      </c>
      <c r="F82" s="32"/>
      <c r="G82" s="32"/>
      <c r="H82" s="32"/>
      <c r="I82" s="32"/>
      <c r="J82" s="32"/>
      <c r="K82" s="32"/>
      <c r="L82" s="154"/>
      <c r="M82" s="154"/>
      <c r="N82" s="40"/>
      <c r="O82" s="146"/>
      <c r="P82" s="588" t="s">
        <v>914</v>
      </c>
      <c r="Q82" s="146"/>
      <c r="R82" s="304"/>
      <c r="S82" s="148"/>
      <c r="T82" s="148"/>
      <c r="U82" s="588" t="str">
        <f>$Q$18</f>
        <v>対象外</v>
      </c>
      <c r="V82" s="304"/>
      <c r="W82" s="304"/>
      <c r="X82" s="148"/>
      <c r="Y82" s="602"/>
      <c r="Z82" s="602"/>
      <c r="AA82" s="602"/>
      <c r="AB82" s="602"/>
      <c r="AC82" s="602"/>
      <c r="AD82" s="602"/>
      <c r="AE82" s="602"/>
      <c r="AF82" s="602"/>
      <c r="AG82" s="602"/>
      <c r="AH82" s="602"/>
      <c r="AI82" s="602"/>
      <c r="AJ82" s="602"/>
      <c r="AK82" s="602"/>
      <c r="AL82" s="602"/>
      <c r="AM82" s="602"/>
      <c r="AN82" s="602"/>
      <c r="AO82" s="602"/>
      <c r="AP82" s="602"/>
      <c r="AQ82" s="602"/>
      <c r="AR82" s="602"/>
      <c r="AS82" s="602"/>
      <c r="AT82" s="602"/>
      <c r="AU82" s="602"/>
      <c r="AV82" s="602"/>
      <c r="AW82" s="602"/>
      <c r="AX82" s="602"/>
      <c r="AY82" s="602"/>
      <c r="AZ82" s="602"/>
      <c r="BA82" s="602"/>
      <c r="BB82" s="602"/>
      <c r="BC82" s="602"/>
      <c r="BD82" s="602"/>
      <c r="BE82" s="602"/>
      <c r="BF82" s="602"/>
      <c r="BG82" s="602"/>
      <c r="BH82" s="602"/>
      <c r="BI82" s="602"/>
      <c r="BJ82" s="602"/>
      <c r="BK82" s="602"/>
      <c r="BL82" s="602"/>
      <c r="BM82" s="602"/>
      <c r="BN82" s="602"/>
      <c r="BO82" s="602"/>
      <c r="BP82" s="602"/>
      <c r="BQ82" s="602"/>
      <c r="BR82" s="602"/>
      <c r="BS82" s="602"/>
      <c r="BT82" s="602"/>
      <c r="BU82" s="602"/>
      <c r="BV82" s="602"/>
      <c r="BW82" s="602"/>
      <c r="BX82" s="602"/>
      <c r="BY82" s="602"/>
      <c r="BZ82" s="602"/>
      <c r="CA82" s="602"/>
      <c r="CB82" s="602"/>
      <c r="CC82" s="602"/>
      <c r="CD82" s="602"/>
      <c r="CE82" s="602"/>
      <c r="CF82" s="602"/>
      <c r="CG82" s="602"/>
      <c r="CH82" s="602"/>
      <c r="CI82" s="602"/>
      <c r="CJ82" s="602"/>
      <c r="CK82" s="602"/>
      <c r="CL82" s="602"/>
      <c r="CM82" s="602"/>
      <c r="CN82" s="602"/>
      <c r="CO82" s="602"/>
      <c r="CP82" s="602"/>
      <c r="CQ82" s="602"/>
      <c r="CR82" s="602"/>
      <c r="CS82" s="602"/>
      <c r="CT82" s="602"/>
      <c r="CU82" s="602"/>
      <c r="CV82" s="602"/>
      <c r="CW82" s="602"/>
      <c r="CX82" s="602"/>
      <c r="CY82" s="602"/>
      <c r="CZ82" s="602"/>
      <c r="DA82" s="602"/>
      <c r="DB82" s="602"/>
      <c r="DC82" s="602"/>
      <c r="DD82" s="602"/>
      <c r="DE82" s="602"/>
      <c r="DF82" s="602"/>
      <c r="DG82" s="602"/>
      <c r="DH82" s="602"/>
      <c r="DI82" s="602"/>
      <c r="DJ82" s="602"/>
      <c r="DK82" s="602"/>
      <c r="DL82" s="602"/>
      <c r="DM82" s="602"/>
      <c r="DN82" s="602"/>
      <c r="DO82" s="602"/>
      <c r="DP82" s="602"/>
      <c r="DQ82" s="602"/>
      <c r="DR82" s="602"/>
      <c r="DS82" s="602"/>
      <c r="DT82" s="602"/>
      <c r="DU82" s="602"/>
      <c r="DV82" s="602"/>
      <c r="DW82" s="602"/>
      <c r="DX82" s="602"/>
      <c r="DY82" s="602"/>
      <c r="DZ82" s="602"/>
      <c r="EA82" s="602"/>
      <c r="EB82" s="602"/>
      <c r="EC82" s="602"/>
      <c r="ED82" s="602"/>
      <c r="EE82" s="602"/>
      <c r="EF82" s="602"/>
      <c r="EG82" s="602"/>
      <c r="EH82" s="602"/>
      <c r="EI82" s="602"/>
      <c r="EJ82" s="602"/>
      <c r="EK82" s="602"/>
      <c r="EL82" s="602"/>
      <c r="EM82" s="602"/>
      <c r="EN82" s="602"/>
      <c r="EO82" s="602"/>
      <c r="EP82" s="602"/>
      <c r="EQ82" s="602"/>
      <c r="ER82" s="602"/>
      <c r="ES82" s="602"/>
      <c r="ET82" s="602"/>
      <c r="EU82" s="602"/>
      <c r="EV82" s="602"/>
      <c r="EW82" s="602"/>
      <c r="EX82" s="602"/>
      <c r="EY82" s="602"/>
      <c r="EZ82" s="602"/>
      <c r="FA82" s="602"/>
      <c r="FB82" s="602"/>
      <c r="FC82" s="602"/>
      <c r="FD82" s="602"/>
      <c r="FE82" s="602"/>
      <c r="FF82" s="602"/>
      <c r="FG82" s="602"/>
      <c r="FH82" s="602"/>
      <c r="FI82" s="602"/>
      <c r="FJ82" s="602"/>
      <c r="FK82" s="602"/>
      <c r="FL82" s="602"/>
      <c r="FM82" s="602"/>
      <c r="FN82" s="602"/>
      <c r="FO82" s="602"/>
      <c r="FP82" s="602"/>
      <c r="FQ82" s="602"/>
      <c r="FR82" s="602"/>
      <c r="FS82" s="602"/>
      <c r="FT82" s="602"/>
      <c r="FU82" s="602"/>
      <c r="FV82" s="602"/>
      <c r="FW82" s="602"/>
      <c r="FX82" s="602"/>
      <c r="FY82" s="602"/>
      <c r="FZ82" s="602"/>
      <c r="GA82" s="602"/>
      <c r="GB82" s="602"/>
      <c r="GC82" s="602"/>
      <c r="GD82" s="602"/>
      <c r="GE82" s="602"/>
      <c r="GF82" s="602"/>
      <c r="GG82" s="602"/>
      <c r="GH82" s="602"/>
      <c r="GI82" s="602"/>
      <c r="GJ82" s="602"/>
      <c r="GK82" s="602"/>
      <c r="GL82" s="602"/>
      <c r="GM82" s="602"/>
      <c r="GN82" s="602"/>
      <c r="GO82" s="602"/>
      <c r="GP82" s="602"/>
      <c r="GQ82" s="602"/>
      <c r="GR82" s="602"/>
      <c r="GS82" s="602"/>
      <c r="GT82" s="602"/>
      <c r="GU82" s="602"/>
      <c r="GV82" s="602"/>
      <c r="GW82" s="602"/>
      <c r="GX82" s="602"/>
      <c r="GY82" s="602"/>
      <c r="GZ82" s="602"/>
      <c r="HA82" s="602"/>
      <c r="HB82" s="602"/>
      <c r="HC82" s="602"/>
      <c r="HD82" s="602"/>
      <c r="HE82" s="602"/>
      <c r="HF82" s="602"/>
      <c r="HG82" s="602"/>
      <c r="HH82" s="602"/>
      <c r="HI82" s="602"/>
      <c r="HJ82" s="602"/>
      <c r="HK82" s="602"/>
      <c r="HL82" s="602"/>
      <c r="HM82" s="602"/>
      <c r="HN82" s="602"/>
      <c r="HO82" s="602"/>
      <c r="HP82" s="602"/>
      <c r="HQ82" s="602"/>
      <c r="HR82" s="602"/>
      <c r="HS82" s="602"/>
      <c r="HT82" s="602"/>
      <c r="HU82" s="602"/>
      <c r="HV82" s="602"/>
      <c r="HW82" s="602"/>
      <c r="HX82" s="602"/>
      <c r="HY82" s="602"/>
      <c r="HZ82" s="602"/>
      <c r="IA82" s="602"/>
      <c r="IB82" s="602"/>
      <c r="IC82" s="602"/>
      <c r="ID82" s="602"/>
      <c r="IE82" s="602"/>
      <c r="IF82" s="602"/>
      <c r="IG82" s="602"/>
      <c r="IH82" s="602"/>
      <c r="II82" s="602"/>
      <c r="IJ82" s="602"/>
      <c r="IK82" s="602"/>
      <c r="IL82" s="602"/>
      <c r="IM82" s="602"/>
      <c r="IN82" s="602"/>
      <c r="IO82" s="602"/>
      <c r="IP82" s="602"/>
      <c r="IQ82" s="602"/>
      <c r="IR82" s="602"/>
      <c r="IS82" s="602"/>
      <c r="IT82" s="602"/>
      <c r="IU82" s="602"/>
      <c r="IV82" s="602"/>
    </row>
    <row r="83" spans="1:256" ht="16.5" customHeight="1">
      <c r="A83" s="2"/>
      <c r="B83" s="631"/>
      <c r="C83" s="40"/>
      <c r="D83" s="40"/>
      <c r="E83" s="144" t="s">
        <v>394</v>
      </c>
      <c r="F83" s="578" t="s">
        <v>85</v>
      </c>
      <c r="G83" s="549" t="s">
        <v>91</v>
      </c>
      <c r="H83" s="550"/>
      <c r="I83" s="550"/>
      <c r="J83" s="551"/>
      <c r="K83" s="511"/>
      <c r="L83" s="374" t="s">
        <v>948</v>
      </c>
      <c r="M83" s="512"/>
      <c r="N83" s="40"/>
      <c r="O83" s="146"/>
      <c r="P83" s="619"/>
      <c r="Q83" s="146"/>
      <c r="R83" s="304"/>
      <c r="S83" s="148"/>
      <c r="T83" s="148"/>
      <c r="U83" s="619"/>
      <c r="V83" s="304"/>
      <c r="W83" s="304"/>
      <c r="X83" s="148"/>
      <c r="Y83" s="602"/>
      <c r="Z83" s="602"/>
      <c r="AA83" s="602"/>
      <c r="AB83" s="602"/>
      <c r="AC83" s="602"/>
      <c r="AD83" s="602"/>
      <c r="AE83" s="602"/>
      <c r="AF83" s="602"/>
      <c r="AG83" s="602"/>
      <c r="AH83" s="602"/>
      <c r="AI83" s="602"/>
      <c r="AJ83" s="602"/>
      <c r="AK83" s="602"/>
      <c r="AL83" s="602"/>
      <c r="AM83" s="602"/>
      <c r="AN83" s="602"/>
      <c r="AO83" s="602"/>
      <c r="AP83" s="602"/>
      <c r="AQ83" s="602"/>
      <c r="AR83" s="602"/>
      <c r="AS83" s="602"/>
      <c r="AT83" s="602"/>
      <c r="AU83" s="602"/>
      <c r="AV83" s="602"/>
      <c r="AW83" s="602"/>
      <c r="AX83" s="602"/>
      <c r="AY83" s="602"/>
      <c r="AZ83" s="602"/>
      <c r="BA83" s="602"/>
      <c r="BB83" s="602"/>
      <c r="BC83" s="602"/>
      <c r="BD83" s="602"/>
      <c r="BE83" s="602"/>
      <c r="BF83" s="602"/>
      <c r="BG83" s="602"/>
      <c r="BH83" s="602"/>
      <c r="BI83" s="602"/>
      <c r="BJ83" s="602"/>
      <c r="BK83" s="602"/>
      <c r="BL83" s="602"/>
      <c r="BM83" s="602"/>
      <c r="BN83" s="602"/>
      <c r="BO83" s="602"/>
      <c r="BP83" s="602"/>
      <c r="BQ83" s="602"/>
      <c r="BR83" s="602"/>
      <c r="BS83" s="602"/>
      <c r="BT83" s="602"/>
      <c r="BU83" s="602"/>
      <c r="BV83" s="602"/>
      <c r="BW83" s="602"/>
      <c r="BX83" s="602"/>
      <c r="BY83" s="602"/>
      <c r="BZ83" s="602"/>
      <c r="CA83" s="602"/>
      <c r="CB83" s="602"/>
      <c r="CC83" s="602"/>
      <c r="CD83" s="602"/>
      <c r="CE83" s="602"/>
      <c r="CF83" s="602"/>
      <c r="CG83" s="602"/>
      <c r="CH83" s="602"/>
      <c r="CI83" s="602"/>
      <c r="CJ83" s="602"/>
      <c r="CK83" s="602"/>
      <c r="CL83" s="602"/>
      <c r="CM83" s="602"/>
      <c r="CN83" s="602"/>
      <c r="CO83" s="602"/>
      <c r="CP83" s="602"/>
      <c r="CQ83" s="602"/>
      <c r="CR83" s="602"/>
      <c r="CS83" s="602"/>
      <c r="CT83" s="602"/>
      <c r="CU83" s="602"/>
      <c r="CV83" s="602"/>
      <c r="CW83" s="602"/>
      <c r="CX83" s="602"/>
      <c r="CY83" s="602"/>
      <c r="CZ83" s="602"/>
      <c r="DA83" s="602"/>
      <c r="DB83" s="602"/>
      <c r="DC83" s="602"/>
      <c r="DD83" s="602"/>
      <c r="DE83" s="602"/>
      <c r="DF83" s="602"/>
      <c r="DG83" s="602"/>
      <c r="DH83" s="602"/>
      <c r="DI83" s="602"/>
      <c r="DJ83" s="602"/>
      <c r="DK83" s="602"/>
      <c r="DL83" s="602"/>
      <c r="DM83" s="602"/>
      <c r="DN83" s="602"/>
      <c r="DO83" s="602"/>
      <c r="DP83" s="602"/>
      <c r="DQ83" s="602"/>
      <c r="DR83" s="602"/>
      <c r="DS83" s="602"/>
      <c r="DT83" s="602"/>
      <c r="DU83" s="602"/>
      <c r="DV83" s="602"/>
      <c r="DW83" s="602"/>
      <c r="DX83" s="602"/>
      <c r="DY83" s="602"/>
      <c r="DZ83" s="602"/>
      <c r="EA83" s="602"/>
      <c r="EB83" s="602"/>
      <c r="EC83" s="602"/>
      <c r="ED83" s="602"/>
      <c r="EE83" s="602"/>
      <c r="EF83" s="602"/>
      <c r="EG83" s="602"/>
      <c r="EH83" s="602"/>
      <c r="EI83" s="602"/>
      <c r="EJ83" s="602"/>
      <c r="EK83" s="602"/>
      <c r="EL83" s="602"/>
      <c r="EM83" s="602"/>
      <c r="EN83" s="602"/>
      <c r="EO83" s="602"/>
      <c r="EP83" s="602"/>
      <c r="EQ83" s="602"/>
      <c r="ER83" s="602"/>
      <c r="ES83" s="602"/>
      <c r="ET83" s="602"/>
      <c r="EU83" s="602"/>
      <c r="EV83" s="602"/>
      <c r="EW83" s="602"/>
      <c r="EX83" s="602"/>
      <c r="EY83" s="602"/>
      <c r="EZ83" s="602"/>
      <c r="FA83" s="602"/>
      <c r="FB83" s="602"/>
      <c r="FC83" s="602"/>
      <c r="FD83" s="602"/>
      <c r="FE83" s="602"/>
      <c r="FF83" s="602"/>
      <c r="FG83" s="602"/>
      <c r="FH83" s="602"/>
      <c r="FI83" s="602"/>
      <c r="FJ83" s="602"/>
      <c r="FK83" s="602"/>
      <c r="FL83" s="602"/>
      <c r="FM83" s="602"/>
      <c r="FN83" s="602"/>
      <c r="FO83" s="602"/>
      <c r="FP83" s="602"/>
      <c r="FQ83" s="602"/>
      <c r="FR83" s="602"/>
      <c r="FS83" s="602"/>
      <c r="FT83" s="602"/>
      <c r="FU83" s="602"/>
      <c r="FV83" s="602"/>
      <c r="FW83" s="602"/>
      <c r="FX83" s="602"/>
      <c r="FY83" s="602"/>
      <c r="FZ83" s="602"/>
      <c r="GA83" s="602"/>
      <c r="GB83" s="602"/>
      <c r="GC83" s="602"/>
      <c r="GD83" s="602"/>
      <c r="GE83" s="602"/>
      <c r="GF83" s="602"/>
      <c r="GG83" s="602"/>
      <c r="GH83" s="602"/>
      <c r="GI83" s="602"/>
      <c r="GJ83" s="602"/>
      <c r="GK83" s="602"/>
      <c r="GL83" s="602"/>
      <c r="GM83" s="602"/>
      <c r="GN83" s="602"/>
      <c r="GO83" s="602"/>
      <c r="GP83" s="602"/>
      <c r="GQ83" s="602"/>
      <c r="GR83" s="602"/>
      <c r="GS83" s="602"/>
      <c r="GT83" s="602"/>
      <c r="GU83" s="602"/>
      <c r="GV83" s="602"/>
      <c r="GW83" s="602"/>
      <c r="GX83" s="602"/>
      <c r="GY83" s="602"/>
      <c r="GZ83" s="602"/>
      <c r="HA83" s="602"/>
      <c r="HB83" s="602"/>
      <c r="HC83" s="602"/>
      <c r="HD83" s="602"/>
      <c r="HE83" s="602"/>
      <c r="HF83" s="602"/>
      <c r="HG83" s="602"/>
      <c r="HH83" s="602"/>
      <c r="HI83" s="602"/>
      <c r="HJ83" s="602"/>
      <c r="HK83" s="602"/>
      <c r="HL83" s="602"/>
      <c r="HM83" s="602"/>
      <c r="HN83" s="602"/>
      <c r="HO83" s="602"/>
      <c r="HP83" s="602"/>
      <c r="HQ83" s="602"/>
      <c r="HR83" s="602"/>
      <c r="HS83" s="602"/>
      <c r="HT83" s="602"/>
      <c r="HU83" s="602"/>
      <c r="HV83" s="602"/>
      <c r="HW83" s="602"/>
      <c r="HX83" s="602"/>
      <c r="HY83" s="602"/>
      <c r="HZ83" s="602"/>
      <c r="IA83" s="602"/>
      <c r="IB83" s="602"/>
      <c r="IC83" s="602"/>
      <c r="ID83" s="602"/>
      <c r="IE83" s="602"/>
      <c r="IF83" s="602"/>
      <c r="IG83" s="602"/>
      <c r="IH83" s="602"/>
      <c r="II83" s="602"/>
      <c r="IJ83" s="602"/>
      <c r="IK83" s="602"/>
      <c r="IL83" s="602"/>
      <c r="IM83" s="602"/>
      <c r="IN83" s="602"/>
      <c r="IO83" s="602"/>
      <c r="IP83" s="602"/>
      <c r="IQ83" s="602"/>
      <c r="IR83" s="602"/>
      <c r="IS83" s="602"/>
      <c r="IT83" s="602"/>
      <c r="IU83" s="602"/>
      <c r="IV83" s="602"/>
    </row>
    <row r="84" spans="1:256" ht="16.5" customHeight="1" thickBot="1">
      <c r="A84" s="2"/>
      <c r="B84" s="631"/>
      <c r="C84" s="40"/>
      <c r="D84" s="40"/>
      <c r="E84" s="640"/>
      <c r="F84" s="633"/>
      <c r="G84" s="634"/>
      <c r="H84" s="635"/>
      <c r="I84" s="635"/>
      <c r="J84" s="636"/>
      <c r="K84" s="600" t="s">
        <v>932</v>
      </c>
      <c r="L84" s="600" t="s">
        <v>933</v>
      </c>
      <c r="M84" s="633" t="s">
        <v>934</v>
      </c>
      <c r="N84" s="40"/>
      <c r="O84" s="146"/>
      <c r="P84" s="619"/>
      <c r="Q84" s="146"/>
      <c r="R84" s="304"/>
      <c r="S84" s="148"/>
      <c r="T84" s="148"/>
      <c r="U84" s="619"/>
      <c r="V84" s="304"/>
      <c r="W84" s="304"/>
      <c r="X84" s="148"/>
      <c r="Y84" s="602"/>
      <c r="Z84" s="602"/>
      <c r="AA84" s="602"/>
      <c r="AB84" s="602"/>
      <c r="AC84" s="602"/>
      <c r="AD84" s="602"/>
      <c r="AE84" s="602"/>
      <c r="AF84" s="602"/>
      <c r="AG84" s="602"/>
      <c r="AH84" s="602"/>
      <c r="AI84" s="602"/>
      <c r="AJ84" s="602"/>
      <c r="AK84" s="602"/>
      <c r="AL84" s="602"/>
      <c r="AM84" s="602"/>
      <c r="AN84" s="602"/>
      <c r="AO84" s="602"/>
      <c r="AP84" s="602"/>
      <c r="AQ84" s="602"/>
      <c r="AR84" s="602"/>
      <c r="AS84" s="602"/>
      <c r="AT84" s="602"/>
      <c r="AU84" s="602"/>
      <c r="AV84" s="602"/>
      <c r="AW84" s="602"/>
      <c r="AX84" s="602"/>
      <c r="AY84" s="602"/>
      <c r="AZ84" s="602"/>
      <c r="BA84" s="602"/>
      <c r="BB84" s="602"/>
      <c r="BC84" s="602"/>
      <c r="BD84" s="602"/>
      <c r="BE84" s="602"/>
      <c r="BF84" s="602"/>
      <c r="BG84" s="602"/>
      <c r="BH84" s="602"/>
      <c r="BI84" s="602"/>
      <c r="BJ84" s="602"/>
      <c r="BK84" s="602"/>
      <c r="BL84" s="602"/>
      <c r="BM84" s="602"/>
      <c r="BN84" s="602"/>
      <c r="BO84" s="602"/>
      <c r="BP84" s="602"/>
      <c r="BQ84" s="602"/>
      <c r="BR84" s="602"/>
      <c r="BS84" s="602"/>
      <c r="BT84" s="602"/>
      <c r="BU84" s="602"/>
      <c r="BV84" s="602"/>
      <c r="BW84" s="602"/>
      <c r="BX84" s="602"/>
      <c r="BY84" s="602"/>
      <c r="BZ84" s="602"/>
      <c r="CA84" s="602"/>
      <c r="CB84" s="602"/>
      <c r="CC84" s="602"/>
      <c r="CD84" s="602"/>
      <c r="CE84" s="602"/>
      <c r="CF84" s="602"/>
      <c r="CG84" s="602"/>
      <c r="CH84" s="602"/>
      <c r="CI84" s="602"/>
      <c r="CJ84" s="602"/>
      <c r="CK84" s="602"/>
      <c r="CL84" s="602"/>
      <c r="CM84" s="602"/>
      <c r="CN84" s="602"/>
      <c r="CO84" s="602"/>
      <c r="CP84" s="602"/>
      <c r="CQ84" s="602"/>
      <c r="CR84" s="602"/>
      <c r="CS84" s="602"/>
      <c r="CT84" s="602"/>
      <c r="CU84" s="602"/>
      <c r="CV84" s="602"/>
      <c r="CW84" s="602"/>
      <c r="CX84" s="602"/>
      <c r="CY84" s="602"/>
      <c r="CZ84" s="602"/>
      <c r="DA84" s="602"/>
      <c r="DB84" s="602"/>
      <c r="DC84" s="602"/>
      <c r="DD84" s="602"/>
      <c r="DE84" s="602"/>
      <c r="DF84" s="602"/>
      <c r="DG84" s="602"/>
      <c r="DH84" s="602"/>
      <c r="DI84" s="602"/>
      <c r="DJ84" s="602"/>
      <c r="DK84" s="602"/>
      <c r="DL84" s="602"/>
      <c r="DM84" s="602"/>
      <c r="DN84" s="602"/>
      <c r="DO84" s="602"/>
      <c r="DP84" s="602"/>
      <c r="DQ84" s="602"/>
      <c r="DR84" s="602"/>
      <c r="DS84" s="602"/>
      <c r="DT84" s="602"/>
      <c r="DU84" s="602"/>
      <c r="DV84" s="602"/>
      <c r="DW84" s="602"/>
      <c r="DX84" s="602"/>
      <c r="DY84" s="602"/>
      <c r="DZ84" s="602"/>
      <c r="EA84" s="602"/>
      <c r="EB84" s="602"/>
      <c r="EC84" s="602"/>
      <c r="ED84" s="602"/>
      <c r="EE84" s="602"/>
      <c r="EF84" s="602"/>
      <c r="EG84" s="602"/>
      <c r="EH84" s="602"/>
      <c r="EI84" s="602"/>
      <c r="EJ84" s="602"/>
      <c r="EK84" s="602"/>
      <c r="EL84" s="602"/>
      <c r="EM84" s="602"/>
      <c r="EN84" s="602"/>
      <c r="EO84" s="602"/>
      <c r="EP84" s="602"/>
      <c r="EQ84" s="602"/>
      <c r="ER84" s="602"/>
      <c r="ES84" s="602"/>
      <c r="ET84" s="602"/>
      <c r="EU84" s="602"/>
      <c r="EV84" s="602"/>
      <c r="EW84" s="602"/>
      <c r="EX84" s="602"/>
      <c r="EY84" s="602"/>
      <c r="EZ84" s="602"/>
      <c r="FA84" s="602"/>
      <c r="FB84" s="602"/>
      <c r="FC84" s="602"/>
      <c r="FD84" s="602"/>
      <c r="FE84" s="602"/>
      <c r="FF84" s="602"/>
      <c r="FG84" s="602"/>
      <c r="FH84" s="602"/>
      <c r="FI84" s="602"/>
      <c r="FJ84" s="602"/>
      <c r="FK84" s="602"/>
      <c r="FL84" s="602"/>
      <c r="FM84" s="602"/>
      <c r="FN84" s="602"/>
      <c r="FO84" s="602"/>
      <c r="FP84" s="602"/>
      <c r="FQ84" s="602"/>
      <c r="FR84" s="602"/>
      <c r="FS84" s="602"/>
      <c r="FT84" s="602"/>
      <c r="FU84" s="602"/>
      <c r="FV84" s="602"/>
      <c r="FW84" s="602"/>
      <c r="FX84" s="602"/>
      <c r="FY84" s="602"/>
      <c r="FZ84" s="602"/>
      <c r="GA84" s="602"/>
      <c r="GB84" s="602"/>
      <c r="GC84" s="602"/>
      <c r="GD84" s="602"/>
      <c r="GE84" s="602"/>
      <c r="GF84" s="602"/>
      <c r="GG84" s="602"/>
      <c r="GH84" s="602"/>
      <c r="GI84" s="602"/>
      <c r="GJ84" s="602"/>
      <c r="GK84" s="602"/>
      <c r="GL84" s="602"/>
      <c r="GM84" s="602"/>
      <c r="GN84" s="602"/>
      <c r="GO84" s="602"/>
      <c r="GP84" s="602"/>
      <c r="GQ84" s="602"/>
      <c r="GR84" s="602"/>
      <c r="GS84" s="602"/>
      <c r="GT84" s="602"/>
      <c r="GU84" s="602"/>
      <c r="GV84" s="602"/>
      <c r="GW84" s="602"/>
      <c r="GX84" s="602"/>
      <c r="GY84" s="602"/>
      <c r="GZ84" s="602"/>
      <c r="HA84" s="602"/>
      <c r="HB84" s="602"/>
      <c r="HC84" s="602"/>
      <c r="HD84" s="602"/>
      <c r="HE84" s="602"/>
      <c r="HF84" s="602"/>
      <c r="HG84" s="602"/>
      <c r="HH84" s="602"/>
      <c r="HI84" s="602"/>
      <c r="HJ84" s="602"/>
      <c r="HK84" s="602"/>
      <c r="HL84" s="602"/>
      <c r="HM84" s="602"/>
      <c r="HN84" s="602"/>
      <c r="HO84" s="602"/>
      <c r="HP84" s="602"/>
      <c r="HQ84" s="602"/>
      <c r="HR84" s="602"/>
      <c r="HS84" s="602"/>
      <c r="HT84" s="602"/>
      <c r="HU84" s="602"/>
      <c r="HV84" s="602"/>
      <c r="HW84" s="602"/>
      <c r="HX84" s="602"/>
      <c r="HY84" s="602"/>
      <c r="HZ84" s="602"/>
      <c r="IA84" s="602"/>
      <c r="IB84" s="602"/>
      <c r="IC84" s="602"/>
      <c r="ID84" s="602"/>
      <c r="IE84" s="602"/>
      <c r="IF84" s="602"/>
      <c r="IG84" s="602"/>
      <c r="IH84" s="602"/>
      <c r="II84" s="602"/>
      <c r="IJ84" s="602"/>
      <c r="IK84" s="602"/>
      <c r="IL84" s="602"/>
      <c r="IM84" s="602"/>
      <c r="IN84" s="602"/>
      <c r="IO84" s="602"/>
      <c r="IP84" s="602"/>
      <c r="IQ84" s="602"/>
      <c r="IR84" s="602"/>
      <c r="IS84" s="602"/>
      <c r="IT84" s="602"/>
      <c r="IU84" s="602"/>
      <c r="IV84" s="602"/>
    </row>
    <row r="85" spans="1:256" ht="24" customHeight="1">
      <c r="A85" s="2"/>
      <c r="B85" s="631"/>
      <c r="C85" s="40"/>
      <c r="D85" s="40"/>
      <c r="E85" s="1095">
        <v>2</v>
      </c>
      <c r="F85" s="516">
        <v>1</v>
      </c>
      <c r="G85" s="2408" t="s">
        <v>935</v>
      </c>
      <c r="H85" s="2450"/>
      <c r="I85" s="2450"/>
      <c r="J85" s="2451"/>
      <c r="K85" s="637">
        <v>2</v>
      </c>
      <c r="L85" s="637">
        <v>1</v>
      </c>
      <c r="M85" s="583">
        <v>0</v>
      </c>
      <c r="N85" s="40"/>
      <c r="O85" s="146"/>
      <c r="P85" s="638">
        <v>2</v>
      </c>
      <c r="Q85" s="318">
        <v>1</v>
      </c>
      <c r="R85" s="639">
        <v>0</v>
      </c>
      <c r="S85" s="416" t="s">
        <v>456</v>
      </c>
      <c r="T85" s="148"/>
      <c r="U85" s="619"/>
      <c r="V85" s="304"/>
      <c r="W85" s="304"/>
      <c r="X85" s="148"/>
      <c r="Y85" s="602"/>
      <c r="Z85" s="602"/>
      <c r="AA85" s="602"/>
      <c r="AB85" s="602"/>
      <c r="AC85" s="602"/>
      <c r="AD85" s="602"/>
      <c r="AE85" s="602"/>
      <c r="AF85" s="602"/>
      <c r="AG85" s="602"/>
      <c r="AH85" s="602"/>
      <c r="AI85" s="602"/>
      <c r="AJ85" s="602"/>
      <c r="AK85" s="602"/>
      <c r="AL85" s="602"/>
      <c r="AM85" s="602"/>
      <c r="AN85" s="602"/>
      <c r="AO85" s="602"/>
      <c r="AP85" s="602"/>
      <c r="AQ85" s="602"/>
      <c r="AR85" s="602"/>
      <c r="AS85" s="602"/>
      <c r="AT85" s="602"/>
      <c r="AU85" s="602"/>
      <c r="AV85" s="602"/>
      <c r="AW85" s="602"/>
      <c r="AX85" s="602"/>
      <c r="AY85" s="602"/>
      <c r="AZ85" s="602"/>
      <c r="BA85" s="602"/>
      <c r="BB85" s="602"/>
      <c r="BC85" s="602"/>
      <c r="BD85" s="602"/>
      <c r="BE85" s="602"/>
      <c r="BF85" s="602"/>
      <c r="BG85" s="602"/>
      <c r="BH85" s="602"/>
      <c r="BI85" s="602"/>
      <c r="BJ85" s="602"/>
      <c r="BK85" s="602"/>
      <c r="BL85" s="602"/>
      <c r="BM85" s="602"/>
      <c r="BN85" s="602"/>
      <c r="BO85" s="602"/>
      <c r="BP85" s="602"/>
      <c r="BQ85" s="602"/>
      <c r="BR85" s="602"/>
      <c r="BS85" s="602"/>
      <c r="BT85" s="602"/>
      <c r="BU85" s="602"/>
      <c r="BV85" s="602"/>
      <c r="BW85" s="602"/>
      <c r="BX85" s="602"/>
      <c r="BY85" s="602"/>
      <c r="BZ85" s="602"/>
      <c r="CA85" s="602"/>
      <c r="CB85" s="602"/>
      <c r="CC85" s="602"/>
      <c r="CD85" s="602"/>
      <c r="CE85" s="602"/>
      <c r="CF85" s="602"/>
      <c r="CG85" s="602"/>
      <c r="CH85" s="602"/>
      <c r="CI85" s="602"/>
      <c r="CJ85" s="602"/>
      <c r="CK85" s="602"/>
      <c r="CL85" s="602"/>
      <c r="CM85" s="602"/>
      <c r="CN85" s="602"/>
      <c r="CO85" s="602"/>
      <c r="CP85" s="602"/>
      <c r="CQ85" s="602"/>
      <c r="CR85" s="602"/>
      <c r="CS85" s="602"/>
      <c r="CT85" s="602"/>
      <c r="CU85" s="602"/>
      <c r="CV85" s="602"/>
      <c r="CW85" s="602"/>
      <c r="CX85" s="602"/>
      <c r="CY85" s="602"/>
      <c r="CZ85" s="602"/>
      <c r="DA85" s="602"/>
      <c r="DB85" s="602"/>
      <c r="DC85" s="602"/>
      <c r="DD85" s="602"/>
      <c r="DE85" s="602"/>
      <c r="DF85" s="602"/>
      <c r="DG85" s="602"/>
      <c r="DH85" s="602"/>
      <c r="DI85" s="602"/>
      <c r="DJ85" s="602"/>
      <c r="DK85" s="602"/>
      <c r="DL85" s="602"/>
      <c r="DM85" s="602"/>
      <c r="DN85" s="602"/>
      <c r="DO85" s="602"/>
      <c r="DP85" s="602"/>
      <c r="DQ85" s="602"/>
      <c r="DR85" s="602"/>
      <c r="DS85" s="602"/>
      <c r="DT85" s="602"/>
      <c r="DU85" s="602"/>
      <c r="DV85" s="602"/>
      <c r="DW85" s="602"/>
      <c r="DX85" s="602"/>
      <c r="DY85" s="602"/>
      <c r="DZ85" s="602"/>
      <c r="EA85" s="602"/>
      <c r="EB85" s="602"/>
      <c r="EC85" s="602"/>
      <c r="ED85" s="602"/>
      <c r="EE85" s="602"/>
      <c r="EF85" s="602"/>
      <c r="EG85" s="602"/>
      <c r="EH85" s="602"/>
      <c r="EI85" s="602"/>
      <c r="EJ85" s="602"/>
      <c r="EK85" s="602"/>
      <c r="EL85" s="602"/>
      <c r="EM85" s="602"/>
      <c r="EN85" s="602"/>
      <c r="EO85" s="602"/>
      <c r="EP85" s="602"/>
      <c r="EQ85" s="602"/>
      <c r="ER85" s="602"/>
      <c r="ES85" s="602"/>
      <c r="ET85" s="602"/>
      <c r="EU85" s="602"/>
      <c r="EV85" s="602"/>
      <c r="EW85" s="602"/>
      <c r="EX85" s="602"/>
      <c r="EY85" s="602"/>
      <c r="EZ85" s="602"/>
      <c r="FA85" s="602"/>
      <c r="FB85" s="602"/>
      <c r="FC85" s="602"/>
      <c r="FD85" s="602"/>
      <c r="FE85" s="602"/>
      <c r="FF85" s="602"/>
      <c r="FG85" s="602"/>
      <c r="FH85" s="602"/>
      <c r="FI85" s="602"/>
      <c r="FJ85" s="602"/>
      <c r="FK85" s="602"/>
      <c r="FL85" s="602"/>
      <c r="FM85" s="602"/>
      <c r="FN85" s="602"/>
      <c r="FO85" s="602"/>
      <c r="FP85" s="602"/>
      <c r="FQ85" s="602"/>
      <c r="FR85" s="602"/>
      <c r="FS85" s="602"/>
      <c r="FT85" s="602"/>
      <c r="FU85" s="602"/>
      <c r="FV85" s="602"/>
      <c r="FW85" s="602"/>
      <c r="FX85" s="602"/>
      <c r="FY85" s="602"/>
      <c r="FZ85" s="602"/>
      <c r="GA85" s="602"/>
      <c r="GB85" s="602"/>
      <c r="GC85" s="602"/>
      <c r="GD85" s="602"/>
      <c r="GE85" s="602"/>
      <c r="GF85" s="602"/>
      <c r="GG85" s="602"/>
      <c r="GH85" s="602"/>
      <c r="GI85" s="602"/>
      <c r="GJ85" s="602"/>
      <c r="GK85" s="602"/>
      <c r="GL85" s="602"/>
      <c r="GM85" s="602"/>
      <c r="GN85" s="602"/>
      <c r="GO85" s="602"/>
      <c r="GP85" s="602"/>
      <c r="GQ85" s="602"/>
      <c r="GR85" s="602"/>
      <c r="GS85" s="602"/>
      <c r="GT85" s="602"/>
      <c r="GU85" s="602"/>
      <c r="GV85" s="602"/>
      <c r="GW85" s="602"/>
      <c r="GX85" s="602"/>
      <c r="GY85" s="602"/>
      <c r="GZ85" s="602"/>
      <c r="HA85" s="602"/>
      <c r="HB85" s="602"/>
      <c r="HC85" s="602"/>
      <c r="HD85" s="602"/>
      <c r="HE85" s="602"/>
      <c r="HF85" s="602"/>
      <c r="HG85" s="602"/>
      <c r="HH85" s="602"/>
      <c r="HI85" s="602"/>
      <c r="HJ85" s="602"/>
      <c r="HK85" s="602"/>
      <c r="HL85" s="602"/>
      <c r="HM85" s="602"/>
      <c r="HN85" s="602"/>
      <c r="HO85" s="602"/>
      <c r="HP85" s="602"/>
      <c r="HQ85" s="602"/>
      <c r="HR85" s="602"/>
      <c r="HS85" s="602"/>
      <c r="HT85" s="602"/>
      <c r="HU85" s="602"/>
      <c r="HV85" s="602"/>
      <c r="HW85" s="602"/>
      <c r="HX85" s="602"/>
      <c r="HY85" s="602"/>
      <c r="HZ85" s="602"/>
      <c r="IA85" s="602"/>
      <c r="IB85" s="602"/>
      <c r="IC85" s="602"/>
      <c r="ID85" s="602"/>
      <c r="IE85" s="602"/>
      <c r="IF85" s="602"/>
      <c r="IG85" s="602"/>
      <c r="IH85" s="602"/>
      <c r="II85" s="602"/>
      <c r="IJ85" s="602"/>
      <c r="IK85" s="602"/>
      <c r="IL85" s="602"/>
      <c r="IM85" s="602"/>
      <c r="IN85" s="602"/>
      <c r="IO85" s="602"/>
      <c r="IP85" s="602"/>
      <c r="IQ85" s="602"/>
      <c r="IR85" s="602"/>
      <c r="IS85" s="602"/>
      <c r="IT85" s="602"/>
      <c r="IU85" s="602"/>
      <c r="IV85" s="602"/>
    </row>
    <row r="86" spans="1:256" ht="24" customHeight="1">
      <c r="A86" s="2"/>
      <c r="B86" s="631"/>
      <c r="C86" s="40"/>
      <c r="D86" s="40"/>
      <c r="E86" s="1097">
        <v>2</v>
      </c>
      <c r="F86" s="1417">
        <v>2</v>
      </c>
      <c r="G86" s="2365" t="s">
        <v>936</v>
      </c>
      <c r="H86" s="2397"/>
      <c r="I86" s="2397"/>
      <c r="J86" s="2398"/>
      <c r="K86" s="637">
        <v>2</v>
      </c>
      <c r="L86" s="637">
        <v>1</v>
      </c>
      <c r="M86" s="583">
        <v>0</v>
      </c>
      <c r="N86" s="40"/>
      <c r="O86" s="146"/>
      <c r="P86" s="638">
        <v>2</v>
      </c>
      <c r="Q86" s="318">
        <v>1</v>
      </c>
      <c r="R86" s="639">
        <v>0</v>
      </c>
      <c r="S86" s="416" t="s">
        <v>456</v>
      </c>
      <c r="T86" s="148"/>
      <c r="U86" s="619"/>
      <c r="V86" s="304"/>
      <c r="W86" s="304"/>
      <c r="X86" s="148"/>
      <c r="Y86" s="602"/>
      <c r="Z86" s="602"/>
      <c r="AA86" s="602"/>
      <c r="AB86" s="602"/>
      <c r="AC86" s="602"/>
      <c r="AD86" s="602"/>
      <c r="AE86" s="602"/>
      <c r="AF86" s="602"/>
      <c r="AG86" s="602"/>
      <c r="AH86" s="602"/>
      <c r="AI86" s="602"/>
      <c r="AJ86" s="602"/>
      <c r="AK86" s="602"/>
      <c r="AL86" s="602"/>
      <c r="AM86" s="602"/>
      <c r="AN86" s="602"/>
      <c r="AO86" s="602"/>
      <c r="AP86" s="602"/>
      <c r="AQ86" s="602"/>
      <c r="AR86" s="602"/>
      <c r="AS86" s="602"/>
      <c r="AT86" s="602"/>
      <c r="AU86" s="602"/>
      <c r="AV86" s="602"/>
      <c r="AW86" s="602"/>
      <c r="AX86" s="602"/>
      <c r="AY86" s="602"/>
      <c r="AZ86" s="602"/>
      <c r="BA86" s="602"/>
      <c r="BB86" s="602"/>
      <c r="BC86" s="602"/>
      <c r="BD86" s="602"/>
      <c r="BE86" s="602"/>
      <c r="BF86" s="602"/>
      <c r="BG86" s="602"/>
      <c r="BH86" s="602"/>
      <c r="BI86" s="602"/>
      <c r="BJ86" s="602"/>
      <c r="BK86" s="602"/>
      <c r="BL86" s="602"/>
      <c r="BM86" s="602"/>
      <c r="BN86" s="602"/>
      <c r="BO86" s="602"/>
      <c r="BP86" s="602"/>
      <c r="BQ86" s="602"/>
      <c r="BR86" s="602"/>
      <c r="BS86" s="602"/>
      <c r="BT86" s="602"/>
      <c r="BU86" s="602"/>
      <c r="BV86" s="602"/>
      <c r="BW86" s="602"/>
      <c r="BX86" s="602"/>
      <c r="BY86" s="602"/>
      <c r="BZ86" s="602"/>
      <c r="CA86" s="602"/>
      <c r="CB86" s="602"/>
      <c r="CC86" s="602"/>
      <c r="CD86" s="602"/>
      <c r="CE86" s="602"/>
      <c r="CF86" s="602"/>
      <c r="CG86" s="602"/>
      <c r="CH86" s="602"/>
      <c r="CI86" s="602"/>
      <c r="CJ86" s="602"/>
      <c r="CK86" s="602"/>
      <c r="CL86" s="602"/>
      <c r="CM86" s="602"/>
      <c r="CN86" s="602"/>
      <c r="CO86" s="602"/>
      <c r="CP86" s="602"/>
      <c r="CQ86" s="602"/>
      <c r="CR86" s="602"/>
      <c r="CS86" s="602"/>
      <c r="CT86" s="602"/>
      <c r="CU86" s="602"/>
      <c r="CV86" s="602"/>
      <c r="CW86" s="602"/>
      <c r="CX86" s="602"/>
      <c r="CY86" s="602"/>
      <c r="CZ86" s="602"/>
      <c r="DA86" s="602"/>
      <c r="DB86" s="602"/>
      <c r="DC86" s="602"/>
      <c r="DD86" s="602"/>
      <c r="DE86" s="602"/>
      <c r="DF86" s="602"/>
      <c r="DG86" s="602"/>
      <c r="DH86" s="602"/>
      <c r="DI86" s="602"/>
      <c r="DJ86" s="602"/>
      <c r="DK86" s="602"/>
      <c r="DL86" s="602"/>
      <c r="DM86" s="602"/>
      <c r="DN86" s="602"/>
      <c r="DO86" s="602"/>
      <c r="DP86" s="602"/>
      <c r="DQ86" s="602"/>
      <c r="DR86" s="602"/>
      <c r="DS86" s="602"/>
      <c r="DT86" s="602"/>
      <c r="DU86" s="602"/>
      <c r="DV86" s="602"/>
      <c r="DW86" s="602"/>
      <c r="DX86" s="602"/>
      <c r="DY86" s="602"/>
      <c r="DZ86" s="602"/>
      <c r="EA86" s="602"/>
      <c r="EB86" s="602"/>
      <c r="EC86" s="602"/>
      <c r="ED86" s="602"/>
      <c r="EE86" s="602"/>
      <c r="EF86" s="602"/>
      <c r="EG86" s="602"/>
      <c r="EH86" s="602"/>
      <c r="EI86" s="602"/>
      <c r="EJ86" s="602"/>
      <c r="EK86" s="602"/>
      <c r="EL86" s="602"/>
      <c r="EM86" s="602"/>
      <c r="EN86" s="602"/>
      <c r="EO86" s="602"/>
      <c r="EP86" s="602"/>
      <c r="EQ86" s="602"/>
      <c r="ER86" s="602"/>
      <c r="ES86" s="602"/>
      <c r="ET86" s="602"/>
      <c r="EU86" s="602"/>
      <c r="EV86" s="602"/>
      <c r="EW86" s="602"/>
      <c r="EX86" s="602"/>
      <c r="EY86" s="602"/>
      <c r="EZ86" s="602"/>
      <c r="FA86" s="602"/>
      <c r="FB86" s="602"/>
      <c r="FC86" s="602"/>
      <c r="FD86" s="602"/>
      <c r="FE86" s="602"/>
      <c r="FF86" s="602"/>
      <c r="FG86" s="602"/>
      <c r="FH86" s="602"/>
      <c r="FI86" s="602"/>
      <c r="FJ86" s="602"/>
      <c r="FK86" s="602"/>
      <c r="FL86" s="602"/>
      <c r="FM86" s="602"/>
      <c r="FN86" s="602"/>
      <c r="FO86" s="602"/>
      <c r="FP86" s="602"/>
      <c r="FQ86" s="602"/>
      <c r="FR86" s="602"/>
      <c r="FS86" s="602"/>
      <c r="FT86" s="602"/>
      <c r="FU86" s="602"/>
      <c r="FV86" s="602"/>
      <c r="FW86" s="602"/>
      <c r="FX86" s="602"/>
      <c r="FY86" s="602"/>
      <c r="FZ86" s="602"/>
      <c r="GA86" s="602"/>
      <c r="GB86" s="602"/>
      <c r="GC86" s="602"/>
      <c r="GD86" s="602"/>
      <c r="GE86" s="602"/>
      <c r="GF86" s="602"/>
      <c r="GG86" s="602"/>
      <c r="GH86" s="602"/>
      <c r="GI86" s="602"/>
      <c r="GJ86" s="602"/>
      <c r="GK86" s="602"/>
      <c r="GL86" s="602"/>
      <c r="GM86" s="602"/>
      <c r="GN86" s="602"/>
      <c r="GO86" s="602"/>
      <c r="GP86" s="602"/>
      <c r="GQ86" s="602"/>
      <c r="GR86" s="602"/>
      <c r="GS86" s="602"/>
      <c r="GT86" s="602"/>
      <c r="GU86" s="602"/>
      <c r="GV86" s="602"/>
      <c r="GW86" s="602"/>
      <c r="GX86" s="602"/>
      <c r="GY86" s="602"/>
      <c r="GZ86" s="602"/>
      <c r="HA86" s="602"/>
      <c r="HB86" s="602"/>
      <c r="HC86" s="602"/>
      <c r="HD86" s="602"/>
      <c r="HE86" s="602"/>
      <c r="HF86" s="602"/>
      <c r="HG86" s="602"/>
      <c r="HH86" s="602"/>
      <c r="HI86" s="602"/>
      <c r="HJ86" s="602"/>
      <c r="HK86" s="602"/>
      <c r="HL86" s="602"/>
      <c r="HM86" s="602"/>
      <c r="HN86" s="602"/>
      <c r="HO86" s="602"/>
      <c r="HP86" s="602"/>
      <c r="HQ86" s="602"/>
      <c r="HR86" s="602"/>
      <c r="HS86" s="602"/>
      <c r="HT86" s="602"/>
      <c r="HU86" s="602"/>
      <c r="HV86" s="602"/>
      <c r="HW86" s="602"/>
      <c r="HX86" s="602"/>
      <c r="HY86" s="602"/>
      <c r="HZ86" s="602"/>
      <c r="IA86" s="602"/>
      <c r="IB86" s="602"/>
      <c r="IC86" s="602"/>
      <c r="ID86" s="602"/>
      <c r="IE86" s="602"/>
      <c r="IF86" s="602"/>
      <c r="IG86" s="602"/>
      <c r="IH86" s="602"/>
      <c r="II86" s="602"/>
      <c r="IJ86" s="602"/>
      <c r="IK86" s="602"/>
      <c r="IL86" s="602"/>
      <c r="IM86" s="602"/>
      <c r="IN86" s="602"/>
      <c r="IO86" s="602"/>
      <c r="IP86" s="602"/>
      <c r="IQ86" s="602"/>
      <c r="IR86" s="602"/>
      <c r="IS86" s="602"/>
      <c r="IT86" s="602"/>
      <c r="IU86" s="602"/>
      <c r="IV86" s="602"/>
    </row>
    <row r="87" spans="1:256" ht="16.5" customHeight="1">
      <c r="A87" s="2"/>
      <c r="B87" s="631"/>
      <c r="C87" s="40"/>
      <c r="D87" s="40"/>
      <c r="E87" s="1097">
        <v>0</v>
      </c>
      <c r="F87" s="1417">
        <v>3</v>
      </c>
      <c r="G87" s="527" t="s">
        <v>937</v>
      </c>
      <c r="H87" s="775"/>
      <c r="I87" s="775"/>
      <c r="J87" s="776"/>
      <c r="K87" s="637">
        <v>2</v>
      </c>
      <c r="L87" s="637">
        <v>1</v>
      </c>
      <c r="M87" s="583">
        <v>0</v>
      </c>
      <c r="N87" s="40"/>
      <c r="O87" s="146"/>
      <c r="P87" s="638">
        <v>2</v>
      </c>
      <c r="Q87" s="318">
        <v>1</v>
      </c>
      <c r="R87" s="639">
        <v>0</v>
      </c>
      <c r="S87" s="416" t="s">
        <v>456</v>
      </c>
      <c r="T87" s="148"/>
      <c r="U87" s="619"/>
      <c r="V87" s="304"/>
      <c r="W87" s="304"/>
      <c r="X87" s="148"/>
      <c r="Y87" s="602"/>
      <c r="Z87" s="602"/>
      <c r="AA87" s="602"/>
      <c r="AB87" s="602"/>
      <c r="AC87" s="602"/>
      <c r="AD87" s="602"/>
      <c r="AE87" s="602"/>
      <c r="AF87" s="602"/>
      <c r="AG87" s="602"/>
      <c r="AH87" s="602"/>
      <c r="AI87" s="602"/>
      <c r="AJ87" s="602"/>
      <c r="AK87" s="602"/>
      <c r="AL87" s="602"/>
      <c r="AM87" s="602"/>
      <c r="AN87" s="602"/>
      <c r="AO87" s="602"/>
      <c r="AP87" s="602"/>
      <c r="AQ87" s="602"/>
      <c r="AR87" s="602"/>
      <c r="AS87" s="602"/>
      <c r="AT87" s="602"/>
      <c r="AU87" s="602"/>
      <c r="AV87" s="602"/>
      <c r="AW87" s="602"/>
      <c r="AX87" s="602"/>
      <c r="AY87" s="602"/>
      <c r="AZ87" s="602"/>
      <c r="BA87" s="602"/>
      <c r="BB87" s="602"/>
      <c r="BC87" s="602"/>
      <c r="BD87" s="602"/>
      <c r="BE87" s="602"/>
      <c r="BF87" s="602"/>
      <c r="BG87" s="602"/>
      <c r="BH87" s="602"/>
      <c r="BI87" s="602"/>
      <c r="BJ87" s="602"/>
      <c r="BK87" s="602"/>
      <c r="BL87" s="602"/>
      <c r="BM87" s="602"/>
      <c r="BN87" s="602"/>
      <c r="BO87" s="602"/>
      <c r="BP87" s="602"/>
      <c r="BQ87" s="602"/>
      <c r="BR87" s="602"/>
      <c r="BS87" s="602"/>
      <c r="BT87" s="602"/>
      <c r="BU87" s="602"/>
      <c r="BV87" s="602"/>
      <c r="BW87" s="602"/>
      <c r="BX87" s="602"/>
      <c r="BY87" s="602"/>
      <c r="BZ87" s="602"/>
      <c r="CA87" s="602"/>
      <c r="CB87" s="602"/>
      <c r="CC87" s="602"/>
      <c r="CD87" s="602"/>
      <c r="CE87" s="602"/>
      <c r="CF87" s="602"/>
      <c r="CG87" s="602"/>
      <c r="CH87" s="602"/>
      <c r="CI87" s="602"/>
      <c r="CJ87" s="602"/>
      <c r="CK87" s="602"/>
      <c r="CL87" s="602"/>
      <c r="CM87" s="602"/>
      <c r="CN87" s="602"/>
      <c r="CO87" s="602"/>
      <c r="CP87" s="602"/>
      <c r="CQ87" s="602"/>
      <c r="CR87" s="602"/>
      <c r="CS87" s="602"/>
      <c r="CT87" s="602"/>
      <c r="CU87" s="602"/>
      <c r="CV87" s="602"/>
      <c r="CW87" s="602"/>
      <c r="CX87" s="602"/>
      <c r="CY87" s="602"/>
      <c r="CZ87" s="602"/>
      <c r="DA87" s="602"/>
      <c r="DB87" s="602"/>
      <c r="DC87" s="602"/>
      <c r="DD87" s="602"/>
      <c r="DE87" s="602"/>
      <c r="DF87" s="602"/>
      <c r="DG87" s="602"/>
      <c r="DH87" s="602"/>
      <c r="DI87" s="602"/>
      <c r="DJ87" s="602"/>
      <c r="DK87" s="602"/>
      <c r="DL87" s="602"/>
      <c r="DM87" s="602"/>
      <c r="DN87" s="602"/>
      <c r="DO87" s="602"/>
      <c r="DP87" s="602"/>
      <c r="DQ87" s="602"/>
      <c r="DR87" s="602"/>
      <c r="DS87" s="602"/>
      <c r="DT87" s="602"/>
      <c r="DU87" s="602"/>
      <c r="DV87" s="602"/>
      <c r="DW87" s="602"/>
      <c r="DX87" s="602"/>
      <c r="DY87" s="602"/>
      <c r="DZ87" s="602"/>
      <c r="EA87" s="602"/>
      <c r="EB87" s="602"/>
      <c r="EC87" s="602"/>
      <c r="ED87" s="602"/>
      <c r="EE87" s="602"/>
      <c r="EF87" s="602"/>
      <c r="EG87" s="602"/>
      <c r="EH87" s="602"/>
      <c r="EI87" s="602"/>
      <c r="EJ87" s="602"/>
      <c r="EK87" s="602"/>
      <c r="EL87" s="602"/>
      <c r="EM87" s="602"/>
      <c r="EN87" s="602"/>
      <c r="EO87" s="602"/>
      <c r="EP87" s="602"/>
      <c r="EQ87" s="602"/>
      <c r="ER87" s="602"/>
      <c r="ES87" s="602"/>
      <c r="ET87" s="602"/>
      <c r="EU87" s="602"/>
      <c r="EV87" s="602"/>
      <c r="EW87" s="602"/>
      <c r="EX87" s="602"/>
      <c r="EY87" s="602"/>
      <c r="EZ87" s="602"/>
      <c r="FA87" s="602"/>
      <c r="FB87" s="602"/>
      <c r="FC87" s="602"/>
      <c r="FD87" s="602"/>
      <c r="FE87" s="602"/>
      <c r="FF87" s="602"/>
      <c r="FG87" s="602"/>
      <c r="FH87" s="602"/>
      <c r="FI87" s="602"/>
      <c r="FJ87" s="602"/>
      <c r="FK87" s="602"/>
      <c r="FL87" s="602"/>
      <c r="FM87" s="602"/>
      <c r="FN87" s="602"/>
      <c r="FO87" s="602"/>
      <c r="FP87" s="602"/>
      <c r="FQ87" s="602"/>
      <c r="FR87" s="602"/>
      <c r="FS87" s="602"/>
      <c r="FT87" s="602"/>
      <c r="FU87" s="602"/>
      <c r="FV87" s="602"/>
      <c r="FW87" s="602"/>
      <c r="FX87" s="602"/>
      <c r="FY87" s="602"/>
      <c r="FZ87" s="602"/>
      <c r="GA87" s="602"/>
      <c r="GB87" s="602"/>
      <c r="GC87" s="602"/>
      <c r="GD87" s="602"/>
      <c r="GE87" s="602"/>
      <c r="GF87" s="602"/>
      <c r="GG87" s="602"/>
      <c r="GH87" s="602"/>
      <c r="GI87" s="602"/>
      <c r="GJ87" s="602"/>
      <c r="GK87" s="602"/>
      <c r="GL87" s="602"/>
      <c r="GM87" s="602"/>
      <c r="GN87" s="602"/>
      <c r="GO87" s="602"/>
      <c r="GP87" s="602"/>
      <c r="GQ87" s="602"/>
      <c r="GR87" s="602"/>
      <c r="GS87" s="602"/>
      <c r="GT87" s="602"/>
      <c r="GU87" s="602"/>
      <c r="GV87" s="602"/>
      <c r="GW87" s="602"/>
      <c r="GX87" s="602"/>
      <c r="GY87" s="602"/>
      <c r="GZ87" s="602"/>
      <c r="HA87" s="602"/>
      <c r="HB87" s="602"/>
      <c r="HC87" s="602"/>
      <c r="HD87" s="602"/>
      <c r="HE87" s="602"/>
      <c r="HF87" s="602"/>
      <c r="HG87" s="602"/>
      <c r="HH87" s="602"/>
      <c r="HI87" s="602"/>
      <c r="HJ87" s="602"/>
      <c r="HK87" s="602"/>
      <c r="HL87" s="602"/>
      <c r="HM87" s="602"/>
      <c r="HN87" s="602"/>
      <c r="HO87" s="602"/>
      <c r="HP87" s="602"/>
      <c r="HQ87" s="602"/>
      <c r="HR87" s="602"/>
      <c r="HS87" s="602"/>
      <c r="HT87" s="602"/>
      <c r="HU87" s="602"/>
      <c r="HV87" s="602"/>
      <c r="HW87" s="602"/>
      <c r="HX87" s="602"/>
      <c r="HY87" s="602"/>
      <c r="HZ87" s="602"/>
      <c r="IA87" s="602"/>
      <c r="IB87" s="602"/>
      <c r="IC87" s="602"/>
      <c r="ID87" s="602"/>
      <c r="IE87" s="602"/>
      <c r="IF87" s="602"/>
      <c r="IG87" s="602"/>
      <c r="IH87" s="602"/>
      <c r="II87" s="602"/>
      <c r="IJ87" s="602"/>
      <c r="IK87" s="602"/>
      <c r="IL87" s="602"/>
      <c r="IM87" s="602"/>
      <c r="IN87" s="602"/>
      <c r="IO87" s="602"/>
      <c r="IP87" s="602"/>
      <c r="IQ87" s="602"/>
      <c r="IR87" s="602"/>
      <c r="IS87" s="602"/>
      <c r="IT87" s="602"/>
      <c r="IU87" s="602"/>
      <c r="IV87" s="602"/>
    </row>
    <row r="88" spans="1:256" ht="16.5" customHeight="1">
      <c r="A88" s="2"/>
      <c r="B88" s="631"/>
      <c r="C88" s="40"/>
      <c r="D88" s="40"/>
      <c r="E88" s="1097">
        <v>0</v>
      </c>
      <c r="F88" s="1417">
        <v>4</v>
      </c>
      <c r="G88" s="527" t="s">
        <v>938</v>
      </c>
      <c r="H88" s="775"/>
      <c r="I88" s="775"/>
      <c r="J88" s="776"/>
      <c r="K88" s="637">
        <v>2</v>
      </c>
      <c r="L88" s="637">
        <v>1</v>
      </c>
      <c r="M88" s="583">
        <v>0</v>
      </c>
      <c r="N88" s="40"/>
      <c r="O88" s="146"/>
      <c r="P88" s="638">
        <v>2</v>
      </c>
      <c r="Q88" s="318">
        <v>1</v>
      </c>
      <c r="R88" s="639">
        <v>0</v>
      </c>
      <c r="S88" s="416" t="s">
        <v>456</v>
      </c>
      <c r="T88" s="148"/>
      <c r="U88" s="619"/>
      <c r="V88" s="304"/>
      <c r="W88" s="304"/>
      <c r="X88" s="148"/>
      <c r="Y88" s="602"/>
      <c r="Z88" s="602"/>
      <c r="AA88" s="602"/>
      <c r="AB88" s="602"/>
      <c r="AC88" s="602"/>
      <c r="AD88" s="602"/>
      <c r="AE88" s="602"/>
      <c r="AF88" s="602"/>
      <c r="AG88" s="602"/>
      <c r="AH88" s="602"/>
      <c r="AI88" s="602"/>
      <c r="AJ88" s="602"/>
      <c r="AK88" s="602"/>
      <c r="AL88" s="602"/>
      <c r="AM88" s="602"/>
      <c r="AN88" s="602"/>
      <c r="AO88" s="602"/>
      <c r="AP88" s="602"/>
      <c r="AQ88" s="602"/>
      <c r="AR88" s="602"/>
      <c r="AS88" s="602"/>
      <c r="AT88" s="602"/>
      <c r="AU88" s="602"/>
      <c r="AV88" s="602"/>
      <c r="AW88" s="602"/>
      <c r="AX88" s="602"/>
      <c r="AY88" s="602"/>
      <c r="AZ88" s="602"/>
      <c r="BA88" s="602"/>
      <c r="BB88" s="602"/>
      <c r="BC88" s="602"/>
      <c r="BD88" s="602"/>
      <c r="BE88" s="602"/>
      <c r="BF88" s="602"/>
      <c r="BG88" s="602"/>
      <c r="BH88" s="602"/>
      <c r="BI88" s="602"/>
      <c r="BJ88" s="602"/>
      <c r="BK88" s="602"/>
      <c r="BL88" s="602"/>
      <c r="BM88" s="602"/>
      <c r="BN88" s="602"/>
      <c r="BO88" s="602"/>
      <c r="BP88" s="602"/>
      <c r="BQ88" s="602"/>
      <c r="BR88" s="602"/>
      <c r="BS88" s="602"/>
      <c r="BT88" s="602"/>
      <c r="BU88" s="602"/>
      <c r="BV88" s="602"/>
      <c r="BW88" s="602"/>
      <c r="BX88" s="602"/>
      <c r="BY88" s="602"/>
      <c r="BZ88" s="602"/>
      <c r="CA88" s="602"/>
      <c r="CB88" s="602"/>
      <c r="CC88" s="602"/>
      <c r="CD88" s="602"/>
      <c r="CE88" s="602"/>
      <c r="CF88" s="602"/>
      <c r="CG88" s="602"/>
      <c r="CH88" s="602"/>
      <c r="CI88" s="602"/>
      <c r="CJ88" s="602"/>
      <c r="CK88" s="602"/>
      <c r="CL88" s="602"/>
      <c r="CM88" s="602"/>
      <c r="CN88" s="602"/>
      <c r="CO88" s="602"/>
      <c r="CP88" s="602"/>
      <c r="CQ88" s="602"/>
      <c r="CR88" s="602"/>
      <c r="CS88" s="602"/>
      <c r="CT88" s="602"/>
      <c r="CU88" s="602"/>
      <c r="CV88" s="602"/>
      <c r="CW88" s="602"/>
      <c r="CX88" s="602"/>
      <c r="CY88" s="602"/>
      <c r="CZ88" s="602"/>
      <c r="DA88" s="602"/>
      <c r="DB88" s="602"/>
      <c r="DC88" s="602"/>
      <c r="DD88" s="602"/>
      <c r="DE88" s="602"/>
      <c r="DF88" s="602"/>
      <c r="DG88" s="602"/>
      <c r="DH88" s="602"/>
      <c r="DI88" s="602"/>
      <c r="DJ88" s="602"/>
      <c r="DK88" s="602"/>
      <c r="DL88" s="602"/>
      <c r="DM88" s="602"/>
      <c r="DN88" s="602"/>
      <c r="DO88" s="602"/>
      <c r="DP88" s="602"/>
      <c r="DQ88" s="602"/>
      <c r="DR88" s="602"/>
      <c r="DS88" s="602"/>
      <c r="DT88" s="602"/>
      <c r="DU88" s="602"/>
      <c r="DV88" s="602"/>
      <c r="DW88" s="602"/>
      <c r="DX88" s="602"/>
      <c r="DY88" s="602"/>
      <c r="DZ88" s="602"/>
      <c r="EA88" s="602"/>
      <c r="EB88" s="602"/>
      <c r="EC88" s="602"/>
      <c r="ED88" s="602"/>
      <c r="EE88" s="602"/>
      <c r="EF88" s="602"/>
      <c r="EG88" s="602"/>
      <c r="EH88" s="602"/>
      <c r="EI88" s="602"/>
      <c r="EJ88" s="602"/>
      <c r="EK88" s="602"/>
      <c r="EL88" s="602"/>
      <c r="EM88" s="602"/>
      <c r="EN88" s="602"/>
      <c r="EO88" s="602"/>
      <c r="EP88" s="602"/>
      <c r="EQ88" s="602"/>
      <c r="ER88" s="602"/>
      <c r="ES88" s="602"/>
      <c r="ET88" s="602"/>
      <c r="EU88" s="602"/>
      <c r="EV88" s="602"/>
      <c r="EW88" s="602"/>
      <c r="EX88" s="602"/>
      <c r="EY88" s="602"/>
      <c r="EZ88" s="602"/>
      <c r="FA88" s="602"/>
      <c r="FB88" s="602"/>
      <c r="FC88" s="602"/>
      <c r="FD88" s="602"/>
      <c r="FE88" s="602"/>
      <c r="FF88" s="602"/>
      <c r="FG88" s="602"/>
      <c r="FH88" s="602"/>
      <c r="FI88" s="602"/>
      <c r="FJ88" s="602"/>
      <c r="FK88" s="602"/>
      <c r="FL88" s="602"/>
      <c r="FM88" s="602"/>
      <c r="FN88" s="602"/>
      <c r="FO88" s="602"/>
      <c r="FP88" s="602"/>
      <c r="FQ88" s="602"/>
      <c r="FR88" s="602"/>
      <c r="FS88" s="602"/>
      <c r="FT88" s="602"/>
      <c r="FU88" s="602"/>
      <c r="FV88" s="602"/>
      <c r="FW88" s="602"/>
      <c r="FX88" s="602"/>
      <c r="FY88" s="602"/>
      <c r="FZ88" s="602"/>
      <c r="GA88" s="602"/>
      <c r="GB88" s="602"/>
      <c r="GC88" s="602"/>
      <c r="GD88" s="602"/>
      <c r="GE88" s="602"/>
      <c r="GF88" s="602"/>
      <c r="GG88" s="602"/>
      <c r="GH88" s="602"/>
      <c r="GI88" s="602"/>
      <c r="GJ88" s="602"/>
      <c r="GK88" s="602"/>
      <c r="GL88" s="602"/>
      <c r="GM88" s="602"/>
      <c r="GN88" s="602"/>
      <c r="GO88" s="602"/>
      <c r="GP88" s="602"/>
      <c r="GQ88" s="602"/>
      <c r="GR88" s="602"/>
      <c r="GS88" s="602"/>
      <c r="GT88" s="602"/>
      <c r="GU88" s="602"/>
      <c r="GV88" s="602"/>
      <c r="GW88" s="602"/>
      <c r="GX88" s="602"/>
      <c r="GY88" s="602"/>
      <c r="GZ88" s="602"/>
      <c r="HA88" s="602"/>
      <c r="HB88" s="602"/>
      <c r="HC88" s="602"/>
      <c r="HD88" s="602"/>
      <c r="HE88" s="602"/>
      <c r="HF88" s="602"/>
      <c r="HG88" s="602"/>
      <c r="HH88" s="602"/>
      <c r="HI88" s="602"/>
      <c r="HJ88" s="602"/>
      <c r="HK88" s="602"/>
      <c r="HL88" s="602"/>
      <c r="HM88" s="602"/>
      <c r="HN88" s="602"/>
      <c r="HO88" s="602"/>
      <c r="HP88" s="602"/>
      <c r="HQ88" s="602"/>
      <c r="HR88" s="602"/>
      <c r="HS88" s="602"/>
      <c r="HT88" s="602"/>
      <c r="HU88" s="602"/>
      <c r="HV88" s="602"/>
      <c r="HW88" s="602"/>
      <c r="HX88" s="602"/>
      <c r="HY88" s="602"/>
      <c r="HZ88" s="602"/>
      <c r="IA88" s="602"/>
      <c r="IB88" s="602"/>
      <c r="IC88" s="602"/>
      <c r="ID88" s="602"/>
      <c r="IE88" s="602"/>
      <c r="IF88" s="602"/>
      <c r="IG88" s="602"/>
      <c r="IH88" s="602"/>
      <c r="II88" s="602"/>
      <c r="IJ88" s="602"/>
      <c r="IK88" s="602"/>
      <c r="IL88" s="602"/>
      <c r="IM88" s="602"/>
      <c r="IN88" s="602"/>
      <c r="IO88" s="602"/>
      <c r="IP88" s="602"/>
      <c r="IQ88" s="602"/>
      <c r="IR88" s="602"/>
      <c r="IS88" s="602"/>
      <c r="IT88" s="602"/>
      <c r="IU88" s="602"/>
      <c r="IV88" s="602"/>
    </row>
    <row r="89" spans="1:256" ht="16.5" customHeight="1" thickBot="1">
      <c r="A89" s="2"/>
      <c r="B89" s="631"/>
      <c r="C89" s="40"/>
      <c r="D89" s="40"/>
      <c r="E89" s="1098">
        <v>0</v>
      </c>
      <c r="F89" s="802">
        <v>5</v>
      </c>
      <c r="G89" s="526" t="s">
        <v>939</v>
      </c>
      <c r="H89" s="1416"/>
      <c r="I89" s="1416"/>
      <c r="J89" s="1416"/>
      <c r="K89" s="637">
        <v>2</v>
      </c>
      <c r="L89" s="637">
        <v>1</v>
      </c>
      <c r="M89" s="583">
        <v>0</v>
      </c>
      <c r="N89" s="40"/>
      <c r="O89" s="146"/>
      <c r="P89" s="638">
        <v>2</v>
      </c>
      <c r="Q89" s="318">
        <v>1</v>
      </c>
      <c r="R89" s="639">
        <v>0</v>
      </c>
      <c r="S89" s="416" t="s">
        <v>456</v>
      </c>
      <c r="T89" s="148"/>
      <c r="U89" s="619"/>
      <c r="V89" s="304"/>
      <c r="W89" s="304"/>
      <c r="X89" s="148"/>
      <c r="Y89" s="602"/>
      <c r="Z89" s="602"/>
      <c r="AA89" s="602"/>
      <c r="AB89" s="602"/>
      <c r="AC89" s="602"/>
      <c r="AD89" s="602"/>
      <c r="AE89" s="602"/>
      <c r="AF89" s="602"/>
      <c r="AG89" s="602"/>
      <c r="AH89" s="602"/>
      <c r="AI89" s="602"/>
      <c r="AJ89" s="602"/>
      <c r="AK89" s="602"/>
      <c r="AL89" s="602"/>
      <c r="AM89" s="602"/>
      <c r="AN89" s="602"/>
      <c r="AO89" s="602"/>
      <c r="AP89" s="602"/>
      <c r="AQ89" s="602"/>
      <c r="AR89" s="602"/>
      <c r="AS89" s="602"/>
      <c r="AT89" s="602"/>
      <c r="AU89" s="602"/>
      <c r="AV89" s="602"/>
      <c r="AW89" s="602"/>
      <c r="AX89" s="602"/>
      <c r="AY89" s="602"/>
      <c r="AZ89" s="602"/>
      <c r="BA89" s="602"/>
      <c r="BB89" s="602"/>
      <c r="BC89" s="602"/>
      <c r="BD89" s="602"/>
      <c r="BE89" s="602"/>
      <c r="BF89" s="602"/>
      <c r="BG89" s="602"/>
      <c r="BH89" s="602"/>
      <c r="BI89" s="602"/>
      <c r="BJ89" s="602"/>
      <c r="BK89" s="602"/>
      <c r="BL89" s="602"/>
      <c r="BM89" s="602"/>
      <c r="BN89" s="602"/>
      <c r="BO89" s="602"/>
      <c r="BP89" s="602"/>
      <c r="BQ89" s="602"/>
      <c r="BR89" s="602"/>
      <c r="BS89" s="602"/>
      <c r="BT89" s="602"/>
      <c r="BU89" s="602"/>
      <c r="BV89" s="602"/>
      <c r="BW89" s="602"/>
      <c r="BX89" s="602"/>
      <c r="BY89" s="602"/>
      <c r="BZ89" s="602"/>
      <c r="CA89" s="602"/>
      <c r="CB89" s="602"/>
      <c r="CC89" s="602"/>
      <c r="CD89" s="602"/>
      <c r="CE89" s="602"/>
      <c r="CF89" s="602"/>
      <c r="CG89" s="602"/>
      <c r="CH89" s="602"/>
      <c r="CI89" s="602"/>
      <c r="CJ89" s="602"/>
      <c r="CK89" s="602"/>
      <c r="CL89" s="602"/>
      <c r="CM89" s="602"/>
      <c r="CN89" s="602"/>
      <c r="CO89" s="602"/>
      <c r="CP89" s="602"/>
      <c r="CQ89" s="602"/>
      <c r="CR89" s="602"/>
      <c r="CS89" s="602"/>
      <c r="CT89" s="602"/>
      <c r="CU89" s="602"/>
      <c r="CV89" s="602"/>
      <c r="CW89" s="602"/>
      <c r="CX89" s="602"/>
      <c r="CY89" s="602"/>
      <c r="CZ89" s="602"/>
      <c r="DA89" s="602"/>
      <c r="DB89" s="602"/>
      <c r="DC89" s="602"/>
      <c r="DD89" s="602"/>
      <c r="DE89" s="602"/>
      <c r="DF89" s="602"/>
      <c r="DG89" s="602"/>
      <c r="DH89" s="602"/>
      <c r="DI89" s="602"/>
      <c r="DJ89" s="602"/>
      <c r="DK89" s="602"/>
      <c r="DL89" s="602"/>
      <c r="DM89" s="602"/>
      <c r="DN89" s="602"/>
      <c r="DO89" s="602"/>
      <c r="DP89" s="602"/>
      <c r="DQ89" s="602"/>
      <c r="DR89" s="602"/>
      <c r="DS89" s="602"/>
      <c r="DT89" s="602"/>
      <c r="DU89" s="602"/>
      <c r="DV89" s="602"/>
      <c r="DW89" s="602"/>
      <c r="DX89" s="602"/>
      <c r="DY89" s="602"/>
      <c r="DZ89" s="602"/>
      <c r="EA89" s="602"/>
      <c r="EB89" s="602"/>
      <c r="EC89" s="602"/>
      <c r="ED89" s="602"/>
      <c r="EE89" s="602"/>
      <c r="EF89" s="602"/>
      <c r="EG89" s="602"/>
      <c r="EH89" s="602"/>
      <c r="EI89" s="602"/>
      <c r="EJ89" s="602"/>
      <c r="EK89" s="602"/>
      <c r="EL89" s="602"/>
      <c r="EM89" s="602"/>
      <c r="EN89" s="602"/>
      <c r="EO89" s="602"/>
      <c r="EP89" s="602"/>
      <c r="EQ89" s="602"/>
      <c r="ER89" s="602"/>
      <c r="ES89" s="602"/>
      <c r="ET89" s="602"/>
      <c r="EU89" s="602"/>
      <c r="EV89" s="602"/>
      <c r="EW89" s="602"/>
      <c r="EX89" s="602"/>
      <c r="EY89" s="602"/>
      <c r="EZ89" s="602"/>
      <c r="FA89" s="602"/>
      <c r="FB89" s="602"/>
      <c r="FC89" s="602"/>
      <c r="FD89" s="602"/>
      <c r="FE89" s="602"/>
      <c r="FF89" s="602"/>
      <c r="FG89" s="602"/>
      <c r="FH89" s="602"/>
      <c r="FI89" s="602"/>
      <c r="FJ89" s="602"/>
      <c r="FK89" s="602"/>
      <c r="FL89" s="602"/>
      <c r="FM89" s="602"/>
      <c r="FN89" s="602"/>
      <c r="FO89" s="602"/>
      <c r="FP89" s="602"/>
      <c r="FQ89" s="602"/>
      <c r="FR89" s="602"/>
      <c r="FS89" s="602"/>
      <c r="FT89" s="602"/>
      <c r="FU89" s="602"/>
      <c r="FV89" s="602"/>
      <c r="FW89" s="602"/>
      <c r="FX89" s="602"/>
      <c r="FY89" s="602"/>
      <c r="FZ89" s="602"/>
      <c r="GA89" s="602"/>
      <c r="GB89" s="602"/>
      <c r="GC89" s="602"/>
      <c r="GD89" s="602"/>
      <c r="GE89" s="602"/>
      <c r="GF89" s="602"/>
      <c r="GG89" s="602"/>
      <c r="GH89" s="602"/>
      <c r="GI89" s="602"/>
      <c r="GJ89" s="602"/>
      <c r="GK89" s="602"/>
      <c r="GL89" s="602"/>
      <c r="GM89" s="602"/>
      <c r="GN89" s="602"/>
      <c r="GO89" s="602"/>
      <c r="GP89" s="602"/>
      <c r="GQ89" s="602"/>
      <c r="GR89" s="602"/>
      <c r="GS89" s="602"/>
      <c r="GT89" s="602"/>
      <c r="GU89" s="602"/>
      <c r="GV89" s="602"/>
      <c r="GW89" s="602"/>
      <c r="GX89" s="602"/>
      <c r="GY89" s="602"/>
      <c r="GZ89" s="602"/>
      <c r="HA89" s="602"/>
      <c r="HB89" s="602"/>
      <c r="HC89" s="602"/>
      <c r="HD89" s="602"/>
      <c r="HE89" s="602"/>
      <c r="HF89" s="602"/>
      <c r="HG89" s="602"/>
      <c r="HH89" s="602"/>
      <c r="HI89" s="602"/>
      <c r="HJ89" s="602"/>
      <c r="HK89" s="602"/>
      <c r="HL89" s="602"/>
      <c r="HM89" s="602"/>
      <c r="HN89" s="602"/>
      <c r="HO89" s="602"/>
      <c r="HP89" s="602"/>
      <c r="HQ89" s="602"/>
      <c r="HR89" s="602"/>
      <c r="HS89" s="602"/>
      <c r="HT89" s="602"/>
      <c r="HU89" s="602"/>
      <c r="HV89" s="602"/>
      <c r="HW89" s="602"/>
      <c r="HX89" s="602"/>
      <c r="HY89" s="602"/>
      <c r="HZ89" s="602"/>
      <c r="IA89" s="602"/>
      <c r="IB89" s="602"/>
      <c r="IC89" s="602"/>
      <c r="ID89" s="602"/>
      <c r="IE89" s="602"/>
      <c r="IF89" s="602"/>
      <c r="IG89" s="602"/>
      <c r="IH89" s="602"/>
      <c r="II89" s="602"/>
      <c r="IJ89" s="602"/>
      <c r="IK89" s="602"/>
      <c r="IL89" s="602"/>
      <c r="IM89" s="602"/>
      <c r="IN89" s="602"/>
      <c r="IO89" s="602"/>
      <c r="IP89" s="602"/>
      <c r="IQ89" s="602"/>
      <c r="IR89" s="602"/>
      <c r="IS89" s="602"/>
      <c r="IT89" s="602"/>
      <c r="IU89" s="602"/>
      <c r="IV89" s="602"/>
    </row>
    <row r="90" spans="1:256" ht="16.5" customHeight="1">
      <c r="A90" s="2"/>
      <c r="B90" s="381"/>
      <c r="C90" s="612"/>
      <c r="D90" s="612"/>
      <c r="E90" s="1059" t="s">
        <v>292</v>
      </c>
      <c r="F90" s="560">
        <f>SUM(E85:E89)</f>
        <v>4</v>
      </c>
      <c r="G90" s="1060" t="s">
        <v>890</v>
      </c>
      <c r="H90" s="560">
        <f>SUM(P85:P89)-COUNTIF(E85:E89,S85)*2</f>
        <v>10</v>
      </c>
      <c r="I90" s="2448"/>
      <c r="J90" s="2448"/>
      <c r="K90" s="2449" t="s">
        <v>891</v>
      </c>
      <c r="L90" s="2449"/>
      <c r="M90" s="1061">
        <f>F90/H90</f>
        <v>0.4</v>
      </c>
      <c r="N90" s="612"/>
      <c r="O90" s="146"/>
      <c r="P90" s="1048"/>
      <c r="Q90" s="146"/>
      <c r="R90" s="304"/>
      <c r="S90" s="148"/>
      <c r="T90" s="148"/>
      <c r="U90" s="1048"/>
      <c r="V90" s="304"/>
      <c r="W90" s="304"/>
      <c r="X90" s="148"/>
      <c r="Y90" s="1062"/>
      <c r="Z90" s="1062"/>
      <c r="AA90" s="1062"/>
      <c r="AB90" s="1062"/>
      <c r="AC90" s="1062"/>
      <c r="AD90" s="1062"/>
      <c r="AE90" s="1062"/>
      <c r="AF90" s="1062"/>
      <c r="AG90" s="1062"/>
      <c r="AH90" s="1062"/>
      <c r="AI90" s="1062"/>
      <c r="AJ90" s="1062"/>
      <c r="AK90" s="1062"/>
      <c r="AL90" s="1062"/>
      <c r="AM90" s="1062"/>
      <c r="AN90" s="1062"/>
      <c r="AO90" s="1062"/>
      <c r="AP90" s="1062"/>
      <c r="AQ90" s="1062"/>
      <c r="AR90" s="1062"/>
      <c r="AS90" s="1062"/>
      <c r="AT90" s="1062"/>
      <c r="AU90" s="1062"/>
      <c r="AV90" s="1062"/>
      <c r="AW90" s="1062"/>
      <c r="AX90" s="1062"/>
      <c r="AY90" s="1062"/>
      <c r="AZ90" s="1062"/>
      <c r="BA90" s="1062"/>
      <c r="BB90" s="1062"/>
      <c r="BC90" s="1062"/>
      <c r="BD90" s="1062"/>
      <c r="BE90" s="1062"/>
      <c r="BF90" s="1062"/>
      <c r="BG90" s="1062"/>
      <c r="BH90" s="1062"/>
      <c r="BI90" s="1062"/>
      <c r="BJ90" s="1062"/>
      <c r="BK90" s="1062"/>
      <c r="BL90" s="1062"/>
      <c r="BM90" s="1062"/>
      <c r="BN90" s="1062"/>
      <c r="BO90" s="1062"/>
      <c r="BP90" s="1062"/>
      <c r="BQ90" s="1062"/>
      <c r="BR90" s="1062"/>
      <c r="BS90" s="1062"/>
      <c r="BT90" s="1062"/>
      <c r="BU90" s="1062"/>
      <c r="BV90" s="1062"/>
      <c r="BW90" s="1062"/>
      <c r="BX90" s="1062"/>
      <c r="BY90" s="1062"/>
      <c r="BZ90" s="1062"/>
      <c r="CA90" s="1062"/>
      <c r="CB90" s="1062"/>
      <c r="CC90" s="1062"/>
      <c r="CD90" s="1062"/>
      <c r="CE90" s="1062"/>
      <c r="CF90" s="1062"/>
      <c r="CG90" s="1062"/>
      <c r="CH90" s="1062"/>
      <c r="CI90" s="1062"/>
      <c r="CJ90" s="1062"/>
      <c r="CK90" s="1062"/>
      <c r="CL90" s="1062"/>
      <c r="CM90" s="1062"/>
      <c r="CN90" s="1062"/>
      <c r="CO90" s="1062"/>
      <c r="CP90" s="1062"/>
      <c r="CQ90" s="1062"/>
      <c r="CR90" s="1062"/>
      <c r="CS90" s="1062"/>
      <c r="CT90" s="1062"/>
      <c r="CU90" s="1062"/>
      <c r="CV90" s="1062"/>
      <c r="CW90" s="1062"/>
      <c r="CX90" s="1062"/>
      <c r="CY90" s="1062"/>
      <c r="CZ90" s="1062"/>
      <c r="DA90" s="1062"/>
      <c r="DB90" s="1062"/>
      <c r="DC90" s="1062"/>
      <c r="DD90" s="1062"/>
      <c r="DE90" s="1062"/>
      <c r="DF90" s="1062"/>
      <c r="DG90" s="1062"/>
      <c r="DH90" s="1062"/>
      <c r="DI90" s="1062"/>
      <c r="DJ90" s="1062"/>
      <c r="DK90" s="1062"/>
      <c r="DL90" s="1062"/>
      <c r="DM90" s="1062"/>
      <c r="DN90" s="1062"/>
      <c r="DO90" s="1062"/>
      <c r="DP90" s="1062"/>
      <c r="DQ90" s="1062"/>
      <c r="DR90" s="1062"/>
      <c r="DS90" s="1062"/>
      <c r="DT90" s="1062"/>
      <c r="DU90" s="1062"/>
      <c r="DV90" s="1062"/>
      <c r="DW90" s="1062"/>
      <c r="DX90" s="1062"/>
      <c r="DY90" s="1062"/>
      <c r="DZ90" s="1062"/>
      <c r="EA90" s="1062"/>
      <c r="EB90" s="1062"/>
      <c r="EC90" s="1062"/>
      <c r="ED90" s="1062"/>
      <c r="EE90" s="1062"/>
      <c r="EF90" s="1062"/>
      <c r="EG90" s="1062"/>
      <c r="EH90" s="1062"/>
      <c r="EI90" s="1062"/>
      <c r="EJ90" s="1062"/>
      <c r="EK90" s="1062"/>
      <c r="EL90" s="1062"/>
      <c r="EM90" s="1062"/>
      <c r="EN90" s="1062"/>
      <c r="EO90" s="1062"/>
      <c r="EP90" s="1062"/>
      <c r="EQ90" s="1062"/>
      <c r="ER90" s="1062"/>
      <c r="ES90" s="1062"/>
      <c r="ET90" s="1062"/>
      <c r="EU90" s="1062"/>
      <c r="EV90" s="1062"/>
      <c r="EW90" s="1062"/>
      <c r="EX90" s="1062"/>
      <c r="EY90" s="1062"/>
      <c r="EZ90" s="1062"/>
      <c r="FA90" s="1062"/>
      <c r="FB90" s="1062"/>
      <c r="FC90" s="1062"/>
      <c r="FD90" s="1062"/>
      <c r="FE90" s="1062"/>
      <c r="FF90" s="1062"/>
      <c r="FG90" s="1062"/>
      <c r="FH90" s="1062"/>
      <c r="FI90" s="1062"/>
      <c r="FJ90" s="1062"/>
      <c r="FK90" s="1062"/>
      <c r="FL90" s="1062"/>
      <c r="FM90" s="1062"/>
      <c r="FN90" s="1062"/>
      <c r="FO90" s="1062"/>
      <c r="FP90" s="1062"/>
      <c r="FQ90" s="1062"/>
      <c r="FR90" s="1062"/>
      <c r="FS90" s="1062"/>
      <c r="FT90" s="1062"/>
      <c r="FU90" s="1062"/>
      <c r="FV90" s="1062"/>
      <c r="FW90" s="1062"/>
      <c r="FX90" s="1062"/>
      <c r="FY90" s="1062"/>
      <c r="FZ90" s="1062"/>
      <c r="GA90" s="1062"/>
      <c r="GB90" s="1062"/>
      <c r="GC90" s="1062"/>
      <c r="GD90" s="1062"/>
      <c r="GE90" s="1062"/>
      <c r="GF90" s="1062"/>
      <c r="GG90" s="1062"/>
      <c r="GH90" s="1062"/>
      <c r="GI90" s="1062"/>
      <c r="GJ90" s="1062"/>
      <c r="GK90" s="1062"/>
      <c r="GL90" s="1062"/>
      <c r="GM90" s="1062"/>
      <c r="GN90" s="1062"/>
      <c r="GO90" s="1062"/>
      <c r="GP90" s="1062"/>
      <c r="GQ90" s="1062"/>
      <c r="GR90" s="1062"/>
      <c r="GS90" s="1062"/>
      <c r="GT90" s="1062"/>
      <c r="GU90" s="1062"/>
      <c r="GV90" s="1062"/>
      <c r="GW90" s="1062"/>
      <c r="GX90" s="1062"/>
      <c r="GY90" s="1062"/>
      <c r="GZ90" s="1062"/>
      <c r="HA90" s="1062"/>
      <c r="HB90" s="1062"/>
      <c r="HC90" s="1062"/>
      <c r="HD90" s="1062"/>
      <c r="HE90" s="1062"/>
      <c r="HF90" s="1062"/>
      <c r="HG90" s="1062"/>
      <c r="HH90" s="1062"/>
      <c r="HI90" s="1062"/>
      <c r="HJ90" s="1062"/>
      <c r="HK90" s="1062"/>
      <c r="HL90" s="1062"/>
      <c r="HM90" s="1062"/>
      <c r="HN90" s="1062"/>
      <c r="HO90" s="1062"/>
      <c r="HP90" s="1062"/>
      <c r="HQ90" s="1062"/>
      <c r="HR90" s="1062"/>
      <c r="HS90" s="1062"/>
      <c r="HT90" s="1062"/>
      <c r="HU90" s="1062"/>
      <c r="HV90" s="1062"/>
      <c r="HW90" s="1062"/>
      <c r="HX90" s="1062"/>
      <c r="HY90" s="1062"/>
      <c r="HZ90" s="1062"/>
      <c r="IA90" s="1062"/>
      <c r="IB90" s="1062"/>
      <c r="IC90" s="1062"/>
      <c r="ID90" s="1062"/>
      <c r="IE90" s="1062"/>
      <c r="IF90" s="1062"/>
      <c r="IG90" s="1062"/>
      <c r="IH90" s="1062"/>
      <c r="II90" s="1062"/>
      <c r="IJ90" s="1062"/>
      <c r="IK90" s="1062"/>
      <c r="IL90" s="1062"/>
      <c r="IM90" s="1062"/>
      <c r="IN90" s="1062"/>
      <c r="IO90" s="1062"/>
      <c r="IP90" s="1062"/>
      <c r="IQ90" s="1062"/>
      <c r="IR90" s="1062"/>
      <c r="IS90" s="1062"/>
      <c r="IT90" s="1062"/>
      <c r="IU90" s="1062"/>
      <c r="IV90" s="1062"/>
    </row>
    <row r="91" spans="1:256" ht="16.5" customHeight="1" thickBot="1">
      <c r="A91" s="2"/>
      <c r="B91" s="631"/>
      <c r="C91" s="40"/>
      <c r="D91" s="40"/>
      <c r="E91" s="1087" t="s">
        <v>425</v>
      </c>
      <c r="F91" s="40"/>
      <c r="G91" s="40"/>
      <c r="H91" s="40"/>
      <c r="I91" s="40"/>
      <c r="J91" s="40"/>
      <c r="K91" s="40"/>
      <c r="L91" s="40"/>
      <c r="M91" s="40"/>
      <c r="N91" s="40"/>
      <c r="O91" s="146"/>
      <c r="P91" s="619"/>
      <c r="Q91" s="146"/>
      <c r="R91" s="304"/>
      <c r="S91" s="148"/>
      <c r="T91" s="148"/>
      <c r="U91" s="619"/>
      <c r="V91" s="304"/>
      <c r="W91" s="304"/>
      <c r="X91" s="148"/>
      <c r="Y91" s="602"/>
      <c r="Z91" s="602"/>
      <c r="AA91" s="602"/>
      <c r="AB91" s="602"/>
      <c r="AC91" s="602"/>
      <c r="AD91" s="602"/>
      <c r="AE91" s="602"/>
      <c r="AF91" s="602"/>
      <c r="AG91" s="602"/>
      <c r="AH91" s="602"/>
      <c r="AI91" s="602"/>
      <c r="AJ91" s="602"/>
      <c r="AK91" s="602"/>
      <c r="AL91" s="602"/>
      <c r="AM91" s="602"/>
      <c r="AN91" s="602"/>
      <c r="AO91" s="602"/>
      <c r="AP91" s="602"/>
      <c r="AQ91" s="602"/>
      <c r="AR91" s="602"/>
      <c r="AS91" s="602"/>
      <c r="AT91" s="602"/>
      <c r="AU91" s="602"/>
      <c r="AV91" s="602"/>
      <c r="AW91" s="602"/>
      <c r="AX91" s="602"/>
      <c r="AY91" s="602"/>
      <c r="AZ91" s="602"/>
      <c r="BA91" s="602"/>
      <c r="BB91" s="602"/>
      <c r="BC91" s="602"/>
      <c r="BD91" s="602"/>
      <c r="BE91" s="602"/>
      <c r="BF91" s="602"/>
      <c r="BG91" s="602"/>
      <c r="BH91" s="602"/>
      <c r="BI91" s="602"/>
      <c r="BJ91" s="602"/>
      <c r="BK91" s="602"/>
      <c r="BL91" s="602"/>
      <c r="BM91" s="602"/>
      <c r="BN91" s="602"/>
      <c r="BO91" s="602"/>
      <c r="BP91" s="602"/>
      <c r="BQ91" s="602"/>
      <c r="BR91" s="602"/>
      <c r="BS91" s="602"/>
      <c r="BT91" s="602"/>
      <c r="BU91" s="602"/>
      <c r="BV91" s="602"/>
      <c r="BW91" s="602"/>
      <c r="BX91" s="602"/>
      <c r="BY91" s="602"/>
      <c r="BZ91" s="602"/>
      <c r="CA91" s="602"/>
      <c r="CB91" s="602"/>
      <c r="CC91" s="602"/>
      <c r="CD91" s="602"/>
      <c r="CE91" s="602"/>
      <c r="CF91" s="602"/>
      <c r="CG91" s="602"/>
      <c r="CH91" s="602"/>
      <c r="CI91" s="602"/>
      <c r="CJ91" s="602"/>
      <c r="CK91" s="602"/>
      <c r="CL91" s="602"/>
      <c r="CM91" s="602"/>
      <c r="CN91" s="602"/>
      <c r="CO91" s="602"/>
      <c r="CP91" s="602"/>
      <c r="CQ91" s="602"/>
      <c r="CR91" s="602"/>
      <c r="CS91" s="602"/>
      <c r="CT91" s="602"/>
      <c r="CU91" s="602"/>
      <c r="CV91" s="602"/>
      <c r="CW91" s="602"/>
      <c r="CX91" s="602"/>
      <c r="CY91" s="602"/>
      <c r="CZ91" s="602"/>
      <c r="DA91" s="602"/>
      <c r="DB91" s="602"/>
      <c r="DC91" s="602"/>
      <c r="DD91" s="602"/>
      <c r="DE91" s="602"/>
      <c r="DF91" s="602"/>
      <c r="DG91" s="602"/>
      <c r="DH91" s="602"/>
      <c r="DI91" s="602"/>
      <c r="DJ91" s="602"/>
      <c r="DK91" s="602"/>
      <c r="DL91" s="602"/>
      <c r="DM91" s="602"/>
      <c r="DN91" s="602"/>
      <c r="DO91" s="602"/>
      <c r="DP91" s="602"/>
      <c r="DQ91" s="602"/>
      <c r="DR91" s="602"/>
      <c r="DS91" s="602"/>
      <c r="DT91" s="602"/>
      <c r="DU91" s="602"/>
      <c r="DV91" s="602"/>
      <c r="DW91" s="602"/>
      <c r="DX91" s="602"/>
      <c r="DY91" s="602"/>
      <c r="DZ91" s="602"/>
      <c r="EA91" s="602"/>
      <c r="EB91" s="602"/>
      <c r="EC91" s="602"/>
      <c r="ED91" s="602"/>
      <c r="EE91" s="602"/>
      <c r="EF91" s="602"/>
      <c r="EG91" s="602"/>
      <c r="EH91" s="602"/>
      <c r="EI91" s="602"/>
      <c r="EJ91" s="602"/>
      <c r="EK91" s="602"/>
      <c r="EL91" s="602"/>
      <c r="EM91" s="602"/>
      <c r="EN91" s="602"/>
      <c r="EO91" s="602"/>
      <c r="EP91" s="602"/>
      <c r="EQ91" s="602"/>
      <c r="ER91" s="602"/>
      <c r="ES91" s="602"/>
      <c r="ET91" s="602"/>
      <c r="EU91" s="602"/>
      <c r="EV91" s="602"/>
      <c r="EW91" s="602"/>
      <c r="EX91" s="602"/>
      <c r="EY91" s="602"/>
      <c r="EZ91" s="602"/>
      <c r="FA91" s="602"/>
      <c r="FB91" s="602"/>
      <c r="FC91" s="602"/>
      <c r="FD91" s="602"/>
      <c r="FE91" s="602"/>
      <c r="FF91" s="602"/>
      <c r="FG91" s="602"/>
      <c r="FH91" s="602"/>
      <c r="FI91" s="602"/>
      <c r="FJ91" s="602"/>
      <c r="FK91" s="602"/>
      <c r="FL91" s="602"/>
      <c r="FM91" s="602"/>
      <c r="FN91" s="602"/>
      <c r="FO91" s="602"/>
      <c r="FP91" s="602"/>
      <c r="FQ91" s="602"/>
      <c r="FR91" s="602"/>
      <c r="FS91" s="602"/>
      <c r="FT91" s="602"/>
      <c r="FU91" s="602"/>
      <c r="FV91" s="602"/>
      <c r="FW91" s="602"/>
      <c r="FX91" s="602"/>
      <c r="FY91" s="602"/>
      <c r="FZ91" s="602"/>
      <c r="GA91" s="602"/>
      <c r="GB91" s="602"/>
      <c r="GC91" s="602"/>
      <c r="GD91" s="602"/>
      <c r="GE91" s="602"/>
      <c r="GF91" s="602"/>
      <c r="GG91" s="602"/>
      <c r="GH91" s="602"/>
      <c r="GI91" s="602"/>
      <c r="GJ91" s="602"/>
      <c r="GK91" s="602"/>
      <c r="GL91" s="602"/>
      <c r="GM91" s="602"/>
      <c r="GN91" s="602"/>
      <c r="GO91" s="602"/>
      <c r="GP91" s="602"/>
      <c r="GQ91" s="602"/>
      <c r="GR91" s="602"/>
      <c r="GS91" s="602"/>
      <c r="GT91" s="602"/>
      <c r="GU91" s="602"/>
      <c r="GV91" s="602"/>
      <c r="GW91" s="602"/>
      <c r="GX91" s="602"/>
      <c r="GY91" s="602"/>
      <c r="GZ91" s="602"/>
      <c r="HA91" s="602"/>
      <c r="HB91" s="602"/>
      <c r="HC91" s="602"/>
      <c r="HD91" s="602"/>
      <c r="HE91" s="602"/>
      <c r="HF91" s="602"/>
      <c r="HG91" s="602"/>
      <c r="HH91" s="602"/>
      <c r="HI91" s="602"/>
      <c r="HJ91" s="602"/>
      <c r="HK91" s="602"/>
      <c r="HL91" s="602"/>
      <c r="HM91" s="602"/>
      <c r="HN91" s="602"/>
      <c r="HO91" s="602"/>
      <c r="HP91" s="602"/>
      <c r="HQ91" s="602"/>
      <c r="HR91" s="602"/>
      <c r="HS91" s="602"/>
      <c r="HT91" s="602"/>
      <c r="HU91" s="602"/>
      <c r="HV91" s="602"/>
      <c r="HW91" s="602"/>
      <c r="HX91" s="602"/>
      <c r="HY91" s="602"/>
      <c r="HZ91" s="602"/>
      <c r="IA91" s="602"/>
      <c r="IB91" s="602"/>
      <c r="IC91" s="602"/>
      <c r="ID91" s="602"/>
      <c r="IE91" s="602"/>
      <c r="IF91" s="602"/>
      <c r="IG91" s="602"/>
      <c r="IH91" s="602"/>
      <c r="II91" s="602"/>
      <c r="IJ91" s="602"/>
      <c r="IK91" s="602"/>
      <c r="IL91" s="602"/>
      <c r="IM91" s="602"/>
      <c r="IN91" s="602"/>
      <c r="IO91" s="602"/>
      <c r="IP91" s="602"/>
      <c r="IQ91" s="602"/>
      <c r="IR91" s="602"/>
      <c r="IS91" s="602"/>
      <c r="IT91" s="602"/>
      <c r="IU91" s="602"/>
      <c r="IV91" s="602"/>
    </row>
    <row r="92" spans="1:256" ht="16.5" customHeight="1" thickBot="1">
      <c r="A92" s="2"/>
      <c r="B92" s="168"/>
      <c r="C92" s="38"/>
      <c r="D92" s="42"/>
      <c r="E92" s="979"/>
      <c r="F92" s="978" t="s">
        <v>741</v>
      </c>
      <c r="G92" s="545"/>
      <c r="H92" s="546"/>
      <c r="I92" s="546"/>
      <c r="J92" s="546"/>
      <c r="K92" s="546"/>
      <c r="L92" s="546"/>
      <c r="M92" s="534"/>
      <c r="N92" s="137"/>
      <c r="P92" s="619"/>
      <c r="T92" s="602"/>
      <c r="U92" s="619"/>
    </row>
    <row r="93" spans="1:256" ht="16.5" customHeight="1">
      <c r="A93" s="2"/>
      <c r="B93" s="168"/>
      <c r="C93" s="38"/>
      <c r="D93" s="42"/>
      <c r="E93" s="811"/>
      <c r="F93" s="532"/>
      <c r="G93" s="532"/>
      <c r="H93" s="532"/>
      <c r="I93" s="532"/>
      <c r="J93" s="532"/>
      <c r="K93" s="532" t="s">
        <v>449</v>
      </c>
      <c r="L93" s="1086">
        <f>IF(E92="過半",2)+IF(E92="一部",1)</f>
        <v>0</v>
      </c>
      <c r="M93" s="531" t="s">
        <v>450</v>
      </c>
      <c r="N93" s="137"/>
      <c r="P93" s="619"/>
      <c r="T93" s="602"/>
      <c r="U93" s="619"/>
    </row>
    <row r="94" spans="1:256" s="148" customFormat="1" ht="8.25" customHeight="1">
      <c r="A94" s="55"/>
      <c r="B94" s="168"/>
      <c r="C94" s="611"/>
      <c r="D94" s="313"/>
      <c r="E94" s="313"/>
      <c r="F94" s="2"/>
      <c r="G94" s="2"/>
      <c r="H94" s="2"/>
      <c r="I94" s="2"/>
      <c r="J94" s="2"/>
      <c r="K94" s="2"/>
      <c r="L94" s="2"/>
      <c r="M94" s="2"/>
      <c r="N94" s="154"/>
      <c r="P94" s="588" t="s">
        <v>75</v>
      </c>
      <c r="Q94" s="328" t="s">
        <v>99</v>
      </c>
      <c r="R94" s="5"/>
      <c r="S94" s="5"/>
      <c r="T94" s="136"/>
    </row>
    <row r="95" spans="1:256" s="148" customFormat="1" ht="21" customHeight="1">
      <c r="A95" s="55"/>
      <c r="B95" s="168"/>
      <c r="C95" s="611"/>
      <c r="E95" s="786" t="s">
        <v>3</v>
      </c>
      <c r="F95" s="787"/>
      <c r="G95" s="1242"/>
      <c r="H95" s="1242"/>
      <c r="I95" s="1241"/>
      <c r="J95" s="1243"/>
      <c r="K95" s="1243"/>
      <c r="L95" s="1243"/>
      <c r="M95" s="1244"/>
      <c r="N95" s="154"/>
      <c r="P95" s="619"/>
      <c r="Q95" s="328"/>
      <c r="R95" s="5"/>
      <c r="S95" s="5"/>
      <c r="T95" s="136"/>
      <c r="U95" s="619"/>
      <c r="V95" s="136"/>
      <c r="W95" s="136"/>
      <c r="X95" s="136"/>
      <c r="Y95" s="136"/>
    </row>
    <row r="96" spans="1:256" ht="14.25" customHeight="1">
      <c r="A96" s="2"/>
      <c r="B96" s="631"/>
      <c r="C96" s="40"/>
      <c r="D96" s="40"/>
      <c r="E96" s="40"/>
      <c r="F96" s="40"/>
      <c r="G96" s="40"/>
      <c r="H96" s="40"/>
      <c r="I96" s="40"/>
      <c r="J96" s="40"/>
      <c r="K96" s="40"/>
      <c r="L96" s="40"/>
      <c r="M96" s="40"/>
      <c r="N96" s="40"/>
      <c r="O96" s="146"/>
      <c r="P96" s="619"/>
      <c r="Q96" s="146"/>
      <c r="R96" s="304"/>
      <c r="S96" s="148"/>
      <c r="T96" s="148"/>
      <c r="U96" s="619"/>
      <c r="V96" s="304"/>
      <c r="W96" s="304"/>
      <c r="X96" s="148"/>
      <c r="Y96" s="602"/>
      <c r="Z96" s="602"/>
      <c r="AA96" s="602"/>
      <c r="AB96" s="602"/>
      <c r="AC96" s="602"/>
      <c r="AD96" s="602"/>
      <c r="AE96" s="602"/>
      <c r="AF96" s="602"/>
      <c r="AG96" s="602"/>
      <c r="AH96" s="602"/>
      <c r="AI96" s="602"/>
      <c r="AJ96" s="602"/>
      <c r="AK96" s="602"/>
      <c r="AL96" s="602"/>
      <c r="AM96" s="602"/>
      <c r="AN96" s="602"/>
      <c r="AO96" s="602"/>
      <c r="AP96" s="602"/>
      <c r="AQ96" s="602"/>
      <c r="AR96" s="602"/>
      <c r="AS96" s="602"/>
      <c r="AT96" s="602"/>
      <c r="AU96" s="602"/>
      <c r="AV96" s="602"/>
      <c r="AW96" s="602"/>
      <c r="AX96" s="602"/>
      <c r="AY96" s="602"/>
      <c r="AZ96" s="602"/>
      <c r="BA96" s="602"/>
      <c r="BB96" s="602"/>
      <c r="BC96" s="602"/>
      <c r="BD96" s="602"/>
      <c r="BE96" s="602"/>
      <c r="BF96" s="602"/>
      <c r="BG96" s="602"/>
      <c r="BH96" s="602"/>
      <c r="BI96" s="602"/>
      <c r="BJ96" s="602"/>
      <c r="BK96" s="602"/>
      <c r="BL96" s="602"/>
      <c r="BM96" s="602"/>
      <c r="BN96" s="602"/>
      <c r="BO96" s="602"/>
      <c r="BP96" s="602"/>
      <c r="BQ96" s="602"/>
      <c r="BR96" s="602"/>
      <c r="BS96" s="602"/>
      <c r="BT96" s="602"/>
      <c r="BU96" s="602"/>
      <c r="BV96" s="602"/>
      <c r="BW96" s="602"/>
      <c r="BX96" s="602"/>
      <c r="BY96" s="602"/>
      <c r="BZ96" s="602"/>
      <c r="CA96" s="602"/>
      <c r="CB96" s="602"/>
      <c r="CC96" s="602"/>
      <c r="CD96" s="602"/>
      <c r="CE96" s="602"/>
      <c r="CF96" s="602"/>
      <c r="CG96" s="602"/>
      <c r="CH96" s="602"/>
      <c r="CI96" s="602"/>
      <c r="CJ96" s="602"/>
      <c r="CK96" s="602"/>
      <c r="CL96" s="602"/>
      <c r="CM96" s="602"/>
      <c r="CN96" s="602"/>
      <c r="CO96" s="602"/>
      <c r="CP96" s="602"/>
      <c r="CQ96" s="602"/>
      <c r="CR96" s="602"/>
      <c r="CS96" s="602"/>
      <c r="CT96" s="602"/>
      <c r="CU96" s="602"/>
      <c r="CV96" s="602"/>
      <c r="CW96" s="602"/>
      <c r="CX96" s="602"/>
      <c r="CY96" s="602"/>
      <c r="CZ96" s="602"/>
      <c r="DA96" s="602"/>
      <c r="DB96" s="602"/>
      <c r="DC96" s="602"/>
      <c r="DD96" s="602"/>
      <c r="DE96" s="602"/>
      <c r="DF96" s="602"/>
      <c r="DG96" s="602"/>
      <c r="DH96" s="602"/>
      <c r="DI96" s="602"/>
      <c r="DJ96" s="602"/>
      <c r="DK96" s="602"/>
      <c r="DL96" s="602"/>
      <c r="DM96" s="602"/>
      <c r="DN96" s="602"/>
      <c r="DO96" s="602"/>
      <c r="DP96" s="602"/>
      <c r="DQ96" s="602"/>
      <c r="DR96" s="602"/>
      <c r="DS96" s="602"/>
      <c r="DT96" s="602"/>
      <c r="DU96" s="602"/>
      <c r="DV96" s="602"/>
      <c r="DW96" s="602"/>
      <c r="DX96" s="602"/>
      <c r="DY96" s="602"/>
      <c r="DZ96" s="602"/>
      <c r="EA96" s="602"/>
      <c r="EB96" s="602"/>
      <c r="EC96" s="602"/>
      <c r="ED96" s="602"/>
      <c r="EE96" s="602"/>
      <c r="EF96" s="602"/>
      <c r="EG96" s="602"/>
      <c r="EH96" s="602"/>
      <c r="EI96" s="602"/>
      <c r="EJ96" s="602"/>
      <c r="EK96" s="602"/>
      <c r="EL96" s="602"/>
      <c r="EM96" s="602"/>
      <c r="EN96" s="602"/>
      <c r="EO96" s="602"/>
      <c r="EP96" s="602"/>
      <c r="EQ96" s="602"/>
      <c r="ER96" s="602"/>
      <c r="ES96" s="602"/>
      <c r="ET96" s="602"/>
      <c r="EU96" s="602"/>
      <c r="EV96" s="602"/>
      <c r="EW96" s="602"/>
      <c r="EX96" s="602"/>
      <c r="EY96" s="602"/>
      <c r="EZ96" s="602"/>
      <c r="FA96" s="602"/>
      <c r="FB96" s="602"/>
      <c r="FC96" s="602"/>
      <c r="FD96" s="602"/>
      <c r="FE96" s="602"/>
      <c r="FF96" s="602"/>
      <c r="FG96" s="602"/>
      <c r="FH96" s="602"/>
      <c r="FI96" s="602"/>
      <c r="FJ96" s="602"/>
      <c r="FK96" s="602"/>
      <c r="FL96" s="602"/>
      <c r="FM96" s="602"/>
      <c r="FN96" s="602"/>
      <c r="FO96" s="602"/>
      <c r="FP96" s="602"/>
      <c r="FQ96" s="602"/>
      <c r="FR96" s="602"/>
      <c r="FS96" s="602"/>
      <c r="FT96" s="602"/>
      <c r="FU96" s="602"/>
      <c r="FV96" s="602"/>
      <c r="FW96" s="602"/>
      <c r="FX96" s="602"/>
      <c r="FY96" s="602"/>
      <c r="FZ96" s="602"/>
      <c r="GA96" s="602"/>
      <c r="GB96" s="602"/>
      <c r="GC96" s="602"/>
      <c r="GD96" s="602"/>
      <c r="GE96" s="602"/>
      <c r="GF96" s="602"/>
      <c r="GG96" s="602"/>
      <c r="GH96" s="602"/>
      <c r="GI96" s="602"/>
      <c r="GJ96" s="602"/>
      <c r="GK96" s="602"/>
      <c r="GL96" s="602"/>
      <c r="GM96" s="602"/>
      <c r="GN96" s="602"/>
      <c r="GO96" s="602"/>
      <c r="GP96" s="602"/>
      <c r="GQ96" s="602"/>
      <c r="GR96" s="602"/>
      <c r="GS96" s="602"/>
      <c r="GT96" s="602"/>
      <c r="GU96" s="602"/>
      <c r="GV96" s="602"/>
      <c r="GW96" s="602"/>
      <c r="GX96" s="602"/>
      <c r="GY96" s="602"/>
      <c r="GZ96" s="602"/>
      <c r="HA96" s="602"/>
      <c r="HB96" s="602"/>
      <c r="HC96" s="602"/>
      <c r="HD96" s="602"/>
      <c r="HE96" s="602"/>
      <c r="HF96" s="602"/>
      <c r="HG96" s="602"/>
      <c r="HH96" s="602"/>
      <c r="HI96" s="602"/>
      <c r="HJ96" s="602"/>
      <c r="HK96" s="602"/>
      <c r="HL96" s="602"/>
      <c r="HM96" s="602"/>
      <c r="HN96" s="602"/>
      <c r="HO96" s="602"/>
      <c r="HP96" s="602"/>
      <c r="HQ96" s="602"/>
      <c r="HR96" s="602"/>
      <c r="HS96" s="602"/>
      <c r="HT96" s="602"/>
      <c r="HU96" s="602"/>
      <c r="HV96" s="602"/>
      <c r="HW96" s="602"/>
      <c r="HX96" s="602"/>
      <c r="HY96" s="602"/>
      <c r="HZ96" s="602"/>
      <c r="IA96" s="602"/>
      <c r="IB96" s="602"/>
      <c r="IC96" s="602"/>
      <c r="ID96" s="602"/>
      <c r="IE96" s="602"/>
      <c r="IF96" s="602"/>
      <c r="IG96" s="602"/>
      <c r="IH96" s="602"/>
      <c r="II96" s="602"/>
      <c r="IJ96" s="602"/>
      <c r="IK96" s="602"/>
      <c r="IL96" s="602"/>
      <c r="IM96" s="602"/>
      <c r="IN96" s="602"/>
      <c r="IO96" s="602"/>
      <c r="IP96" s="602"/>
      <c r="IQ96" s="602"/>
      <c r="IR96" s="602"/>
      <c r="IS96" s="602"/>
      <c r="IT96" s="602"/>
      <c r="IU96" s="602"/>
      <c r="IV96" s="602"/>
    </row>
    <row r="97" spans="1:256" s="331" customFormat="1" ht="14.25" customHeight="1">
      <c r="A97" s="24"/>
      <c r="B97" s="1090">
        <v>1.4</v>
      </c>
      <c r="C97" s="151" t="s">
        <v>595</v>
      </c>
      <c r="D97" s="151"/>
      <c r="E97" s="154"/>
      <c r="F97" s="314"/>
      <c r="G97" s="154"/>
      <c r="H97" s="154"/>
      <c r="I97" s="40"/>
      <c r="J97" s="40"/>
      <c r="K97" s="40"/>
      <c r="L97" s="40"/>
      <c r="M97" s="40"/>
      <c r="N97" s="24"/>
      <c r="O97" s="136"/>
      <c r="V97" s="136"/>
      <c r="W97" s="136"/>
      <c r="X97" s="136"/>
      <c r="Y97" s="136"/>
    </row>
    <row r="98" spans="1:256" s="331" customFormat="1" ht="14.25" customHeight="1" thickBot="1">
      <c r="A98" s="24"/>
      <c r="B98" s="567"/>
      <c r="C98" s="151"/>
      <c r="D98" s="151"/>
      <c r="E98" s="154"/>
      <c r="F98" s="314"/>
      <c r="G98" s="154"/>
      <c r="H98" s="154"/>
      <c r="I98" s="40"/>
      <c r="J98" s="40"/>
      <c r="K98" s="40"/>
      <c r="L98" s="40"/>
      <c r="M98" s="40"/>
      <c r="N98" s="24"/>
      <c r="O98" s="136"/>
      <c r="V98" s="136"/>
      <c r="W98" s="136"/>
      <c r="X98" s="136"/>
      <c r="Y98" s="136"/>
    </row>
    <row r="99" spans="1:256" ht="16.5" customHeight="1" thickBot="1">
      <c r="A99" s="2"/>
      <c r="B99" s="631"/>
      <c r="C99" s="40"/>
      <c r="D99" s="1079">
        <f>IF(D100+L118&lt;=5,D100+L118,5)</f>
        <v>3</v>
      </c>
      <c r="E99" s="151"/>
      <c r="F99" s="154"/>
      <c r="G99" s="138"/>
      <c r="H99" s="138"/>
      <c r="I99" s="40"/>
      <c r="J99" s="40"/>
      <c r="K99" s="40"/>
      <c r="L99" s="180" t="s">
        <v>2</v>
      </c>
      <c r="M99" s="177">
        <f>重み!M70</f>
        <v>0.2</v>
      </c>
      <c r="N99" s="2"/>
      <c r="O99" s="148">
        <f>C99</f>
        <v>0</v>
      </c>
      <c r="P99" s="148">
        <f>D99</f>
        <v>3</v>
      </c>
      <c r="Q99" s="148">
        <f>E99</f>
        <v>0</v>
      </c>
      <c r="R99" s="148">
        <f>F99</f>
        <v>0</v>
      </c>
      <c r="S99" s="148" t="str">
        <f>L99</f>
        <v>重み係数＝</v>
      </c>
      <c r="T99" s="148">
        <f>M99</f>
        <v>0.2</v>
      </c>
      <c r="U99" s="148">
        <f>I99</f>
        <v>0</v>
      </c>
      <c r="V99" s="148">
        <f>J99</f>
        <v>0</v>
      </c>
      <c r="W99" s="148">
        <f>K99</f>
        <v>0</v>
      </c>
      <c r="X99" s="148" t="e">
        <f>#REF!</f>
        <v>#REF!</v>
      </c>
      <c r="Y99" s="136"/>
    </row>
    <row r="100" spans="1:256" ht="16.5" customHeight="1" thickBot="1">
      <c r="A100" s="2"/>
      <c r="B100" s="631"/>
      <c r="C100" s="40"/>
      <c r="D100" s="1077">
        <f>IF(M115&lt;0.4,1,IF(M115&lt;0.6,3,IF(M115&lt;0.8,4,5)))</f>
        <v>3</v>
      </c>
      <c r="E100" s="2349" t="s">
        <v>467</v>
      </c>
      <c r="F100" s="2350"/>
      <c r="G100" s="2350"/>
      <c r="H100" s="2350"/>
      <c r="I100" s="2350"/>
      <c r="J100" s="2350"/>
      <c r="K100" s="2350"/>
      <c r="L100" s="2350"/>
      <c r="M100" s="2351"/>
      <c r="N100" s="2"/>
      <c r="O100" s="146"/>
      <c r="P100" s="148"/>
      <c r="Q100" s="146"/>
      <c r="R100" s="148"/>
      <c r="S100" s="148"/>
      <c r="T100" s="148"/>
      <c r="U100" s="148"/>
      <c r="V100" s="148"/>
      <c r="W100" s="148"/>
      <c r="X100" s="148"/>
    </row>
    <row r="101" spans="1:256" ht="16.5" customHeight="1">
      <c r="A101" s="2"/>
      <c r="B101" s="631"/>
      <c r="C101" s="40"/>
      <c r="D101" s="36" t="str">
        <f>IF(D100=$Q$18,$R$13,IF(ROUNDDOWN(D100,0)=$Q$13,$S$13,$R$13))</f>
        <v>　レベル　1</v>
      </c>
      <c r="E101" s="526" t="s">
        <v>380</v>
      </c>
      <c r="F101" s="584"/>
      <c r="G101" s="584"/>
      <c r="H101" s="584"/>
      <c r="I101" s="584"/>
      <c r="J101" s="584"/>
      <c r="K101" s="584"/>
      <c r="L101" s="584"/>
      <c r="M101" s="585"/>
      <c r="N101" s="2"/>
      <c r="O101" s="146"/>
      <c r="P101" s="588">
        <f>$Q$13</f>
        <v>1</v>
      </c>
      <c r="Q101" s="146"/>
      <c r="R101" s="304"/>
      <c r="S101" s="148"/>
      <c r="T101" s="148"/>
      <c r="U101" s="588">
        <f>$Q$13</f>
        <v>1</v>
      </c>
      <c r="V101" s="304"/>
      <c r="W101" s="304"/>
      <c r="X101" s="148"/>
    </row>
    <row r="102" spans="1:256" ht="16.5" customHeight="1">
      <c r="A102" s="2"/>
      <c r="B102" s="631"/>
      <c r="C102" s="40"/>
      <c r="D102" s="39" t="str">
        <f>IF(D100=$Q$18,$R$14,IF(ROUNDDOWN(D100,0)=$Q$14,$S$14,$R$14))</f>
        <v>　レベル　2</v>
      </c>
      <c r="E102" s="527" t="s">
        <v>739</v>
      </c>
      <c r="F102" s="586"/>
      <c r="G102" s="586"/>
      <c r="H102" s="586"/>
      <c r="I102" s="586"/>
      <c r="J102" s="586"/>
      <c r="K102" s="586"/>
      <c r="L102" s="586"/>
      <c r="M102" s="587"/>
      <c r="N102" s="2"/>
      <c r="O102" s="146"/>
      <c r="P102" s="588" t="s">
        <v>62</v>
      </c>
      <c r="Q102" s="146"/>
      <c r="R102" s="304"/>
      <c r="S102" s="148"/>
      <c r="T102" s="148"/>
      <c r="U102" s="588">
        <f>$Q$14</f>
        <v>2</v>
      </c>
      <c r="V102" s="304"/>
      <c r="W102" s="304"/>
      <c r="X102" s="148"/>
    </row>
    <row r="103" spans="1:256" ht="16.5" customHeight="1">
      <c r="A103" s="2"/>
      <c r="B103" s="631"/>
      <c r="C103" s="40"/>
      <c r="D103" s="39" t="str">
        <f>IF(D100=$Q$18,$R$15,IF(ROUNDDOWN(D100,0)=$Q$15,$S$15,$R$15))</f>
        <v>■レベル　3</v>
      </c>
      <c r="E103" s="527" t="s">
        <v>24</v>
      </c>
      <c r="F103" s="586"/>
      <c r="G103" s="586"/>
      <c r="H103" s="586"/>
      <c r="I103" s="586"/>
      <c r="J103" s="586"/>
      <c r="K103" s="586"/>
      <c r="L103" s="586"/>
      <c r="M103" s="587"/>
      <c r="N103" s="2"/>
      <c r="O103" s="146"/>
      <c r="P103" s="588">
        <f>$Q$15</f>
        <v>3</v>
      </c>
      <c r="Q103" s="146"/>
      <c r="R103" s="304"/>
      <c r="S103" s="148"/>
      <c r="T103" s="148"/>
      <c r="U103" s="588">
        <f>$Q$15</f>
        <v>3</v>
      </c>
      <c r="V103" s="304"/>
      <c r="W103" s="304"/>
      <c r="X103" s="148"/>
    </row>
    <row r="104" spans="1:256" ht="16.5" customHeight="1">
      <c r="A104" s="2"/>
      <c r="B104" s="631"/>
      <c r="C104" s="40"/>
      <c r="D104" s="39" t="str">
        <f>IF(D100=$Q$18,$R$16,IF(ROUNDDOWN(D100,0)=$Q$16,$S$16,$R$16))</f>
        <v>　レベル　4</v>
      </c>
      <c r="E104" s="539" t="s">
        <v>25</v>
      </c>
      <c r="F104" s="589"/>
      <c r="G104" s="589"/>
      <c r="H104" s="589"/>
      <c r="I104" s="589"/>
      <c r="J104" s="589"/>
      <c r="K104" s="589"/>
      <c r="L104" s="589"/>
      <c r="M104" s="590"/>
      <c r="N104" s="2"/>
      <c r="O104" s="146"/>
      <c r="P104" s="588">
        <f>$Q$16</f>
        <v>4</v>
      </c>
      <c r="Q104" s="146"/>
      <c r="R104" s="304"/>
      <c r="S104" s="148"/>
      <c r="T104" s="148"/>
      <c r="U104" s="588">
        <f>$Q$16</f>
        <v>4</v>
      </c>
      <c r="V104" s="304"/>
      <c r="W104" s="304"/>
      <c r="X104" s="148"/>
    </row>
    <row r="105" spans="1:256" ht="16.5" customHeight="1">
      <c r="A105" s="2"/>
      <c r="B105" s="631"/>
      <c r="C105" s="40"/>
      <c r="D105" s="37" t="str">
        <f>IF(D100=$Q$18,$R$17,IF(ROUNDDOWN(D100,0)=$Q$17,$S$17,$R$17))</f>
        <v>　レベル　5</v>
      </c>
      <c r="E105" s="565" t="s">
        <v>26</v>
      </c>
      <c r="F105" s="591"/>
      <c r="G105" s="591"/>
      <c r="H105" s="591"/>
      <c r="I105" s="591"/>
      <c r="J105" s="591"/>
      <c r="K105" s="591"/>
      <c r="L105" s="591"/>
      <c r="M105" s="592"/>
      <c r="N105" s="2"/>
      <c r="O105" s="146"/>
      <c r="P105" s="588">
        <f>$Q$17</f>
        <v>5</v>
      </c>
      <c r="Q105" s="146"/>
      <c r="R105" s="304"/>
      <c r="S105" s="148"/>
      <c r="T105" s="148"/>
      <c r="U105" s="588">
        <f>$Q$17</f>
        <v>5</v>
      </c>
      <c r="V105" s="304"/>
      <c r="W105" s="304"/>
      <c r="X105" s="148"/>
    </row>
    <row r="106" spans="1:256" ht="16.5" customHeight="1">
      <c r="A106" s="2"/>
      <c r="B106" s="631"/>
      <c r="C106" s="40"/>
      <c r="D106" s="40"/>
      <c r="E106" s="156" t="s">
        <v>475</v>
      </c>
      <c r="F106" s="32"/>
      <c r="G106" s="32"/>
      <c r="H106" s="32"/>
      <c r="I106" s="32"/>
      <c r="J106" s="32"/>
      <c r="K106" s="32"/>
      <c r="L106" s="154"/>
      <c r="M106" s="154"/>
      <c r="N106" s="40"/>
      <c r="O106" s="146"/>
      <c r="P106" s="588" t="s">
        <v>75</v>
      </c>
      <c r="Q106" s="146"/>
      <c r="R106" s="304"/>
      <c r="S106" s="148"/>
      <c r="T106" s="148"/>
      <c r="U106" s="588" t="str">
        <f>$Q$18</f>
        <v>対象外</v>
      </c>
      <c r="V106" s="304"/>
      <c r="W106" s="304"/>
      <c r="X106" s="148"/>
      <c r="Y106" s="602"/>
      <c r="Z106" s="602"/>
      <c r="AA106" s="602"/>
      <c r="AB106" s="602"/>
      <c r="AC106" s="602"/>
      <c r="AD106" s="602"/>
      <c r="AE106" s="602"/>
      <c r="AF106" s="602"/>
      <c r="AG106" s="602"/>
      <c r="AH106" s="602"/>
      <c r="AI106" s="602"/>
      <c r="AJ106" s="602"/>
      <c r="AK106" s="602"/>
      <c r="AL106" s="602"/>
      <c r="AM106" s="602"/>
      <c r="AN106" s="602"/>
      <c r="AO106" s="602"/>
      <c r="AP106" s="602"/>
      <c r="AQ106" s="602"/>
      <c r="AR106" s="602"/>
      <c r="AS106" s="602"/>
      <c r="AT106" s="602"/>
      <c r="AU106" s="602"/>
      <c r="AV106" s="602"/>
      <c r="AW106" s="602"/>
      <c r="AX106" s="602"/>
      <c r="AY106" s="602"/>
      <c r="AZ106" s="602"/>
      <c r="BA106" s="602"/>
      <c r="BB106" s="602"/>
      <c r="BC106" s="602"/>
      <c r="BD106" s="602"/>
      <c r="BE106" s="602"/>
      <c r="BF106" s="602"/>
      <c r="BG106" s="602"/>
      <c r="BH106" s="602"/>
      <c r="BI106" s="602"/>
      <c r="BJ106" s="602"/>
      <c r="BK106" s="602"/>
      <c r="BL106" s="602"/>
      <c r="BM106" s="602"/>
      <c r="BN106" s="602"/>
      <c r="BO106" s="602"/>
      <c r="BP106" s="602"/>
      <c r="BQ106" s="602"/>
      <c r="BR106" s="602"/>
      <c r="BS106" s="602"/>
      <c r="BT106" s="602"/>
      <c r="BU106" s="602"/>
      <c r="BV106" s="602"/>
      <c r="BW106" s="602"/>
      <c r="BX106" s="602"/>
      <c r="BY106" s="602"/>
      <c r="BZ106" s="602"/>
      <c r="CA106" s="602"/>
      <c r="CB106" s="602"/>
      <c r="CC106" s="602"/>
      <c r="CD106" s="602"/>
      <c r="CE106" s="602"/>
      <c r="CF106" s="602"/>
      <c r="CG106" s="602"/>
      <c r="CH106" s="602"/>
      <c r="CI106" s="602"/>
      <c r="CJ106" s="602"/>
      <c r="CK106" s="602"/>
      <c r="CL106" s="602"/>
      <c r="CM106" s="602"/>
      <c r="CN106" s="602"/>
      <c r="CO106" s="602"/>
      <c r="CP106" s="602"/>
      <c r="CQ106" s="602"/>
      <c r="CR106" s="602"/>
      <c r="CS106" s="602"/>
      <c r="CT106" s="602"/>
      <c r="CU106" s="602"/>
      <c r="CV106" s="602"/>
      <c r="CW106" s="602"/>
      <c r="CX106" s="602"/>
      <c r="CY106" s="602"/>
      <c r="CZ106" s="602"/>
      <c r="DA106" s="602"/>
      <c r="DB106" s="602"/>
      <c r="DC106" s="602"/>
      <c r="DD106" s="602"/>
      <c r="DE106" s="602"/>
      <c r="DF106" s="602"/>
      <c r="DG106" s="602"/>
      <c r="DH106" s="602"/>
      <c r="DI106" s="602"/>
      <c r="DJ106" s="602"/>
      <c r="DK106" s="602"/>
      <c r="DL106" s="602"/>
      <c r="DM106" s="602"/>
      <c r="DN106" s="602"/>
      <c r="DO106" s="602"/>
      <c r="DP106" s="602"/>
      <c r="DQ106" s="602"/>
      <c r="DR106" s="602"/>
      <c r="DS106" s="602"/>
      <c r="DT106" s="602"/>
      <c r="DU106" s="602"/>
      <c r="DV106" s="602"/>
      <c r="DW106" s="602"/>
      <c r="DX106" s="602"/>
      <c r="DY106" s="602"/>
      <c r="DZ106" s="602"/>
      <c r="EA106" s="602"/>
      <c r="EB106" s="602"/>
      <c r="EC106" s="602"/>
      <c r="ED106" s="602"/>
      <c r="EE106" s="602"/>
      <c r="EF106" s="602"/>
      <c r="EG106" s="602"/>
      <c r="EH106" s="602"/>
      <c r="EI106" s="602"/>
      <c r="EJ106" s="602"/>
      <c r="EK106" s="602"/>
      <c r="EL106" s="602"/>
      <c r="EM106" s="602"/>
      <c r="EN106" s="602"/>
      <c r="EO106" s="602"/>
      <c r="EP106" s="602"/>
      <c r="EQ106" s="602"/>
      <c r="ER106" s="602"/>
      <c r="ES106" s="602"/>
      <c r="ET106" s="602"/>
      <c r="EU106" s="602"/>
      <c r="EV106" s="602"/>
      <c r="EW106" s="602"/>
      <c r="EX106" s="602"/>
      <c r="EY106" s="602"/>
      <c r="EZ106" s="602"/>
      <c r="FA106" s="602"/>
      <c r="FB106" s="602"/>
      <c r="FC106" s="602"/>
      <c r="FD106" s="602"/>
      <c r="FE106" s="602"/>
      <c r="FF106" s="602"/>
      <c r="FG106" s="602"/>
      <c r="FH106" s="602"/>
      <c r="FI106" s="602"/>
      <c r="FJ106" s="602"/>
      <c r="FK106" s="602"/>
      <c r="FL106" s="602"/>
      <c r="FM106" s="602"/>
      <c r="FN106" s="602"/>
      <c r="FO106" s="602"/>
      <c r="FP106" s="602"/>
      <c r="FQ106" s="602"/>
      <c r="FR106" s="602"/>
      <c r="FS106" s="602"/>
      <c r="FT106" s="602"/>
      <c r="FU106" s="602"/>
      <c r="FV106" s="602"/>
      <c r="FW106" s="602"/>
      <c r="FX106" s="602"/>
      <c r="FY106" s="602"/>
      <c r="FZ106" s="602"/>
      <c r="GA106" s="602"/>
      <c r="GB106" s="602"/>
      <c r="GC106" s="602"/>
      <c r="GD106" s="602"/>
      <c r="GE106" s="602"/>
      <c r="GF106" s="602"/>
      <c r="GG106" s="602"/>
      <c r="GH106" s="602"/>
      <c r="GI106" s="602"/>
      <c r="GJ106" s="602"/>
      <c r="GK106" s="602"/>
      <c r="GL106" s="602"/>
      <c r="GM106" s="602"/>
      <c r="GN106" s="602"/>
      <c r="GO106" s="602"/>
      <c r="GP106" s="602"/>
      <c r="GQ106" s="602"/>
      <c r="GR106" s="602"/>
      <c r="GS106" s="602"/>
      <c r="GT106" s="602"/>
      <c r="GU106" s="602"/>
      <c r="GV106" s="602"/>
      <c r="GW106" s="602"/>
      <c r="GX106" s="602"/>
      <c r="GY106" s="602"/>
      <c r="GZ106" s="602"/>
      <c r="HA106" s="602"/>
      <c r="HB106" s="602"/>
      <c r="HC106" s="602"/>
      <c r="HD106" s="602"/>
      <c r="HE106" s="602"/>
      <c r="HF106" s="602"/>
      <c r="HG106" s="602"/>
      <c r="HH106" s="602"/>
      <c r="HI106" s="602"/>
      <c r="HJ106" s="602"/>
      <c r="HK106" s="602"/>
      <c r="HL106" s="602"/>
      <c r="HM106" s="602"/>
      <c r="HN106" s="602"/>
      <c r="HO106" s="602"/>
      <c r="HP106" s="602"/>
      <c r="HQ106" s="602"/>
      <c r="HR106" s="602"/>
      <c r="HS106" s="602"/>
      <c r="HT106" s="602"/>
      <c r="HU106" s="602"/>
      <c r="HV106" s="602"/>
      <c r="HW106" s="602"/>
      <c r="HX106" s="602"/>
      <c r="HY106" s="602"/>
      <c r="HZ106" s="602"/>
      <c r="IA106" s="602"/>
      <c r="IB106" s="602"/>
      <c r="IC106" s="602"/>
      <c r="ID106" s="602"/>
      <c r="IE106" s="602"/>
      <c r="IF106" s="602"/>
      <c r="IG106" s="602"/>
      <c r="IH106" s="602"/>
      <c r="II106" s="602"/>
      <c r="IJ106" s="602"/>
      <c r="IK106" s="602"/>
      <c r="IL106" s="602"/>
      <c r="IM106" s="602"/>
      <c r="IN106" s="602"/>
      <c r="IO106" s="602"/>
      <c r="IP106" s="602"/>
      <c r="IQ106" s="602"/>
      <c r="IR106" s="602"/>
      <c r="IS106" s="602"/>
      <c r="IT106" s="602"/>
      <c r="IU106" s="602"/>
      <c r="IV106" s="602"/>
    </row>
    <row r="107" spans="1:256" ht="16.5" customHeight="1">
      <c r="A107" s="2"/>
      <c r="B107" s="631"/>
      <c r="C107" s="40"/>
      <c r="D107" s="40"/>
      <c r="E107" s="144" t="s">
        <v>394</v>
      </c>
      <c r="F107" s="578" t="s">
        <v>85</v>
      </c>
      <c r="G107" s="549" t="s">
        <v>91</v>
      </c>
      <c r="H107" s="550"/>
      <c r="I107" s="550"/>
      <c r="J107" s="551"/>
      <c r="K107" s="511"/>
      <c r="L107" s="374" t="s">
        <v>948</v>
      </c>
      <c r="M107" s="512"/>
      <c r="N107" s="40"/>
      <c r="O107" s="146"/>
      <c r="P107" s="619"/>
      <c r="Q107" s="146"/>
      <c r="R107" s="304"/>
      <c r="S107" s="148"/>
      <c r="T107" s="148"/>
      <c r="U107" s="619"/>
      <c r="V107" s="304"/>
      <c r="W107" s="304"/>
      <c r="X107" s="148"/>
      <c r="Y107" s="602"/>
      <c r="Z107" s="602"/>
      <c r="AA107" s="602"/>
      <c r="AB107" s="602"/>
      <c r="AC107" s="602"/>
      <c r="AD107" s="602"/>
      <c r="AE107" s="602"/>
      <c r="AF107" s="602"/>
      <c r="AG107" s="602"/>
      <c r="AH107" s="602"/>
      <c r="AI107" s="602"/>
      <c r="AJ107" s="602"/>
      <c r="AK107" s="602"/>
      <c r="AL107" s="602"/>
      <c r="AM107" s="602"/>
      <c r="AN107" s="602"/>
      <c r="AO107" s="602"/>
      <c r="AP107" s="602"/>
      <c r="AQ107" s="602"/>
      <c r="AR107" s="602"/>
      <c r="AS107" s="602"/>
      <c r="AT107" s="602"/>
      <c r="AU107" s="602"/>
      <c r="AV107" s="602"/>
      <c r="AW107" s="602"/>
      <c r="AX107" s="602"/>
      <c r="AY107" s="602"/>
      <c r="AZ107" s="602"/>
      <c r="BA107" s="602"/>
      <c r="BB107" s="602"/>
      <c r="BC107" s="602"/>
      <c r="BD107" s="602"/>
      <c r="BE107" s="602"/>
      <c r="BF107" s="602"/>
      <c r="BG107" s="602"/>
      <c r="BH107" s="602"/>
      <c r="BI107" s="602"/>
      <c r="BJ107" s="602"/>
      <c r="BK107" s="602"/>
      <c r="BL107" s="602"/>
      <c r="BM107" s="602"/>
      <c r="BN107" s="602"/>
      <c r="BO107" s="602"/>
      <c r="BP107" s="602"/>
      <c r="BQ107" s="602"/>
      <c r="BR107" s="602"/>
      <c r="BS107" s="602"/>
      <c r="BT107" s="602"/>
      <c r="BU107" s="602"/>
      <c r="BV107" s="602"/>
      <c r="BW107" s="602"/>
      <c r="BX107" s="602"/>
      <c r="BY107" s="602"/>
      <c r="BZ107" s="602"/>
      <c r="CA107" s="602"/>
      <c r="CB107" s="602"/>
      <c r="CC107" s="602"/>
      <c r="CD107" s="602"/>
      <c r="CE107" s="602"/>
      <c r="CF107" s="602"/>
      <c r="CG107" s="602"/>
      <c r="CH107" s="602"/>
      <c r="CI107" s="602"/>
      <c r="CJ107" s="602"/>
      <c r="CK107" s="602"/>
      <c r="CL107" s="602"/>
      <c r="CM107" s="602"/>
      <c r="CN107" s="602"/>
      <c r="CO107" s="602"/>
      <c r="CP107" s="602"/>
      <c r="CQ107" s="602"/>
      <c r="CR107" s="602"/>
      <c r="CS107" s="602"/>
      <c r="CT107" s="602"/>
      <c r="CU107" s="602"/>
      <c r="CV107" s="602"/>
      <c r="CW107" s="602"/>
      <c r="CX107" s="602"/>
      <c r="CY107" s="602"/>
      <c r="CZ107" s="602"/>
      <c r="DA107" s="602"/>
      <c r="DB107" s="602"/>
      <c r="DC107" s="602"/>
      <c r="DD107" s="602"/>
      <c r="DE107" s="602"/>
      <c r="DF107" s="602"/>
      <c r="DG107" s="602"/>
      <c r="DH107" s="602"/>
      <c r="DI107" s="602"/>
      <c r="DJ107" s="602"/>
      <c r="DK107" s="602"/>
      <c r="DL107" s="602"/>
      <c r="DM107" s="602"/>
      <c r="DN107" s="602"/>
      <c r="DO107" s="602"/>
      <c r="DP107" s="602"/>
      <c r="DQ107" s="602"/>
      <c r="DR107" s="602"/>
      <c r="DS107" s="602"/>
      <c r="DT107" s="602"/>
      <c r="DU107" s="602"/>
      <c r="DV107" s="602"/>
      <c r="DW107" s="602"/>
      <c r="DX107" s="602"/>
      <c r="DY107" s="602"/>
      <c r="DZ107" s="602"/>
      <c r="EA107" s="602"/>
      <c r="EB107" s="602"/>
      <c r="EC107" s="602"/>
      <c r="ED107" s="602"/>
      <c r="EE107" s="602"/>
      <c r="EF107" s="602"/>
      <c r="EG107" s="602"/>
      <c r="EH107" s="602"/>
      <c r="EI107" s="602"/>
      <c r="EJ107" s="602"/>
      <c r="EK107" s="602"/>
      <c r="EL107" s="602"/>
      <c r="EM107" s="602"/>
      <c r="EN107" s="602"/>
      <c r="EO107" s="602"/>
      <c r="EP107" s="602"/>
      <c r="EQ107" s="602"/>
      <c r="ER107" s="602"/>
      <c r="ES107" s="602"/>
      <c r="ET107" s="602"/>
      <c r="EU107" s="602"/>
      <c r="EV107" s="602"/>
      <c r="EW107" s="602"/>
      <c r="EX107" s="602"/>
      <c r="EY107" s="602"/>
      <c r="EZ107" s="602"/>
      <c r="FA107" s="602"/>
      <c r="FB107" s="602"/>
      <c r="FC107" s="602"/>
      <c r="FD107" s="602"/>
      <c r="FE107" s="602"/>
      <c r="FF107" s="602"/>
      <c r="FG107" s="602"/>
      <c r="FH107" s="602"/>
      <c r="FI107" s="602"/>
      <c r="FJ107" s="602"/>
      <c r="FK107" s="602"/>
      <c r="FL107" s="602"/>
      <c r="FM107" s="602"/>
      <c r="FN107" s="602"/>
      <c r="FO107" s="602"/>
      <c r="FP107" s="602"/>
      <c r="FQ107" s="602"/>
      <c r="FR107" s="602"/>
      <c r="FS107" s="602"/>
      <c r="FT107" s="602"/>
      <c r="FU107" s="602"/>
      <c r="FV107" s="602"/>
      <c r="FW107" s="602"/>
      <c r="FX107" s="602"/>
      <c r="FY107" s="602"/>
      <c r="FZ107" s="602"/>
      <c r="GA107" s="602"/>
      <c r="GB107" s="602"/>
      <c r="GC107" s="602"/>
      <c r="GD107" s="602"/>
      <c r="GE107" s="602"/>
      <c r="GF107" s="602"/>
      <c r="GG107" s="602"/>
      <c r="GH107" s="602"/>
      <c r="GI107" s="602"/>
      <c r="GJ107" s="602"/>
      <c r="GK107" s="602"/>
      <c r="GL107" s="602"/>
      <c r="GM107" s="602"/>
      <c r="GN107" s="602"/>
      <c r="GO107" s="602"/>
      <c r="GP107" s="602"/>
      <c r="GQ107" s="602"/>
      <c r="GR107" s="602"/>
      <c r="GS107" s="602"/>
      <c r="GT107" s="602"/>
      <c r="GU107" s="602"/>
      <c r="GV107" s="602"/>
      <c r="GW107" s="602"/>
      <c r="GX107" s="602"/>
      <c r="GY107" s="602"/>
      <c r="GZ107" s="602"/>
      <c r="HA107" s="602"/>
      <c r="HB107" s="602"/>
      <c r="HC107" s="602"/>
      <c r="HD107" s="602"/>
      <c r="HE107" s="602"/>
      <c r="HF107" s="602"/>
      <c r="HG107" s="602"/>
      <c r="HH107" s="602"/>
      <c r="HI107" s="602"/>
      <c r="HJ107" s="602"/>
      <c r="HK107" s="602"/>
      <c r="HL107" s="602"/>
      <c r="HM107" s="602"/>
      <c r="HN107" s="602"/>
      <c r="HO107" s="602"/>
      <c r="HP107" s="602"/>
      <c r="HQ107" s="602"/>
      <c r="HR107" s="602"/>
      <c r="HS107" s="602"/>
      <c r="HT107" s="602"/>
      <c r="HU107" s="602"/>
      <c r="HV107" s="602"/>
      <c r="HW107" s="602"/>
      <c r="HX107" s="602"/>
      <c r="HY107" s="602"/>
      <c r="HZ107" s="602"/>
      <c r="IA107" s="602"/>
      <c r="IB107" s="602"/>
      <c r="IC107" s="602"/>
      <c r="ID107" s="602"/>
      <c r="IE107" s="602"/>
      <c r="IF107" s="602"/>
      <c r="IG107" s="602"/>
      <c r="IH107" s="602"/>
      <c r="II107" s="602"/>
      <c r="IJ107" s="602"/>
      <c r="IK107" s="602"/>
      <c r="IL107" s="602"/>
      <c r="IM107" s="602"/>
      <c r="IN107" s="602"/>
      <c r="IO107" s="602"/>
      <c r="IP107" s="602"/>
      <c r="IQ107" s="602"/>
      <c r="IR107" s="602"/>
      <c r="IS107" s="602"/>
      <c r="IT107" s="602"/>
      <c r="IU107" s="602"/>
      <c r="IV107" s="602"/>
    </row>
    <row r="108" spans="1:256" ht="16.5" customHeight="1" thickBot="1">
      <c r="A108" s="2"/>
      <c r="B108" s="631"/>
      <c r="C108" s="40"/>
      <c r="D108" s="40"/>
      <c r="E108" s="640"/>
      <c r="F108" s="633"/>
      <c r="G108" s="634"/>
      <c r="H108" s="635"/>
      <c r="I108" s="635"/>
      <c r="J108" s="636"/>
      <c r="K108" s="600" t="s">
        <v>932</v>
      </c>
      <c r="L108" s="600" t="s">
        <v>933</v>
      </c>
      <c r="M108" s="633" t="s">
        <v>934</v>
      </c>
      <c r="N108" s="40"/>
      <c r="O108" s="146"/>
      <c r="P108" s="619"/>
      <c r="Q108" s="146"/>
      <c r="R108" s="304"/>
      <c r="S108" s="148"/>
      <c r="T108" s="148"/>
      <c r="U108" s="619"/>
      <c r="V108" s="304"/>
      <c r="W108" s="304"/>
      <c r="X108" s="148"/>
      <c r="Y108" s="602"/>
      <c r="Z108" s="602"/>
      <c r="AA108" s="602"/>
      <c r="AB108" s="602"/>
      <c r="AC108" s="602"/>
      <c r="AD108" s="602"/>
      <c r="AE108" s="602"/>
      <c r="AF108" s="602"/>
      <c r="AG108" s="602"/>
      <c r="AH108" s="602"/>
      <c r="AI108" s="602"/>
      <c r="AJ108" s="602"/>
      <c r="AK108" s="602"/>
      <c r="AL108" s="602"/>
      <c r="AM108" s="602"/>
      <c r="AN108" s="602"/>
      <c r="AO108" s="602"/>
      <c r="AP108" s="602"/>
      <c r="AQ108" s="602"/>
      <c r="AR108" s="602"/>
      <c r="AS108" s="602"/>
      <c r="AT108" s="602"/>
      <c r="AU108" s="602"/>
      <c r="AV108" s="602"/>
      <c r="AW108" s="602"/>
      <c r="AX108" s="602"/>
      <c r="AY108" s="602"/>
      <c r="AZ108" s="602"/>
      <c r="BA108" s="602"/>
      <c r="BB108" s="602"/>
      <c r="BC108" s="602"/>
      <c r="BD108" s="602"/>
      <c r="BE108" s="602"/>
      <c r="BF108" s="602"/>
      <c r="BG108" s="602"/>
      <c r="BH108" s="602"/>
      <c r="BI108" s="602"/>
      <c r="BJ108" s="602"/>
      <c r="BK108" s="602"/>
      <c r="BL108" s="602"/>
      <c r="BM108" s="602"/>
      <c r="BN108" s="602"/>
      <c r="BO108" s="602"/>
      <c r="BP108" s="602"/>
      <c r="BQ108" s="602"/>
      <c r="BR108" s="602"/>
      <c r="BS108" s="602"/>
      <c r="BT108" s="602"/>
      <c r="BU108" s="602"/>
      <c r="BV108" s="602"/>
      <c r="BW108" s="602"/>
      <c r="BX108" s="602"/>
      <c r="BY108" s="602"/>
      <c r="BZ108" s="602"/>
      <c r="CA108" s="602"/>
      <c r="CB108" s="602"/>
      <c r="CC108" s="602"/>
      <c r="CD108" s="602"/>
      <c r="CE108" s="602"/>
      <c r="CF108" s="602"/>
      <c r="CG108" s="602"/>
      <c r="CH108" s="602"/>
      <c r="CI108" s="602"/>
      <c r="CJ108" s="602"/>
      <c r="CK108" s="602"/>
      <c r="CL108" s="602"/>
      <c r="CM108" s="602"/>
      <c r="CN108" s="602"/>
      <c r="CO108" s="602"/>
      <c r="CP108" s="602"/>
      <c r="CQ108" s="602"/>
      <c r="CR108" s="602"/>
      <c r="CS108" s="602"/>
      <c r="CT108" s="602"/>
      <c r="CU108" s="602"/>
      <c r="CV108" s="602"/>
      <c r="CW108" s="602"/>
      <c r="CX108" s="602"/>
      <c r="CY108" s="602"/>
      <c r="CZ108" s="602"/>
      <c r="DA108" s="602"/>
      <c r="DB108" s="602"/>
      <c r="DC108" s="602"/>
      <c r="DD108" s="602"/>
      <c r="DE108" s="602"/>
      <c r="DF108" s="602"/>
      <c r="DG108" s="602"/>
      <c r="DH108" s="602"/>
      <c r="DI108" s="602"/>
      <c r="DJ108" s="602"/>
      <c r="DK108" s="602"/>
      <c r="DL108" s="602"/>
      <c r="DM108" s="602"/>
      <c r="DN108" s="602"/>
      <c r="DO108" s="602"/>
      <c r="DP108" s="602"/>
      <c r="DQ108" s="602"/>
      <c r="DR108" s="602"/>
      <c r="DS108" s="602"/>
      <c r="DT108" s="602"/>
      <c r="DU108" s="602"/>
      <c r="DV108" s="602"/>
      <c r="DW108" s="602"/>
      <c r="DX108" s="602"/>
      <c r="DY108" s="602"/>
      <c r="DZ108" s="602"/>
      <c r="EA108" s="602"/>
      <c r="EB108" s="602"/>
      <c r="EC108" s="602"/>
      <c r="ED108" s="602"/>
      <c r="EE108" s="602"/>
      <c r="EF108" s="602"/>
      <c r="EG108" s="602"/>
      <c r="EH108" s="602"/>
      <c r="EI108" s="602"/>
      <c r="EJ108" s="602"/>
      <c r="EK108" s="602"/>
      <c r="EL108" s="602"/>
      <c r="EM108" s="602"/>
      <c r="EN108" s="602"/>
      <c r="EO108" s="602"/>
      <c r="EP108" s="602"/>
      <c r="EQ108" s="602"/>
      <c r="ER108" s="602"/>
      <c r="ES108" s="602"/>
      <c r="ET108" s="602"/>
      <c r="EU108" s="602"/>
      <c r="EV108" s="602"/>
      <c r="EW108" s="602"/>
      <c r="EX108" s="602"/>
      <c r="EY108" s="602"/>
      <c r="EZ108" s="602"/>
      <c r="FA108" s="602"/>
      <c r="FB108" s="602"/>
      <c r="FC108" s="602"/>
      <c r="FD108" s="602"/>
      <c r="FE108" s="602"/>
      <c r="FF108" s="602"/>
      <c r="FG108" s="602"/>
      <c r="FH108" s="602"/>
      <c r="FI108" s="602"/>
      <c r="FJ108" s="602"/>
      <c r="FK108" s="602"/>
      <c r="FL108" s="602"/>
      <c r="FM108" s="602"/>
      <c r="FN108" s="602"/>
      <c r="FO108" s="602"/>
      <c r="FP108" s="602"/>
      <c r="FQ108" s="602"/>
      <c r="FR108" s="602"/>
      <c r="FS108" s="602"/>
      <c r="FT108" s="602"/>
      <c r="FU108" s="602"/>
      <c r="FV108" s="602"/>
      <c r="FW108" s="602"/>
      <c r="FX108" s="602"/>
      <c r="FY108" s="602"/>
      <c r="FZ108" s="602"/>
      <c r="GA108" s="602"/>
      <c r="GB108" s="602"/>
      <c r="GC108" s="602"/>
      <c r="GD108" s="602"/>
      <c r="GE108" s="602"/>
      <c r="GF108" s="602"/>
      <c r="GG108" s="602"/>
      <c r="GH108" s="602"/>
      <c r="GI108" s="602"/>
      <c r="GJ108" s="602"/>
      <c r="GK108" s="602"/>
      <c r="GL108" s="602"/>
      <c r="GM108" s="602"/>
      <c r="GN108" s="602"/>
      <c r="GO108" s="602"/>
      <c r="GP108" s="602"/>
      <c r="GQ108" s="602"/>
      <c r="GR108" s="602"/>
      <c r="GS108" s="602"/>
      <c r="GT108" s="602"/>
      <c r="GU108" s="602"/>
      <c r="GV108" s="602"/>
      <c r="GW108" s="602"/>
      <c r="GX108" s="602"/>
      <c r="GY108" s="602"/>
      <c r="GZ108" s="602"/>
      <c r="HA108" s="602"/>
      <c r="HB108" s="602"/>
      <c r="HC108" s="602"/>
      <c r="HD108" s="602"/>
      <c r="HE108" s="602"/>
      <c r="HF108" s="602"/>
      <c r="HG108" s="602"/>
      <c r="HH108" s="602"/>
      <c r="HI108" s="602"/>
      <c r="HJ108" s="602"/>
      <c r="HK108" s="602"/>
      <c r="HL108" s="602"/>
      <c r="HM108" s="602"/>
      <c r="HN108" s="602"/>
      <c r="HO108" s="602"/>
      <c r="HP108" s="602"/>
      <c r="HQ108" s="602"/>
      <c r="HR108" s="602"/>
      <c r="HS108" s="602"/>
      <c r="HT108" s="602"/>
      <c r="HU108" s="602"/>
      <c r="HV108" s="602"/>
      <c r="HW108" s="602"/>
      <c r="HX108" s="602"/>
      <c r="HY108" s="602"/>
      <c r="HZ108" s="602"/>
      <c r="IA108" s="602"/>
      <c r="IB108" s="602"/>
      <c r="IC108" s="602"/>
      <c r="ID108" s="602"/>
      <c r="IE108" s="602"/>
      <c r="IF108" s="602"/>
      <c r="IG108" s="602"/>
      <c r="IH108" s="602"/>
      <c r="II108" s="602"/>
      <c r="IJ108" s="602"/>
      <c r="IK108" s="602"/>
      <c r="IL108" s="602"/>
      <c r="IM108" s="602"/>
      <c r="IN108" s="602"/>
      <c r="IO108" s="602"/>
      <c r="IP108" s="602"/>
      <c r="IQ108" s="602"/>
      <c r="IR108" s="602"/>
      <c r="IS108" s="602"/>
      <c r="IT108" s="602"/>
      <c r="IU108" s="602"/>
      <c r="IV108" s="602"/>
    </row>
    <row r="109" spans="1:256" ht="16.5" customHeight="1">
      <c r="A109" s="2"/>
      <c r="B109" s="631"/>
      <c r="C109" s="40"/>
      <c r="D109" s="40"/>
      <c r="E109" s="1095">
        <v>0</v>
      </c>
      <c r="F109" s="1418">
        <v>1</v>
      </c>
      <c r="G109" s="599" t="s">
        <v>940</v>
      </c>
      <c r="H109" s="577"/>
      <c r="I109" s="577"/>
      <c r="J109" s="533"/>
      <c r="K109" s="637">
        <v>2</v>
      </c>
      <c r="L109" s="637">
        <v>1</v>
      </c>
      <c r="M109" s="583">
        <v>0</v>
      </c>
      <c r="N109" s="40"/>
      <c r="O109" s="146"/>
      <c r="P109" s="638">
        <v>2</v>
      </c>
      <c r="Q109" s="318">
        <v>1</v>
      </c>
      <c r="R109" s="639">
        <v>0</v>
      </c>
      <c r="S109" s="416" t="s">
        <v>456</v>
      </c>
      <c r="T109" s="148"/>
      <c r="U109" s="619"/>
      <c r="V109" s="304"/>
      <c r="W109" s="304"/>
      <c r="X109" s="148"/>
      <c r="Y109" s="602"/>
      <c r="Z109" s="602"/>
      <c r="AA109" s="602"/>
      <c r="AB109" s="602"/>
      <c r="AC109" s="602"/>
      <c r="AD109" s="602"/>
      <c r="AE109" s="602"/>
      <c r="AF109" s="602"/>
      <c r="AG109" s="602"/>
      <c r="AH109" s="602"/>
      <c r="AI109" s="602"/>
      <c r="AJ109" s="602"/>
      <c r="AK109" s="602"/>
      <c r="AL109" s="602"/>
      <c r="AM109" s="602"/>
      <c r="AN109" s="602"/>
      <c r="AO109" s="602"/>
      <c r="AP109" s="602"/>
      <c r="AQ109" s="602"/>
      <c r="AR109" s="602"/>
      <c r="AS109" s="602"/>
      <c r="AT109" s="602"/>
      <c r="AU109" s="602"/>
      <c r="AV109" s="602"/>
      <c r="AW109" s="602"/>
      <c r="AX109" s="602"/>
      <c r="AY109" s="602"/>
      <c r="AZ109" s="602"/>
      <c r="BA109" s="602"/>
      <c r="BB109" s="602"/>
      <c r="BC109" s="602"/>
      <c r="BD109" s="602"/>
      <c r="BE109" s="602"/>
      <c r="BF109" s="602"/>
      <c r="BG109" s="602"/>
      <c r="BH109" s="602"/>
      <c r="BI109" s="602"/>
      <c r="BJ109" s="602"/>
      <c r="BK109" s="602"/>
      <c r="BL109" s="602"/>
      <c r="BM109" s="602"/>
      <c r="BN109" s="602"/>
      <c r="BO109" s="602"/>
      <c r="BP109" s="602"/>
      <c r="BQ109" s="602"/>
      <c r="BR109" s="602"/>
      <c r="BS109" s="602"/>
      <c r="BT109" s="602"/>
      <c r="BU109" s="602"/>
      <c r="BV109" s="602"/>
      <c r="BW109" s="602"/>
      <c r="BX109" s="602"/>
      <c r="BY109" s="602"/>
      <c r="BZ109" s="602"/>
      <c r="CA109" s="602"/>
      <c r="CB109" s="602"/>
      <c r="CC109" s="602"/>
      <c r="CD109" s="602"/>
      <c r="CE109" s="602"/>
      <c r="CF109" s="602"/>
      <c r="CG109" s="602"/>
      <c r="CH109" s="602"/>
      <c r="CI109" s="602"/>
      <c r="CJ109" s="602"/>
      <c r="CK109" s="602"/>
      <c r="CL109" s="602"/>
      <c r="CM109" s="602"/>
      <c r="CN109" s="602"/>
      <c r="CO109" s="602"/>
      <c r="CP109" s="602"/>
      <c r="CQ109" s="602"/>
      <c r="CR109" s="602"/>
      <c r="CS109" s="602"/>
      <c r="CT109" s="602"/>
      <c r="CU109" s="602"/>
      <c r="CV109" s="602"/>
      <c r="CW109" s="602"/>
      <c r="CX109" s="602"/>
      <c r="CY109" s="602"/>
      <c r="CZ109" s="602"/>
      <c r="DA109" s="602"/>
      <c r="DB109" s="602"/>
      <c r="DC109" s="602"/>
      <c r="DD109" s="602"/>
      <c r="DE109" s="602"/>
      <c r="DF109" s="602"/>
      <c r="DG109" s="602"/>
      <c r="DH109" s="602"/>
      <c r="DI109" s="602"/>
      <c r="DJ109" s="602"/>
      <c r="DK109" s="602"/>
      <c r="DL109" s="602"/>
      <c r="DM109" s="602"/>
      <c r="DN109" s="602"/>
      <c r="DO109" s="602"/>
      <c r="DP109" s="602"/>
      <c r="DQ109" s="602"/>
      <c r="DR109" s="602"/>
      <c r="DS109" s="602"/>
      <c r="DT109" s="602"/>
      <c r="DU109" s="602"/>
      <c r="DV109" s="602"/>
      <c r="DW109" s="602"/>
      <c r="DX109" s="602"/>
      <c r="DY109" s="602"/>
      <c r="DZ109" s="602"/>
      <c r="EA109" s="602"/>
      <c r="EB109" s="602"/>
      <c r="EC109" s="602"/>
      <c r="ED109" s="602"/>
      <c r="EE109" s="602"/>
      <c r="EF109" s="602"/>
      <c r="EG109" s="602"/>
      <c r="EH109" s="602"/>
      <c r="EI109" s="602"/>
      <c r="EJ109" s="602"/>
      <c r="EK109" s="602"/>
      <c r="EL109" s="602"/>
      <c r="EM109" s="602"/>
      <c r="EN109" s="602"/>
      <c r="EO109" s="602"/>
      <c r="EP109" s="602"/>
      <c r="EQ109" s="602"/>
      <c r="ER109" s="602"/>
      <c r="ES109" s="602"/>
      <c r="ET109" s="602"/>
      <c r="EU109" s="602"/>
      <c r="EV109" s="602"/>
      <c r="EW109" s="602"/>
      <c r="EX109" s="602"/>
      <c r="EY109" s="602"/>
      <c r="EZ109" s="602"/>
      <c r="FA109" s="602"/>
      <c r="FB109" s="602"/>
      <c r="FC109" s="602"/>
      <c r="FD109" s="602"/>
      <c r="FE109" s="602"/>
      <c r="FF109" s="602"/>
      <c r="FG109" s="602"/>
      <c r="FH109" s="602"/>
      <c r="FI109" s="602"/>
      <c r="FJ109" s="602"/>
      <c r="FK109" s="602"/>
      <c r="FL109" s="602"/>
      <c r="FM109" s="602"/>
      <c r="FN109" s="602"/>
      <c r="FO109" s="602"/>
      <c r="FP109" s="602"/>
      <c r="FQ109" s="602"/>
      <c r="FR109" s="602"/>
      <c r="FS109" s="602"/>
      <c r="FT109" s="602"/>
      <c r="FU109" s="602"/>
      <c r="FV109" s="602"/>
      <c r="FW109" s="602"/>
      <c r="FX109" s="602"/>
      <c r="FY109" s="602"/>
      <c r="FZ109" s="602"/>
      <c r="GA109" s="602"/>
      <c r="GB109" s="602"/>
      <c r="GC109" s="602"/>
      <c r="GD109" s="602"/>
      <c r="GE109" s="602"/>
      <c r="GF109" s="602"/>
      <c r="GG109" s="602"/>
      <c r="GH109" s="602"/>
      <c r="GI109" s="602"/>
      <c r="GJ109" s="602"/>
      <c r="GK109" s="602"/>
      <c r="GL109" s="602"/>
      <c r="GM109" s="602"/>
      <c r="GN109" s="602"/>
      <c r="GO109" s="602"/>
      <c r="GP109" s="602"/>
      <c r="GQ109" s="602"/>
      <c r="GR109" s="602"/>
      <c r="GS109" s="602"/>
      <c r="GT109" s="602"/>
      <c r="GU109" s="602"/>
      <c r="GV109" s="602"/>
      <c r="GW109" s="602"/>
      <c r="GX109" s="602"/>
      <c r="GY109" s="602"/>
      <c r="GZ109" s="602"/>
      <c r="HA109" s="602"/>
      <c r="HB109" s="602"/>
      <c r="HC109" s="602"/>
      <c r="HD109" s="602"/>
      <c r="HE109" s="602"/>
      <c r="HF109" s="602"/>
      <c r="HG109" s="602"/>
      <c r="HH109" s="602"/>
      <c r="HI109" s="602"/>
      <c r="HJ109" s="602"/>
      <c r="HK109" s="602"/>
      <c r="HL109" s="602"/>
      <c r="HM109" s="602"/>
      <c r="HN109" s="602"/>
      <c r="HO109" s="602"/>
      <c r="HP109" s="602"/>
      <c r="HQ109" s="602"/>
      <c r="HR109" s="602"/>
      <c r="HS109" s="602"/>
      <c r="HT109" s="602"/>
      <c r="HU109" s="602"/>
      <c r="HV109" s="602"/>
      <c r="HW109" s="602"/>
      <c r="HX109" s="602"/>
      <c r="HY109" s="602"/>
      <c r="HZ109" s="602"/>
      <c r="IA109" s="602"/>
      <c r="IB109" s="602"/>
      <c r="IC109" s="602"/>
      <c r="ID109" s="602"/>
      <c r="IE109" s="602"/>
      <c r="IF109" s="602"/>
      <c r="IG109" s="602"/>
      <c r="IH109" s="602"/>
      <c r="II109" s="602"/>
      <c r="IJ109" s="602"/>
      <c r="IK109" s="602"/>
      <c r="IL109" s="602"/>
      <c r="IM109" s="602"/>
      <c r="IN109" s="602"/>
      <c r="IO109" s="602"/>
      <c r="IP109" s="602"/>
      <c r="IQ109" s="602"/>
      <c r="IR109" s="602"/>
      <c r="IS109" s="602"/>
      <c r="IT109" s="602"/>
      <c r="IU109" s="602"/>
      <c r="IV109" s="602"/>
    </row>
    <row r="110" spans="1:256" ht="16.5" customHeight="1">
      <c r="A110" s="2"/>
      <c r="B110" s="631"/>
      <c r="C110" s="40"/>
      <c r="D110" s="40"/>
      <c r="E110" s="1097">
        <v>0</v>
      </c>
      <c r="F110" s="1417">
        <v>2</v>
      </c>
      <c r="G110" s="527" t="s">
        <v>941</v>
      </c>
      <c r="H110" s="775"/>
      <c r="I110" s="775"/>
      <c r="J110" s="776"/>
      <c r="K110" s="637">
        <v>2</v>
      </c>
      <c r="L110" s="637">
        <v>1</v>
      </c>
      <c r="M110" s="583">
        <v>0</v>
      </c>
      <c r="N110" s="40"/>
      <c r="O110" s="146"/>
      <c r="P110" s="638">
        <v>2</v>
      </c>
      <c r="Q110" s="318">
        <v>1</v>
      </c>
      <c r="R110" s="639">
        <v>0</v>
      </c>
      <c r="S110" s="416" t="s">
        <v>456</v>
      </c>
      <c r="T110" s="148"/>
      <c r="U110" s="619"/>
      <c r="V110" s="304"/>
      <c r="W110" s="304"/>
      <c r="X110" s="148"/>
      <c r="Y110" s="602"/>
      <c r="Z110" s="602"/>
      <c r="AA110" s="602"/>
      <c r="AB110" s="602"/>
      <c r="AC110" s="602"/>
      <c r="AD110" s="602"/>
      <c r="AE110" s="602"/>
      <c r="AF110" s="602"/>
      <c r="AG110" s="602"/>
      <c r="AH110" s="602"/>
      <c r="AI110" s="602"/>
      <c r="AJ110" s="602"/>
      <c r="AK110" s="602"/>
      <c r="AL110" s="602"/>
      <c r="AM110" s="602"/>
      <c r="AN110" s="602"/>
      <c r="AO110" s="602"/>
      <c r="AP110" s="602"/>
      <c r="AQ110" s="602"/>
      <c r="AR110" s="602"/>
      <c r="AS110" s="602"/>
      <c r="AT110" s="602"/>
      <c r="AU110" s="602"/>
      <c r="AV110" s="602"/>
      <c r="AW110" s="602"/>
      <c r="AX110" s="602"/>
      <c r="AY110" s="602"/>
      <c r="AZ110" s="602"/>
      <c r="BA110" s="602"/>
      <c r="BB110" s="602"/>
      <c r="BC110" s="602"/>
      <c r="BD110" s="602"/>
      <c r="BE110" s="602"/>
      <c r="BF110" s="602"/>
      <c r="BG110" s="602"/>
      <c r="BH110" s="602"/>
      <c r="BI110" s="602"/>
      <c r="BJ110" s="602"/>
      <c r="BK110" s="602"/>
      <c r="BL110" s="602"/>
      <c r="BM110" s="602"/>
      <c r="BN110" s="602"/>
      <c r="BO110" s="602"/>
      <c r="BP110" s="602"/>
      <c r="BQ110" s="602"/>
      <c r="BR110" s="602"/>
      <c r="BS110" s="602"/>
      <c r="BT110" s="602"/>
      <c r="BU110" s="602"/>
      <c r="BV110" s="602"/>
      <c r="BW110" s="602"/>
      <c r="BX110" s="602"/>
      <c r="BY110" s="602"/>
      <c r="BZ110" s="602"/>
      <c r="CA110" s="602"/>
      <c r="CB110" s="602"/>
      <c r="CC110" s="602"/>
      <c r="CD110" s="602"/>
      <c r="CE110" s="602"/>
      <c r="CF110" s="602"/>
      <c r="CG110" s="602"/>
      <c r="CH110" s="602"/>
      <c r="CI110" s="602"/>
      <c r="CJ110" s="602"/>
      <c r="CK110" s="602"/>
      <c r="CL110" s="602"/>
      <c r="CM110" s="602"/>
      <c r="CN110" s="602"/>
      <c r="CO110" s="602"/>
      <c r="CP110" s="602"/>
      <c r="CQ110" s="602"/>
      <c r="CR110" s="602"/>
      <c r="CS110" s="602"/>
      <c r="CT110" s="602"/>
      <c r="CU110" s="602"/>
      <c r="CV110" s="602"/>
      <c r="CW110" s="602"/>
      <c r="CX110" s="602"/>
      <c r="CY110" s="602"/>
      <c r="CZ110" s="602"/>
      <c r="DA110" s="602"/>
      <c r="DB110" s="602"/>
      <c r="DC110" s="602"/>
      <c r="DD110" s="602"/>
      <c r="DE110" s="602"/>
      <c r="DF110" s="602"/>
      <c r="DG110" s="602"/>
      <c r="DH110" s="602"/>
      <c r="DI110" s="602"/>
      <c r="DJ110" s="602"/>
      <c r="DK110" s="602"/>
      <c r="DL110" s="602"/>
      <c r="DM110" s="602"/>
      <c r="DN110" s="602"/>
      <c r="DO110" s="602"/>
      <c r="DP110" s="602"/>
      <c r="DQ110" s="602"/>
      <c r="DR110" s="602"/>
      <c r="DS110" s="602"/>
      <c r="DT110" s="602"/>
      <c r="DU110" s="602"/>
      <c r="DV110" s="602"/>
      <c r="DW110" s="602"/>
      <c r="DX110" s="602"/>
      <c r="DY110" s="602"/>
      <c r="DZ110" s="602"/>
      <c r="EA110" s="602"/>
      <c r="EB110" s="602"/>
      <c r="EC110" s="602"/>
      <c r="ED110" s="602"/>
      <c r="EE110" s="602"/>
      <c r="EF110" s="602"/>
      <c r="EG110" s="602"/>
      <c r="EH110" s="602"/>
      <c r="EI110" s="602"/>
      <c r="EJ110" s="602"/>
      <c r="EK110" s="602"/>
      <c r="EL110" s="602"/>
      <c r="EM110" s="602"/>
      <c r="EN110" s="602"/>
      <c r="EO110" s="602"/>
      <c r="EP110" s="602"/>
      <c r="EQ110" s="602"/>
      <c r="ER110" s="602"/>
      <c r="ES110" s="602"/>
      <c r="ET110" s="602"/>
      <c r="EU110" s="602"/>
      <c r="EV110" s="602"/>
      <c r="EW110" s="602"/>
      <c r="EX110" s="602"/>
      <c r="EY110" s="602"/>
      <c r="EZ110" s="602"/>
      <c r="FA110" s="602"/>
      <c r="FB110" s="602"/>
      <c r="FC110" s="602"/>
      <c r="FD110" s="602"/>
      <c r="FE110" s="602"/>
      <c r="FF110" s="602"/>
      <c r="FG110" s="602"/>
      <c r="FH110" s="602"/>
      <c r="FI110" s="602"/>
      <c r="FJ110" s="602"/>
      <c r="FK110" s="602"/>
      <c r="FL110" s="602"/>
      <c r="FM110" s="602"/>
      <c r="FN110" s="602"/>
      <c r="FO110" s="602"/>
      <c r="FP110" s="602"/>
      <c r="FQ110" s="602"/>
      <c r="FR110" s="602"/>
      <c r="FS110" s="602"/>
      <c r="FT110" s="602"/>
      <c r="FU110" s="602"/>
      <c r="FV110" s="602"/>
      <c r="FW110" s="602"/>
      <c r="FX110" s="602"/>
      <c r="FY110" s="602"/>
      <c r="FZ110" s="602"/>
      <c r="GA110" s="602"/>
      <c r="GB110" s="602"/>
      <c r="GC110" s="602"/>
      <c r="GD110" s="602"/>
      <c r="GE110" s="602"/>
      <c r="GF110" s="602"/>
      <c r="GG110" s="602"/>
      <c r="GH110" s="602"/>
      <c r="GI110" s="602"/>
      <c r="GJ110" s="602"/>
      <c r="GK110" s="602"/>
      <c r="GL110" s="602"/>
      <c r="GM110" s="602"/>
      <c r="GN110" s="602"/>
      <c r="GO110" s="602"/>
      <c r="GP110" s="602"/>
      <c r="GQ110" s="602"/>
      <c r="GR110" s="602"/>
      <c r="GS110" s="602"/>
      <c r="GT110" s="602"/>
      <c r="GU110" s="602"/>
      <c r="GV110" s="602"/>
      <c r="GW110" s="602"/>
      <c r="GX110" s="602"/>
      <c r="GY110" s="602"/>
      <c r="GZ110" s="602"/>
      <c r="HA110" s="602"/>
      <c r="HB110" s="602"/>
      <c r="HC110" s="602"/>
      <c r="HD110" s="602"/>
      <c r="HE110" s="602"/>
      <c r="HF110" s="602"/>
      <c r="HG110" s="602"/>
      <c r="HH110" s="602"/>
      <c r="HI110" s="602"/>
      <c r="HJ110" s="602"/>
      <c r="HK110" s="602"/>
      <c r="HL110" s="602"/>
      <c r="HM110" s="602"/>
      <c r="HN110" s="602"/>
      <c r="HO110" s="602"/>
      <c r="HP110" s="602"/>
      <c r="HQ110" s="602"/>
      <c r="HR110" s="602"/>
      <c r="HS110" s="602"/>
      <c r="HT110" s="602"/>
      <c r="HU110" s="602"/>
      <c r="HV110" s="602"/>
      <c r="HW110" s="602"/>
      <c r="HX110" s="602"/>
      <c r="HY110" s="602"/>
      <c r="HZ110" s="602"/>
      <c r="IA110" s="602"/>
      <c r="IB110" s="602"/>
      <c r="IC110" s="602"/>
      <c r="ID110" s="602"/>
      <c r="IE110" s="602"/>
      <c r="IF110" s="602"/>
      <c r="IG110" s="602"/>
      <c r="IH110" s="602"/>
      <c r="II110" s="602"/>
      <c r="IJ110" s="602"/>
      <c r="IK110" s="602"/>
      <c r="IL110" s="602"/>
      <c r="IM110" s="602"/>
      <c r="IN110" s="602"/>
      <c r="IO110" s="602"/>
      <c r="IP110" s="602"/>
      <c r="IQ110" s="602"/>
      <c r="IR110" s="602"/>
      <c r="IS110" s="602"/>
      <c r="IT110" s="602"/>
      <c r="IU110" s="602"/>
      <c r="IV110" s="602"/>
    </row>
    <row r="111" spans="1:256" ht="16.5" customHeight="1">
      <c r="A111" s="2"/>
      <c r="B111" s="631"/>
      <c r="C111" s="40"/>
      <c r="D111" s="40"/>
      <c r="E111" s="1097">
        <v>2</v>
      </c>
      <c r="F111" s="1417">
        <v>3</v>
      </c>
      <c r="G111" s="527" t="s">
        <v>942</v>
      </c>
      <c r="H111" s="775"/>
      <c r="I111" s="775"/>
      <c r="J111" s="776"/>
      <c r="K111" s="637">
        <v>2</v>
      </c>
      <c r="L111" s="637">
        <v>1</v>
      </c>
      <c r="M111" s="583">
        <v>0</v>
      </c>
      <c r="N111" s="40"/>
      <c r="O111" s="146"/>
      <c r="P111" s="638">
        <v>2</v>
      </c>
      <c r="Q111" s="318">
        <v>1</v>
      </c>
      <c r="R111" s="639">
        <v>0</v>
      </c>
      <c r="S111" s="416" t="s">
        <v>456</v>
      </c>
      <c r="T111" s="148"/>
      <c r="U111" s="619"/>
      <c r="V111" s="304"/>
      <c r="W111" s="304"/>
      <c r="X111" s="148"/>
      <c r="Y111" s="602"/>
      <c r="Z111" s="602"/>
      <c r="AA111" s="602"/>
      <c r="AB111" s="602"/>
      <c r="AC111" s="602"/>
      <c r="AD111" s="602"/>
      <c r="AE111" s="602"/>
      <c r="AF111" s="602"/>
      <c r="AG111" s="602"/>
      <c r="AH111" s="602"/>
      <c r="AI111" s="602"/>
      <c r="AJ111" s="602"/>
      <c r="AK111" s="602"/>
      <c r="AL111" s="602"/>
      <c r="AM111" s="602"/>
      <c r="AN111" s="602"/>
      <c r="AO111" s="602"/>
      <c r="AP111" s="602"/>
      <c r="AQ111" s="602"/>
      <c r="AR111" s="602"/>
      <c r="AS111" s="602"/>
      <c r="AT111" s="602"/>
      <c r="AU111" s="602"/>
      <c r="AV111" s="602"/>
      <c r="AW111" s="602"/>
      <c r="AX111" s="602"/>
      <c r="AY111" s="602"/>
      <c r="AZ111" s="602"/>
      <c r="BA111" s="602"/>
      <c r="BB111" s="602"/>
      <c r="BC111" s="602"/>
      <c r="BD111" s="602"/>
      <c r="BE111" s="602"/>
      <c r="BF111" s="602"/>
      <c r="BG111" s="602"/>
      <c r="BH111" s="602"/>
      <c r="BI111" s="602"/>
      <c r="BJ111" s="602"/>
      <c r="BK111" s="602"/>
      <c r="BL111" s="602"/>
      <c r="BM111" s="602"/>
      <c r="BN111" s="602"/>
      <c r="BO111" s="602"/>
      <c r="BP111" s="602"/>
      <c r="BQ111" s="602"/>
      <c r="BR111" s="602"/>
      <c r="BS111" s="602"/>
      <c r="BT111" s="602"/>
      <c r="BU111" s="602"/>
      <c r="BV111" s="602"/>
      <c r="BW111" s="602"/>
      <c r="BX111" s="602"/>
      <c r="BY111" s="602"/>
      <c r="BZ111" s="602"/>
      <c r="CA111" s="602"/>
      <c r="CB111" s="602"/>
      <c r="CC111" s="602"/>
      <c r="CD111" s="602"/>
      <c r="CE111" s="602"/>
      <c r="CF111" s="602"/>
      <c r="CG111" s="602"/>
      <c r="CH111" s="602"/>
      <c r="CI111" s="602"/>
      <c r="CJ111" s="602"/>
      <c r="CK111" s="602"/>
      <c r="CL111" s="602"/>
      <c r="CM111" s="602"/>
      <c r="CN111" s="602"/>
      <c r="CO111" s="602"/>
      <c r="CP111" s="602"/>
      <c r="CQ111" s="602"/>
      <c r="CR111" s="602"/>
      <c r="CS111" s="602"/>
      <c r="CT111" s="602"/>
      <c r="CU111" s="602"/>
      <c r="CV111" s="602"/>
      <c r="CW111" s="602"/>
      <c r="CX111" s="602"/>
      <c r="CY111" s="602"/>
      <c r="CZ111" s="602"/>
      <c r="DA111" s="602"/>
      <c r="DB111" s="602"/>
      <c r="DC111" s="602"/>
      <c r="DD111" s="602"/>
      <c r="DE111" s="602"/>
      <c r="DF111" s="602"/>
      <c r="DG111" s="602"/>
      <c r="DH111" s="602"/>
      <c r="DI111" s="602"/>
      <c r="DJ111" s="602"/>
      <c r="DK111" s="602"/>
      <c r="DL111" s="602"/>
      <c r="DM111" s="602"/>
      <c r="DN111" s="602"/>
      <c r="DO111" s="602"/>
      <c r="DP111" s="602"/>
      <c r="DQ111" s="602"/>
      <c r="DR111" s="602"/>
      <c r="DS111" s="602"/>
      <c r="DT111" s="602"/>
      <c r="DU111" s="602"/>
      <c r="DV111" s="602"/>
      <c r="DW111" s="602"/>
      <c r="DX111" s="602"/>
      <c r="DY111" s="602"/>
      <c r="DZ111" s="602"/>
      <c r="EA111" s="602"/>
      <c r="EB111" s="602"/>
      <c r="EC111" s="602"/>
      <c r="ED111" s="602"/>
      <c r="EE111" s="602"/>
      <c r="EF111" s="602"/>
      <c r="EG111" s="602"/>
      <c r="EH111" s="602"/>
      <c r="EI111" s="602"/>
      <c r="EJ111" s="602"/>
      <c r="EK111" s="602"/>
      <c r="EL111" s="602"/>
      <c r="EM111" s="602"/>
      <c r="EN111" s="602"/>
      <c r="EO111" s="602"/>
      <c r="EP111" s="602"/>
      <c r="EQ111" s="602"/>
      <c r="ER111" s="602"/>
      <c r="ES111" s="602"/>
      <c r="ET111" s="602"/>
      <c r="EU111" s="602"/>
      <c r="EV111" s="602"/>
      <c r="EW111" s="602"/>
      <c r="EX111" s="602"/>
      <c r="EY111" s="602"/>
      <c r="EZ111" s="602"/>
      <c r="FA111" s="602"/>
      <c r="FB111" s="602"/>
      <c r="FC111" s="602"/>
      <c r="FD111" s="602"/>
      <c r="FE111" s="602"/>
      <c r="FF111" s="602"/>
      <c r="FG111" s="602"/>
      <c r="FH111" s="602"/>
      <c r="FI111" s="602"/>
      <c r="FJ111" s="602"/>
      <c r="FK111" s="602"/>
      <c r="FL111" s="602"/>
      <c r="FM111" s="602"/>
      <c r="FN111" s="602"/>
      <c r="FO111" s="602"/>
      <c r="FP111" s="602"/>
      <c r="FQ111" s="602"/>
      <c r="FR111" s="602"/>
      <c r="FS111" s="602"/>
      <c r="FT111" s="602"/>
      <c r="FU111" s="602"/>
      <c r="FV111" s="602"/>
      <c r="FW111" s="602"/>
      <c r="FX111" s="602"/>
      <c r="FY111" s="602"/>
      <c r="FZ111" s="602"/>
      <c r="GA111" s="602"/>
      <c r="GB111" s="602"/>
      <c r="GC111" s="602"/>
      <c r="GD111" s="602"/>
      <c r="GE111" s="602"/>
      <c r="GF111" s="602"/>
      <c r="GG111" s="602"/>
      <c r="GH111" s="602"/>
      <c r="GI111" s="602"/>
      <c r="GJ111" s="602"/>
      <c r="GK111" s="602"/>
      <c r="GL111" s="602"/>
      <c r="GM111" s="602"/>
      <c r="GN111" s="602"/>
      <c r="GO111" s="602"/>
      <c r="GP111" s="602"/>
      <c r="GQ111" s="602"/>
      <c r="GR111" s="602"/>
      <c r="GS111" s="602"/>
      <c r="GT111" s="602"/>
      <c r="GU111" s="602"/>
      <c r="GV111" s="602"/>
      <c r="GW111" s="602"/>
      <c r="GX111" s="602"/>
      <c r="GY111" s="602"/>
      <c r="GZ111" s="602"/>
      <c r="HA111" s="602"/>
      <c r="HB111" s="602"/>
      <c r="HC111" s="602"/>
      <c r="HD111" s="602"/>
      <c r="HE111" s="602"/>
      <c r="HF111" s="602"/>
      <c r="HG111" s="602"/>
      <c r="HH111" s="602"/>
      <c r="HI111" s="602"/>
      <c r="HJ111" s="602"/>
      <c r="HK111" s="602"/>
      <c r="HL111" s="602"/>
      <c r="HM111" s="602"/>
      <c r="HN111" s="602"/>
      <c r="HO111" s="602"/>
      <c r="HP111" s="602"/>
      <c r="HQ111" s="602"/>
      <c r="HR111" s="602"/>
      <c r="HS111" s="602"/>
      <c r="HT111" s="602"/>
      <c r="HU111" s="602"/>
      <c r="HV111" s="602"/>
      <c r="HW111" s="602"/>
      <c r="HX111" s="602"/>
      <c r="HY111" s="602"/>
      <c r="HZ111" s="602"/>
      <c r="IA111" s="602"/>
      <c r="IB111" s="602"/>
      <c r="IC111" s="602"/>
      <c r="ID111" s="602"/>
      <c r="IE111" s="602"/>
      <c r="IF111" s="602"/>
      <c r="IG111" s="602"/>
      <c r="IH111" s="602"/>
      <c r="II111" s="602"/>
      <c r="IJ111" s="602"/>
      <c r="IK111" s="602"/>
      <c r="IL111" s="602"/>
      <c r="IM111" s="602"/>
      <c r="IN111" s="602"/>
      <c r="IO111" s="602"/>
      <c r="IP111" s="602"/>
      <c r="IQ111" s="602"/>
      <c r="IR111" s="602"/>
      <c r="IS111" s="602"/>
      <c r="IT111" s="602"/>
      <c r="IU111" s="602"/>
      <c r="IV111" s="602"/>
    </row>
    <row r="112" spans="1:256" ht="16.5" customHeight="1">
      <c r="A112" s="2"/>
      <c r="B112" s="631"/>
      <c r="C112" s="40"/>
      <c r="D112" s="40"/>
      <c r="E112" s="1097">
        <v>2</v>
      </c>
      <c r="F112" s="1417">
        <v>4</v>
      </c>
      <c r="G112" s="527" t="s">
        <v>943</v>
      </c>
      <c r="H112" s="775"/>
      <c r="I112" s="775"/>
      <c r="J112" s="776"/>
      <c r="K112" s="637">
        <v>2</v>
      </c>
      <c r="L112" s="637">
        <v>1</v>
      </c>
      <c r="M112" s="583">
        <v>0</v>
      </c>
      <c r="N112" s="40"/>
      <c r="O112" s="146"/>
      <c r="P112" s="638">
        <v>2</v>
      </c>
      <c r="Q112" s="318">
        <v>1</v>
      </c>
      <c r="R112" s="639">
        <v>0</v>
      </c>
      <c r="S112" s="416" t="s">
        <v>456</v>
      </c>
      <c r="T112" s="148"/>
      <c r="U112" s="619"/>
      <c r="V112" s="304"/>
      <c r="W112" s="304"/>
      <c r="X112" s="148"/>
      <c r="Y112" s="602"/>
      <c r="Z112" s="602"/>
      <c r="AA112" s="602"/>
      <c r="AB112" s="602"/>
      <c r="AC112" s="602"/>
      <c r="AD112" s="602"/>
      <c r="AE112" s="602"/>
      <c r="AF112" s="602"/>
      <c r="AG112" s="602"/>
      <c r="AH112" s="602"/>
      <c r="AI112" s="602"/>
      <c r="AJ112" s="602"/>
      <c r="AK112" s="602"/>
      <c r="AL112" s="602"/>
      <c r="AM112" s="602"/>
      <c r="AN112" s="602"/>
      <c r="AO112" s="602"/>
      <c r="AP112" s="602"/>
      <c r="AQ112" s="602"/>
      <c r="AR112" s="602"/>
      <c r="AS112" s="602"/>
      <c r="AT112" s="602"/>
      <c r="AU112" s="602"/>
      <c r="AV112" s="602"/>
      <c r="AW112" s="602"/>
      <c r="AX112" s="602"/>
      <c r="AY112" s="602"/>
      <c r="AZ112" s="602"/>
      <c r="BA112" s="602"/>
      <c r="BB112" s="602"/>
      <c r="BC112" s="602"/>
      <c r="BD112" s="602"/>
      <c r="BE112" s="602"/>
      <c r="BF112" s="602"/>
      <c r="BG112" s="602"/>
      <c r="BH112" s="602"/>
      <c r="BI112" s="602"/>
      <c r="BJ112" s="602"/>
      <c r="BK112" s="602"/>
      <c r="BL112" s="602"/>
      <c r="BM112" s="602"/>
      <c r="BN112" s="602"/>
      <c r="BO112" s="602"/>
      <c r="BP112" s="602"/>
      <c r="BQ112" s="602"/>
      <c r="BR112" s="602"/>
      <c r="BS112" s="602"/>
      <c r="BT112" s="602"/>
      <c r="BU112" s="602"/>
      <c r="BV112" s="602"/>
      <c r="BW112" s="602"/>
      <c r="BX112" s="602"/>
      <c r="BY112" s="602"/>
      <c r="BZ112" s="602"/>
      <c r="CA112" s="602"/>
      <c r="CB112" s="602"/>
      <c r="CC112" s="602"/>
      <c r="CD112" s="602"/>
      <c r="CE112" s="602"/>
      <c r="CF112" s="602"/>
      <c r="CG112" s="602"/>
      <c r="CH112" s="602"/>
      <c r="CI112" s="602"/>
      <c r="CJ112" s="602"/>
      <c r="CK112" s="602"/>
      <c r="CL112" s="602"/>
      <c r="CM112" s="602"/>
      <c r="CN112" s="602"/>
      <c r="CO112" s="602"/>
      <c r="CP112" s="602"/>
      <c r="CQ112" s="602"/>
      <c r="CR112" s="602"/>
      <c r="CS112" s="602"/>
      <c r="CT112" s="602"/>
      <c r="CU112" s="602"/>
      <c r="CV112" s="602"/>
      <c r="CW112" s="602"/>
      <c r="CX112" s="602"/>
      <c r="CY112" s="602"/>
      <c r="CZ112" s="602"/>
      <c r="DA112" s="602"/>
      <c r="DB112" s="602"/>
      <c r="DC112" s="602"/>
      <c r="DD112" s="602"/>
      <c r="DE112" s="602"/>
      <c r="DF112" s="602"/>
      <c r="DG112" s="602"/>
      <c r="DH112" s="602"/>
      <c r="DI112" s="602"/>
      <c r="DJ112" s="602"/>
      <c r="DK112" s="602"/>
      <c r="DL112" s="602"/>
      <c r="DM112" s="602"/>
      <c r="DN112" s="602"/>
      <c r="DO112" s="602"/>
      <c r="DP112" s="602"/>
      <c r="DQ112" s="602"/>
      <c r="DR112" s="602"/>
      <c r="DS112" s="602"/>
      <c r="DT112" s="602"/>
      <c r="DU112" s="602"/>
      <c r="DV112" s="602"/>
      <c r="DW112" s="602"/>
      <c r="DX112" s="602"/>
      <c r="DY112" s="602"/>
      <c r="DZ112" s="602"/>
      <c r="EA112" s="602"/>
      <c r="EB112" s="602"/>
      <c r="EC112" s="602"/>
      <c r="ED112" s="602"/>
      <c r="EE112" s="602"/>
      <c r="EF112" s="602"/>
      <c r="EG112" s="602"/>
      <c r="EH112" s="602"/>
      <c r="EI112" s="602"/>
      <c r="EJ112" s="602"/>
      <c r="EK112" s="602"/>
      <c r="EL112" s="602"/>
      <c r="EM112" s="602"/>
      <c r="EN112" s="602"/>
      <c r="EO112" s="602"/>
      <c r="EP112" s="602"/>
      <c r="EQ112" s="602"/>
      <c r="ER112" s="602"/>
      <c r="ES112" s="602"/>
      <c r="ET112" s="602"/>
      <c r="EU112" s="602"/>
      <c r="EV112" s="602"/>
      <c r="EW112" s="602"/>
      <c r="EX112" s="602"/>
      <c r="EY112" s="602"/>
      <c r="EZ112" s="602"/>
      <c r="FA112" s="602"/>
      <c r="FB112" s="602"/>
      <c r="FC112" s="602"/>
      <c r="FD112" s="602"/>
      <c r="FE112" s="602"/>
      <c r="FF112" s="602"/>
      <c r="FG112" s="602"/>
      <c r="FH112" s="602"/>
      <c r="FI112" s="602"/>
      <c r="FJ112" s="602"/>
      <c r="FK112" s="602"/>
      <c r="FL112" s="602"/>
      <c r="FM112" s="602"/>
      <c r="FN112" s="602"/>
      <c r="FO112" s="602"/>
      <c r="FP112" s="602"/>
      <c r="FQ112" s="602"/>
      <c r="FR112" s="602"/>
      <c r="FS112" s="602"/>
      <c r="FT112" s="602"/>
      <c r="FU112" s="602"/>
      <c r="FV112" s="602"/>
      <c r="FW112" s="602"/>
      <c r="FX112" s="602"/>
      <c r="FY112" s="602"/>
      <c r="FZ112" s="602"/>
      <c r="GA112" s="602"/>
      <c r="GB112" s="602"/>
      <c r="GC112" s="602"/>
      <c r="GD112" s="602"/>
      <c r="GE112" s="602"/>
      <c r="GF112" s="602"/>
      <c r="GG112" s="602"/>
      <c r="GH112" s="602"/>
      <c r="GI112" s="602"/>
      <c r="GJ112" s="602"/>
      <c r="GK112" s="602"/>
      <c r="GL112" s="602"/>
      <c r="GM112" s="602"/>
      <c r="GN112" s="602"/>
      <c r="GO112" s="602"/>
      <c r="GP112" s="602"/>
      <c r="GQ112" s="602"/>
      <c r="GR112" s="602"/>
      <c r="GS112" s="602"/>
      <c r="GT112" s="602"/>
      <c r="GU112" s="602"/>
      <c r="GV112" s="602"/>
      <c r="GW112" s="602"/>
      <c r="GX112" s="602"/>
      <c r="GY112" s="602"/>
      <c r="GZ112" s="602"/>
      <c r="HA112" s="602"/>
      <c r="HB112" s="602"/>
      <c r="HC112" s="602"/>
      <c r="HD112" s="602"/>
      <c r="HE112" s="602"/>
      <c r="HF112" s="602"/>
      <c r="HG112" s="602"/>
      <c r="HH112" s="602"/>
      <c r="HI112" s="602"/>
      <c r="HJ112" s="602"/>
      <c r="HK112" s="602"/>
      <c r="HL112" s="602"/>
      <c r="HM112" s="602"/>
      <c r="HN112" s="602"/>
      <c r="HO112" s="602"/>
      <c r="HP112" s="602"/>
      <c r="HQ112" s="602"/>
      <c r="HR112" s="602"/>
      <c r="HS112" s="602"/>
      <c r="HT112" s="602"/>
      <c r="HU112" s="602"/>
      <c r="HV112" s="602"/>
      <c r="HW112" s="602"/>
      <c r="HX112" s="602"/>
      <c r="HY112" s="602"/>
      <c r="HZ112" s="602"/>
      <c r="IA112" s="602"/>
      <c r="IB112" s="602"/>
      <c r="IC112" s="602"/>
      <c r="ID112" s="602"/>
      <c r="IE112" s="602"/>
      <c r="IF112" s="602"/>
      <c r="IG112" s="602"/>
      <c r="IH112" s="602"/>
      <c r="II112" s="602"/>
      <c r="IJ112" s="602"/>
      <c r="IK112" s="602"/>
      <c r="IL112" s="602"/>
      <c r="IM112" s="602"/>
      <c r="IN112" s="602"/>
      <c r="IO112" s="602"/>
      <c r="IP112" s="602"/>
      <c r="IQ112" s="602"/>
      <c r="IR112" s="602"/>
      <c r="IS112" s="602"/>
      <c r="IT112" s="602"/>
      <c r="IU112" s="602"/>
      <c r="IV112" s="602"/>
    </row>
    <row r="113" spans="1:256" ht="16.5" customHeight="1">
      <c r="A113" s="2"/>
      <c r="B113" s="631"/>
      <c r="C113" s="40"/>
      <c r="D113" s="40"/>
      <c r="E113" s="1097">
        <v>1</v>
      </c>
      <c r="F113" s="1417">
        <v>5</v>
      </c>
      <c r="G113" s="527" t="s">
        <v>944</v>
      </c>
      <c r="H113" s="775"/>
      <c r="I113" s="775"/>
      <c r="J113" s="776"/>
      <c r="K113" s="637">
        <v>2</v>
      </c>
      <c r="L113" s="637">
        <v>1</v>
      </c>
      <c r="M113" s="583">
        <v>0</v>
      </c>
      <c r="N113" s="40"/>
      <c r="O113" s="146"/>
      <c r="P113" s="638">
        <v>2</v>
      </c>
      <c r="Q113" s="318">
        <v>1</v>
      </c>
      <c r="R113" s="639">
        <v>0</v>
      </c>
      <c r="S113" s="416" t="s">
        <v>456</v>
      </c>
      <c r="T113" s="148"/>
      <c r="U113" s="619"/>
      <c r="V113" s="304"/>
      <c r="W113" s="304"/>
      <c r="X113" s="148"/>
      <c r="Y113" s="602"/>
      <c r="Z113" s="602"/>
      <c r="AA113" s="602"/>
      <c r="AB113" s="602"/>
      <c r="AC113" s="602"/>
      <c r="AD113" s="602"/>
      <c r="AE113" s="602"/>
      <c r="AF113" s="602"/>
      <c r="AG113" s="602"/>
      <c r="AH113" s="602"/>
      <c r="AI113" s="602"/>
      <c r="AJ113" s="602"/>
      <c r="AK113" s="602"/>
      <c r="AL113" s="602"/>
      <c r="AM113" s="602"/>
      <c r="AN113" s="602"/>
      <c r="AO113" s="602"/>
      <c r="AP113" s="602"/>
      <c r="AQ113" s="602"/>
      <c r="AR113" s="602"/>
      <c r="AS113" s="602"/>
      <c r="AT113" s="602"/>
      <c r="AU113" s="602"/>
      <c r="AV113" s="602"/>
      <c r="AW113" s="602"/>
      <c r="AX113" s="602"/>
      <c r="AY113" s="602"/>
      <c r="AZ113" s="602"/>
      <c r="BA113" s="602"/>
      <c r="BB113" s="602"/>
      <c r="BC113" s="602"/>
      <c r="BD113" s="602"/>
      <c r="BE113" s="602"/>
      <c r="BF113" s="602"/>
      <c r="BG113" s="602"/>
      <c r="BH113" s="602"/>
      <c r="BI113" s="602"/>
      <c r="BJ113" s="602"/>
      <c r="BK113" s="602"/>
      <c r="BL113" s="602"/>
      <c r="BM113" s="602"/>
      <c r="BN113" s="602"/>
      <c r="BO113" s="602"/>
      <c r="BP113" s="602"/>
      <c r="BQ113" s="602"/>
      <c r="BR113" s="602"/>
      <c r="BS113" s="602"/>
      <c r="BT113" s="602"/>
      <c r="BU113" s="602"/>
      <c r="BV113" s="602"/>
      <c r="BW113" s="602"/>
      <c r="BX113" s="602"/>
      <c r="BY113" s="602"/>
      <c r="BZ113" s="602"/>
      <c r="CA113" s="602"/>
      <c r="CB113" s="602"/>
      <c r="CC113" s="602"/>
      <c r="CD113" s="602"/>
      <c r="CE113" s="602"/>
      <c r="CF113" s="602"/>
      <c r="CG113" s="602"/>
      <c r="CH113" s="602"/>
      <c r="CI113" s="602"/>
      <c r="CJ113" s="602"/>
      <c r="CK113" s="602"/>
      <c r="CL113" s="602"/>
      <c r="CM113" s="602"/>
      <c r="CN113" s="602"/>
      <c r="CO113" s="602"/>
      <c r="CP113" s="602"/>
      <c r="CQ113" s="602"/>
      <c r="CR113" s="602"/>
      <c r="CS113" s="602"/>
      <c r="CT113" s="602"/>
      <c r="CU113" s="602"/>
      <c r="CV113" s="602"/>
      <c r="CW113" s="602"/>
      <c r="CX113" s="602"/>
      <c r="CY113" s="602"/>
      <c r="CZ113" s="602"/>
      <c r="DA113" s="602"/>
      <c r="DB113" s="602"/>
      <c r="DC113" s="602"/>
      <c r="DD113" s="602"/>
      <c r="DE113" s="602"/>
      <c r="DF113" s="602"/>
      <c r="DG113" s="602"/>
      <c r="DH113" s="602"/>
      <c r="DI113" s="602"/>
      <c r="DJ113" s="602"/>
      <c r="DK113" s="602"/>
      <c r="DL113" s="602"/>
      <c r="DM113" s="602"/>
      <c r="DN113" s="602"/>
      <c r="DO113" s="602"/>
      <c r="DP113" s="602"/>
      <c r="DQ113" s="602"/>
      <c r="DR113" s="602"/>
      <c r="DS113" s="602"/>
      <c r="DT113" s="602"/>
      <c r="DU113" s="602"/>
      <c r="DV113" s="602"/>
      <c r="DW113" s="602"/>
      <c r="DX113" s="602"/>
      <c r="DY113" s="602"/>
      <c r="DZ113" s="602"/>
      <c r="EA113" s="602"/>
      <c r="EB113" s="602"/>
      <c r="EC113" s="602"/>
      <c r="ED113" s="602"/>
      <c r="EE113" s="602"/>
      <c r="EF113" s="602"/>
      <c r="EG113" s="602"/>
      <c r="EH113" s="602"/>
      <c r="EI113" s="602"/>
      <c r="EJ113" s="602"/>
      <c r="EK113" s="602"/>
      <c r="EL113" s="602"/>
      <c r="EM113" s="602"/>
      <c r="EN113" s="602"/>
      <c r="EO113" s="602"/>
      <c r="EP113" s="602"/>
      <c r="EQ113" s="602"/>
      <c r="ER113" s="602"/>
      <c r="ES113" s="602"/>
      <c r="ET113" s="602"/>
      <c r="EU113" s="602"/>
      <c r="EV113" s="602"/>
      <c r="EW113" s="602"/>
      <c r="EX113" s="602"/>
      <c r="EY113" s="602"/>
      <c r="EZ113" s="602"/>
      <c r="FA113" s="602"/>
      <c r="FB113" s="602"/>
      <c r="FC113" s="602"/>
      <c r="FD113" s="602"/>
      <c r="FE113" s="602"/>
      <c r="FF113" s="602"/>
      <c r="FG113" s="602"/>
      <c r="FH113" s="602"/>
      <c r="FI113" s="602"/>
      <c r="FJ113" s="602"/>
      <c r="FK113" s="602"/>
      <c r="FL113" s="602"/>
      <c r="FM113" s="602"/>
      <c r="FN113" s="602"/>
      <c r="FO113" s="602"/>
      <c r="FP113" s="602"/>
      <c r="FQ113" s="602"/>
      <c r="FR113" s="602"/>
      <c r="FS113" s="602"/>
      <c r="FT113" s="602"/>
      <c r="FU113" s="602"/>
      <c r="FV113" s="602"/>
      <c r="FW113" s="602"/>
      <c r="FX113" s="602"/>
      <c r="FY113" s="602"/>
      <c r="FZ113" s="602"/>
      <c r="GA113" s="602"/>
      <c r="GB113" s="602"/>
      <c r="GC113" s="602"/>
      <c r="GD113" s="602"/>
      <c r="GE113" s="602"/>
      <c r="GF113" s="602"/>
      <c r="GG113" s="602"/>
      <c r="GH113" s="602"/>
      <c r="GI113" s="602"/>
      <c r="GJ113" s="602"/>
      <c r="GK113" s="602"/>
      <c r="GL113" s="602"/>
      <c r="GM113" s="602"/>
      <c r="GN113" s="602"/>
      <c r="GO113" s="602"/>
      <c r="GP113" s="602"/>
      <c r="GQ113" s="602"/>
      <c r="GR113" s="602"/>
      <c r="GS113" s="602"/>
      <c r="GT113" s="602"/>
      <c r="GU113" s="602"/>
      <c r="GV113" s="602"/>
      <c r="GW113" s="602"/>
      <c r="GX113" s="602"/>
      <c r="GY113" s="602"/>
      <c r="GZ113" s="602"/>
      <c r="HA113" s="602"/>
      <c r="HB113" s="602"/>
      <c r="HC113" s="602"/>
      <c r="HD113" s="602"/>
      <c r="HE113" s="602"/>
      <c r="HF113" s="602"/>
      <c r="HG113" s="602"/>
      <c r="HH113" s="602"/>
      <c r="HI113" s="602"/>
      <c r="HJ113" s="602"/>
      <c r="HK113" s="602"/>
      <c r="HL113" s="602"/>
      <c r="HM113" s="602"/>
      <c r="HN113" s="602"/>
      <c r="HO113" s="602"/>
      <c r="HP113" s="602"/>
      <c r="HQ113" s="602"/>
      <c r="HR113" s="602"/>
      <c r="HS113" s="602"/>
      <c r="HT113" s="602"/>
      <c r="HU113" s="602"/>
      <c r="HV113" s="602"/>
      <c r="HW113" s="602"/>
      <c r="HX113" s="602"/>
      <c r="HY113" s="602"/>
      <c r="HZ113" s="602"/>
      <c r="IA113" s="602"/>
      <c r="IB113" s="602"/>
      <c r="IC113" s="602"/>
      <c r="ID113" s="602"/>
      <c r="IE113" s="602"/>
      <c r="IF113" s="602"/>
      <c r="IG113" s="602"/>
      <c r="IH113" s="602"/>
      <c r="II113" s="602"/>
      <c r="IJ113" s="602"/>
      <c r="IK113" s="602"/>
      <c r="IL113" s="602"/>
      <c r="IM113" s="602"/>
      <c r="IN113" s="602"/>
      <c r="IO113" s="602"/>
      <c r="IP113" s="602"/>
      <c r="IQ113" s="602"/>
      <c r="IR113" s="602"/>
      <c r="IS113" s="602"/>
      <c r="IT113" s="602"/>
      <c r="IU113" s="602"/>
      <c r="IV113" s="602"/>
    </row>
    <row r="114" spans="1:256" ht="16.5" customHeight="1" thickBot="1">
      <c r="A114" s="2"/>
      <c r="B114" s="631"/>
      <c r="C114" s="40"/>
      <c r="D114" s="40"/>
      <c r="E114" s="1098">
        <v>0</v>
      </c>
      <c r="F114" s="800">
        <v>6</v>
      </c>
      <c r="G114" s="528" t="s">
        <v>945</v>
      </c>
      <c r="H114" s="777"/>
      <c r="I114" s="777"/>
      <c r="J114" s="778"/>
      <c r="K114" s="637">
        <v>2</v>
      </c>
      <c r="L114" s="637">
        <v>1</v>
      </c>
      <c r="M114" s="583">
        <v>0</v>
      </c>
      <c r="N114" s="40"/>
      <c r="O114" s="146"/>
      <c r="P114" s="638">
        <v>2</v>
      </c>
      <c r="Q114" s="318">
        <v>1</v>
      </c>
      <c r="R114" s="639">
        <v>0</v>
      </c>
      <c r="S114" s="416" t="s">
        <v>456</v>
      </c>
      <c r="T114" s="148"/>
      <c r="U114" s="619"/>
      <c r="V114" s="304"/>
      <c r="W114" s="304"/>
      <c r="X114" s="148"/>
      <c r="Y114" s="602"/>
      <c r="Z114" s="602"/>
      <c r="AA114" s="602"/>
      <c r="AB114" s="602"/>
      <c r="AC114" s="602"/>
      <c r="AD114" s="602"/>
      <c r="AE114" s="602"/>
      <c r="AF114" s="602"/>
      <c r="AG114" s="602"/>
      <c r="AH114" s="602"/>
      <c r="AI114" s="602"/>
      <c r="AJ114" s="602"/>
      <c r="AK114" s="602"/>
      <c r="AL114" s="602"/>
      <c r="AM114" s="602"/>
      <c r="AN114" s="602"/>
      <c r="AO114" s="602"/>
      <c r="AP114" s="602"/>
      <c r="AQ114" s="602"/>
      <c r="AR114" s="602"/>
      <c r="AS114" s="602"/>
      <c r="AT114" s="602"/>
      <c r="AU114" s="602"/>
      <c r="AV114" s="602"/>
      <c r="AW114" s="602"/>
      <c r="AX114" s="602"/>
      <c r="AY114" s="602"/>
      <c r="AZ114" s="602"/>
      <c r="BA114" s="602"/>
      <c r="BB114" s="602"/>
      <c r="BC114" s="602"/>
      <c r="BD114" s="602"/>
      <c r="BE114" s="602"/>
      <c r="BF114" s="602"/>
      <c r="BG114" s="602"/>
      <c r="BH114" s="602"/>
      <c r="BI114" s="602"/>
      <c r="BJ114" s="602"/>
      <c r="BK114" s="602"/>
      <c r="BL114" s="602"/>
      <c r="BM114" s="602"/>
      <c r="BN114" s="602"/>
      <c r="BO114" s="602"/>
      <c r="BP114" s="602"/>
      <c r="BQ114" s="602"/>
      <c r="BR114" s="602"/>
      <c r="BS114" s="602"/>
      <c r="BT114" s="602"/>
      <c r="BU114" s="602"/>
      <c r="BV114" s="602"/>
      <c r="BW114" s="602"/>
      <c r="BX114" s="602"/>
      <c r="BY114" s="602"/>
      <c r="BZ114" s="602"/>
      <c r="CA114" s="602"/>
      <c r="CB114" s="602"/>
      <c r="CC114" s="602"/>
      <c r="CD114" s="602"/>
      <c r="CE114" s="602"/>
      <c r="CF114" s="602"/>
      <c r="CG114" s="602"/>
      <c r="CH114" s="602"/>
      <c r="CI114" s="602"/>
      <c r="CJ114" s="602"/>
      <c r="CK114" s="602"/>
      <c r="CL114" s="602"/>
      <c r="CM114" s="602"/>
      <c r="CN114" s="602"/>
      <c r="CO114" s="602"/>
      <c r="CP114" s="602"/>
      <c r="CQ114" s="602"/>
      <c r="CR114" s="602"/>
      <c r="CS114" s="602"/>
      <c r="CT114" s="602"/>
      <c r="CU114" s="602"/>
      <c r="CV114" s="602"/>
      <c r="CW114" s="602"/>
      <c r="CX114" s="602"/>
      <c r="CY114" s="602"/>
      <c r="CZ114" s="602"/>
      <c r="DA114" s="602"/>
      <c r="DB114" s="602"/>
      <c r="DC114" s="602"/>
      <c r="DD114" s="602"/>
      <c r="DE114" s="602"/>
      <c r="DF114" s="602"/>
      <c r="DG114" s="602"/>
      <c r="DH114" s="602"/>
      <c r="DI114" s="602"/>
      <c r="DJ114" s="602"/>
      <c r="DK114" s="602"/>
      <c r="DL114" s="602"/>
      <c r="DM114" s="602"/>
      <c r="DN114" s="602"/>
      <c r="DO114" s="602"/>
      <c r="DP114" s="602"/>
      <c r="DQ114" s="602"/>
      <c r="DR114" s="602"/>
      <c r="DS114" s="602"/>
      <c r="DT114" s="602"/>
      <c r="DU114" s="602"/>
      <c r="DV114" s="602"/>
      <c r="DW114" s="602"/>
      <c r="DX114" s="602"/>
      <c r="DY114" s="602"/>
      <c r="DZ114" s="602"/>
      <c r="EA114" s="602"/>
      <c r="EB114" s="602"/>
      <c r="EC114" s="602"/>
      <c r="ED114" s="602"/>
      <c r="EE114" s="602"/>
      <c r="EF114" s="602"/>
      <c r="EG114" s="602"/>
      <c r="EH114" s="602"/>
      <c r="EI114" s="602"/>
      <c r="EJ114" s="602"/>
      <c r="EK114" s="602"/>
      <c r="EL114" s="602"/>
      <c r="EM114" s="602"/>
      <c r="EN114" s="602"/>
      <c r="EO114" s="602"/>
      <c r="EP114" s="602"/>
      <c r="EQ114" s="602"/>
      <c r="ER114" s="602"/>
      <c r="ES114" s="602"/>
      <c r="ET114" s="602"/>
      <c r="EU114" s="602"/>
      <c r="EV114" s="602"/>
      <c r="EW114" s="602"/>
      <c r="EX114" s="602"/>
      <c r="EY114" s="602"/>
      <c r="EZ114" s="602"/>
      <c r="FA114" s="602"/>
      <c r="FB114" s="602"/>
      <c r="FC114" s="602"/>
      <c r="FD114" s="602"/>
      <c r="FE114" s="602"/>
      <c r="FF114" s="602"/>
      <c r="FG114" s="602"/>
      <c r="FH114" s="602"/>
      <c r="FI114" s="602"/>
      <c r="FJ114" s="602"/>
      <c r="FK114" s="602"/>
      <c r="FL114" s="602"/>
      <c r="FM114" s="602"/>
      <c r="FN114" s="602"/>
      <c r="FO114" s="602"/>
      <c r="FP114" s="602"/>
      <c r="FQ114" s="602"/>
      <c r="FR114" s="602"/>
      <c r="FS114" s="602"/>
      <c r="FT114" s="602"/>
      <c r="FU114" s="602"/>
      <c r="FV114" s="602"/>
      <c r="FW114" s="602"/>
      <c r="FX114" s="602"/>
      <c r="FY114" s="602"/>
      <c r="FZ114" s="602"/>
      <c r="GA114" s="602"/>
      <c r="GB114" s="602"/>
      <c r="GC114" s="602"/>
      <c r="GD114" s="602"/>
      <c r="GE114" s="602"/>
      <c r="GF114" s="602"/>
      <c r="GG114" s="602"/>
      <c r="GH114" s="602"/>
      <c r="GI114" s="602"/>
      <c r="GJ114" s="602"/>
      <c r="GK114" s="602"/>
      <c r="GL114" s="602"/>
      <c r="GM114" s="602"/>
      <c r="GN114" s="602"/>
      <c r="GO114" s="602"/>
      <c r="GP114" s="602"/>
      <c r="GQ114" s="602"/>
      <c r="GR114" s="602"/>
      <c r="GS114" s="602"/>
      <c r="GT114" s="602"/>
      <c r="GU114" s="602"/>
      <c r="GV114" s="602"/>
      <c r="GW114" s="602"/>
      <c r="GX114" s="602"/>
      <c r="GY114" s="602"/>
      <c r="GZ114" s="602"/>
      <c r="HA114" s="602"/>
      <c r="HB114" s="602"/>
      <c r="HC114" s="602"/>
      <c r="HD114" s="602"/>
      <c r="HE114" s="602"/>
      <c r="HF114" s="602"/>
      <c r="HG114" s="602"/>
      <c r="HH114" s="602"/>
      <c r="HI114" s="602"/>
      <c r="HJ114" s="602"/>
      <c r="HK114" s="602"/>
      <c r="HL114" s="602"/>
      <c r="HM114" s="602"/>
      <c r="HN114" s="602"/>
      <c r="HO114" s="602"/>
      <c r="HP114" s="602"/>
      <c r="HQ114" s="602"/>
      <c r="HR114" s="602"/>
      <c r="HS114" s="602"/>
      <c r="HT114" s="602"/>
      <c r="HU114" s="602"/>
      <c r="HV114" s="602"/>
      <c r="HW114" s="602"/>
      <c r="HX114" s="602"/>
      <c r="HY114" s="602"/>
      <c r="HZ114" s="602"/>
      <c r="IA114" s="602"/>
      <c r="IB114" s="602"/>
      <c r="IC114" s="602"/>
      <c r="ID114" s="602"/>
      <c r="IE114" s="602"/>
      <c r="IF114" s="602"/>
      <c r="IG114" s="602"/>
      <c r="IH114" s="602"/>
      <c r="II114" s="602"/>
      <c r="IJ114" s="602"/>
      <c r="IK114" s="602"/>
      <c r="IL114" s="602"/>
      <c r="IM114" s="602"/>
      <c r="IN114" s="602"/>
      <c r="IO114" s="602"/>
      <c r="IP114" s="602"/>
      <c r="IQ114" s="602"/>
      <c r="IR114" s="602"/>
      <c r="IS114" s="602"/>
      <c r="IT114" s="602"/>
      <c r="IU114" s="602"/>
      <c r="IV114" s="602"/>
    </row>
    <row r="115" spans="1:256" ht="16.5" customHeight="1">
      <c r="A115" s="2"/>
      <c r="B115" s="381"/>
      <c r="C115" s="612"/>
      <c r="D115" s="612"/>
      <c r="E115" s="1059" t="s">
        <v>292</v>
      </c>
      <c r="F115" s="560">
        <f>SUM(E109:E114)</f>
        <v>5</v>
      </c>
      <c r="G115" s="1060" t="s">
        <v>890</v>
      </c>
      <c r="H115" s="560">
        <f>SUM(P109:P114)-COUNTIF(E109:E114,S110)*2</f>
        <v>12</v>
      </c>
      <c r="I115" s="2448"/>
      <c r="J115" s="2448"/>
      <c r="K115" s="2449" t="s">
        <v>891</v>
      </c>
      <c r="L115" s="2449"/>
      <c r="M115" s="1061">
        <f>F115/H115</f>
        <v>0.41666666666666669</v>
      </c>
      <c r="N115" s="612"/>
      <c r="O115" s="146"/>
      <c r="P115" s="1048"/>
      <c r="Q115" s="146"/>
      <c r="R115" s="304"/>
      <c r="S115" s="148"/>
      <c r="T115" s="148"/>
      <c r="U115" s="1048"/>
      <c r="V115" s="304"/>
      <c r="W115" s="304"/>
      <c r="X115" s="148"/>
      <c r="Y115" s="1062"/>
      <c r="Z115" s="1062"/>
      <c r="AA115" s="1062"/>
      <c r="AB115" s="1062"/>
      <c r="AC115" s="1062"/>
      <c r="AD115" s="1062"/>
      <c r="AE115" s="1062"/>
      <c r="AF115" s="1062"/>
      <c r="AG115" s="1062"/>
      <c r="AH115" s="1062"/>
      <c r="AI115" s="1062"/>
      <c r="AJ115" s="1062"/>
      <c r="AK115" s="1062"/>
      <c r="AL115" s="1062"/>
      <c r="AM115" s="1062"/>
      <c r="AN115" s="1062"/>
      <c r="AO115" s="1062"/>
      <c r="AP115" s="1062"/>
      <c r="AQ115" s="1062"/>
      <c r="AR115" s="1062"/>
      <c r="AS115" s="1062"/>
      <c r="AT115" s="1062"/>
      <c r="AU115" s="1062"/>
      <c r="AV115" s="1062"/>
      <c r="AW115" s="1062"/>
      <c r="AX115" s="1062"/>
      <c r="AY115" s="1062"/>
      <c r="AZ115" s="1062"/>
      <c r="BA115" s="1062"/>
      <c r="BB115" s="1062"/>
      <c r="BC115" s="1062"/>
      <c r="BD115" s="1062"/>
      <c r="BE115" s="1062"/>
      <c r="BF115" s="1062"/>
      <c r="BG115" s="1062"/>
      <c r="BH115" s="1062"/>
      <c r="BI115" s="1062"/>
      <c r="BJ115" s="1062"/>
      <c r="BK115" s="1062"/>
      <c r="BL115" s="1062"/>
      <c r="BM115" s="1062"/>
      <c r="BN115" s="1062"/>
      <c r="BO115" s="1062"/>
      <c r="BP115" s="1062"/>
      <c r="BQ115" s="1062"/>
      <c r="BR115" s="1062"/>
      <c r="BS115" s="1062"/>
      <c r="BT115" s="1062"/>
      <c r="BU115" s="1062"/>
      <c r="BV115" s="1062"/>
      <c r="BW115" s="1062"/>
      <c r="BX115" s="1062"/>
      <c r="BY115" s="1062"/>
      <c r="BZ115" s="1062"/>
      <c r="CA115" s="1062"/>
      <c r="CB115" s="1062"/>
      <c r="CC115" s="1062"/>
      <c r="CD115" s="1062"/>
      <c r="CE115" s="1062"/>
      <c r="CF115" s="1062"/>
      <c r="CG115" s="1062"/>
      <c r="CH115" s="1062"/>
      <c r="CI115" s="1062"/>
      <c r="CJ115" s="1062"/>
      <c r="CK115" s="1062"/>
      <c r="CL115" s="1062"/>
      <c r="CM115" s="1062"/>
      <c r="CN115" s="1062"/>
      <c r="CO115" s="1062"/>
      <c r="CP115" s="1062"/>
      <c r="CQ115" s="1062"/>
      <c r="CR115" s="1062"/>
      <c r="CS115" s="1062"/>
      <c r="CT115" s="1062"/>
      <c r="CU115" s="1062"/>
      <c r="CV115" s="1062"/>
      <c r="CW115" s="1062"/>
      <c r="CX115" s="1062"/>
      <c r="CY115" s="1062"/>
      <c r="CZ115" s="1062"/>
      <c r="DA115" s="1062"/>
      <c r="DB115" s="1062"/>
      <c r="DC115" s="1062"/>
      <c r="DD115" s="1062"/>
      <c r="DE115" s="1062"/>
      <c r="DF115" s="1062"/>
      <c r="DG115" s="1062"/>
      <c r="DH115" s="1062"/>
      <c r="DI115" s="1062"/>
      <c r="DJ115" s="1062"/>
      <c r="DK115" s="1062"/>
      <c r="DL115" s="1062"/>
      <c r="DM115" s="1062"/>
      <c r="DN115" s="1062"/>
      <c r="DO115" s="1062"/>
      <c r="DP115" s="1062"/>
      <c r="DQ115" s="1062"/>
      <c r="DR115" s="1062"/>
      <c r="DS115" s="1062"/>
      <c r="DT115" s="1062"/>
      <c r="DU115" s="1062"/>
      <c r="DV115" s="1062"/>
      <c r="DW115" s="1062"/>
      <c r="DX115" s="1062"/>
      <c r="DY115" s="1062"/>
      <c r="DZ115" s="1062"/>
      <c r="EA115" s="1062"/>
      <c r="EB115" s="1062"/>
      <c r="EC115" s="1062"/>
      <c r="ED115" s="1062"/>
      <c r="EE115" s="1062"/>
      <c r="EF115" s="1062"/>
      <c r="EG115" s="1062"/>
      <c r="EH115" s="1062"/>
      <c r="EI115" s="1062"/>
      <c r="EJ115" s="1062"/>
      <c r="EK115" s="1062"/>
      <c r="EL115" s="1062"/>
      <c r="EM115" s="1062"/>
      <c r="EN115" s="1062"/>
      <c r="EO115" s="1062"/>
      <c r="EP115" s="1062"/>
      <c r="EQ115" s="1062"/>
      <c r="ER115" s="1062"/>
      <c r="ES115" s="1062"/>
      <c r="ET115" s="1062"/>
      <c r="EU115" s="1062"/>
      <c r="EV115" s="1062"/>
      <c r="EW115" s="1062"/>
      <c r="EX115" s="1062"/>
      <c r="EY115" s="1062"/>
      <c r="EZ115" s="1062"/>
      <c r="FA115" s="1062"/>
      <c r="FB115" s="1062"/>
      <c r="FC115" s="1062"/>
      <c r="FD115" s="1062"/>
      <c r="FE115" s="1062"/>
      <c r="FF115" s="1062"/>
      <c r="FG115" s="1062"/>
      <c r="FH115" s="1062"/>
      <c r="FI115" s="1062"/>
      <c r="FJ115" s="1062"/>
      <c r="FK115" s="1062"/>
      <c r="FL115" s="1062"/>
      <c r="FM115" s="1062"/>
      <c r="FN115" s="1062"/>
      <c r="FO115" s="1062"/>
      <c r="FP115" s="1062"/>
      <c r="FQ115" s="1062"/>
      <c r="FR115" s="1062"/>
      <c r="FS115" s="1062"/>
      <c r="FT115" s="1062"/>
      <c r="FU115" s="1062"/>
      <c r="FV115" s="1062"/>
      <c r="FW115" s="1062"/>
      <c r="FX115" s="1062"/>
      <c r="FY115" s="1062"/>
      <c r="FZ115" s="1062"/>
      <c r="GA115" s="1062"/>
      <c r="GB115" s="1062"/>
      <c r="GC115" s="1062"/>
      <c r="GD115" s="1062"/>
      <c r="GE115" s="1062"/>
      <c r="GF115" s="1062"/>
      <c r="GG115" s="1062"/>
      <c r="GH115" s="1062"/>
      <c r="GI115" s="1062"/>
      <c r="GJ115" s="1062"/>
      <c r="GK115" s="1062"/>
      <c r="GL115" s="1062"/>
      <c r="GM115" s="1062"/>
      <c r="GN115" s="1062"/>
      <c r="GO115" s="1062"/>
      <c r="GP115" s="1062"/>
      <c r="GQ115" s="1062"/>
      <c r="GR115" s="1062"/>
      <c r="GS115" s="1062"/>
      <c r="GT115" s="1062"/>
      <c r="GU115" s="1062"/>
      <c r="GV115" s="1062"/>
      <c r="GW115" s="1062"/>
      <c r="GX115" s="1062"/>
      <c r="GY115" s="1062"/>
      <c r="GZ115" s="1062"/>
      <c r="HA115" s="1062"/>
      <c r="HB115" s="1062"/>
      <c r="HC115" s="1062"/>
      <c r="HD115" s="1062"/>
      <c r="HE115" s="1062"/>
      <c r="HF115" s="1062"/>
      <c r="HG115" s="1062"/>
      <c r="HH115" s="1062"/>
      <c r="HI115" s="1062"/>
      <c r="HJ115" s="1062"/>
      <c r="HK115" s="1062"/>
      <c r="HL115" s="1062"/>
      <c r="HM115" s="1062"/>
      <c r="HN115" s="1062"/>
      <c r="HO115" s="1062"/>
      <c r="HP115" s="1062"/>
      <c r="HQ115" s="1062"/>
      <c r="HR115" s="1062"/>
      <c r="HS115" s="1062"/>
      <c r="HT115" s="1062"/>
      <c r="HU115" s="1062"/>
      <c r="HV115" s="1062"/>
      <c r="HW115" s="1062"/>
      <c r="HX115" s="1062"/>
      <c r="HY115" s="1062"/>
      <c r="HZ115" s="1062"/>
      <c r="IA115" s="1062"/>
      <c r="IB115" s="1062"/>
      <c r="IC115" s="1062"/>
      <c r="ID115" s="1062"/>
      <c r="IE115" s="1062"/>
      <c r="IF115" s="1062"/>
      <c r="IG115" s="1062"/>
      <c r="IH115" s="1062"/>
      <c r="II115" s="1062"/>
      <c r="IJ115" s="1062"/>
      <c r="IK115" s="1062"/>
      <c r="IL115" s="1062"/>
      <c r="IM115" s="1062"/>
      <c r="IN115" s="1062"/>
      <c r="IO115" s="1062"/>
      <c r="IP115" s="1062"/>
      <c r="IQ115" s="1062"/>
      <c r="IR115" s="1062"/>
      <c r="IS115" s="1062"/>
      <c r="IT115" s="1062"/>
      <c r="IU115" s="1062"/>
      <c r="IV115" s="1062"/>
    </row>
    <row r="116" spans="1:256" ht="16.5" customHeight="1" thickBot="1">
      <c r="A116" s="2"/>
      <c r="B116" s="631"/>
      <c r="C116" s="40"/>
      <c r="D116" s="40"/>
      <c r="E116" s="1087" t="s">
        <v>425</v>
      </c>
      <c r="F116" s="40"/>
      <c r="G116" s="40"/>
      <c r="H116" s="40"/>
      <c r="I116" s="40"/>
      <c r="J116" s="40"/>
      <c r="K116" s="40"/>
      <c r="L116" s="40"/>
      <c r="M116" s="40"/>
      <c r="N116" s="40"/>
      <c r="O116" s="146"/>
      <c r="P116" s="619"/>
      <c r="Q116" s="146"/>
      <c r="R116" s="304"/>
      <c r="S116" s="148"/>
      <c r="T116" s="148"/>
      <c r="U116" s="619"/>
      <c r="V116" s="304"/>
      <c r="W116" s="304"/>
      <c r="X116" s="148"/>
      <c r="Y116" s="602"/>
      <c r="Z116" s="602"/>
      <c r="AA116" s="602"/>
      <c r="AB116" s="602"/>
      <c r="AC116" s="602"/>
      <c r="AD116" s="602"/>
      <c r="AE116" s="602"/>
      <c r="AF116" s="602"/>
      <c r="AG116" s="602"/>
      <c r="AH116" s="602"/>
      <c r="AI116" s="602"/>
      <c r="AJ116" s="602"/>
      <c r="AK116" s="602"/>
      <c r="AL116" s="602"/>
      <c r="AM116" s="602"/>
      <c r="AN116" s="602"/>
      <c r="AO116" s="602"/>
      <c r="AP116" s="602"/>
      <c r="AQ116" s="602"/>
      <c r="AR116" s="602"/>
      <c r="AS116" s="602"/>
      <c r="AT116" s="602"/>
      <c r="AU116" s="602"/>
      <c r="AV116" s="602"/>
      <c r="AW116" s="602"/>
      <c r="AX116" s="602"/>
      <c r="AY116" s="602"/>
      <c r="AZ116" s="602"/>
      <c r="BA116" s="602"/>
      <c r="BB116" s="602"/>
      <c r="BC116" s="602"/>
      <c r="BD116" s="602"/>
      <c r="BE116" s="602"/>
      <c r="BF116" s="602"/>
      <c r="BG116" s="602"/>
      <c r="BH116" s="602"/>
      <c r="BI116" s="602"/>
      <c r="BJ116" s="602"/>
      <c r="BK116" s="602"/>
      <c r="BL116" s="602"/>
      <c r="BM116" s="602"/>
      <c r="BN116" s="602"/>
      <c r="BO116" s="602"/>
      <c r="BP116" s="602"/>
      <c r="BQ116" s="602"/>
      <c r="BR116" s="602"/>
      <c r="BS116" s="602"/>
      <c r="BT116" s="602"/>
      <c r="BU116" s="602"/>
      <c r="BV116" s="602"/>
      <c r="BW116" s="602"/>
      <c r="BX116" s="602"/>
      <c r="BY116" s="602"/>
      <c r="BZ116" s="602"/>
      <c r="CA116" s="602"/>
      <c r="CB116" s="602"/>
      <c r="CC116" s="602"/>
      <c r="CD116" s="602"/>
      <c r="CE116" s="602"/>
      <c r="CF116" s="602"/>
      <c r="CG116" s="602"/>
      <c r="CH116" s="602"/>
      <c r="CI116" s="602"/>
      <c r="CJ116" s="602"/>
      <c r="CK116" s="602"/>
      <c r="CL116" s="602"/>
      <c r="CM116" s="602"/>
      <c r="CN116" s="602"/>
      <c r="CO116" s="602"/>
      <c r="CP116" s="602"/>
      <c r="CQ116" s="602"/>
      <c r="CR116" s="602"/>
      <c r="CS116" s="602"/>
      <c r="CT116" s="602"/>
      <c r="CU116" s="602"/>
      <c r="CV116" s="602"/>
      <c r="CW116" s="602"/>
      <c r="CX116" s="602"/>
      <c r="CY116" s="602"/>
      <c r="CZ116" s="602"/>
      <c r="DA116" s="602"/>
      <c r="DB116" s="602"/>
      <c r="DC116" s="602"/>
      <c r="DD116" s="602"/>
      <c r="DE116" s="602"/>
      <c r="DF116" s="602"/>
      <c r="DG116" s="602"/>
      <c r="DH116" s="602"/>
      <c r="DI116" s="602"/>
      <c r="DJ116" s="602"/>
      <c r="DK116" s="602"/>
      <c r="DL116" s="602"/>
      <c r="DM116" s="602"/>
      <c r="DN116" s="602"/>
      <c r="DO116" s="602"/>
      <c r="DP116" s="602"/>
      <c r="DQ116" s="602"/>
      <c r="DR116" s="602"/>
      <c r="DS116" s="602"/>
      <c r="DT116" s="602"/>
      <c r="DU116" s="602"/>
      <c r="DV116" s="602"/>
      <c r="DW116" s="602"/>
      <c r="DX116" s="602"/>
      <c r="DY116" s="602"/>
      <c r="DZ116" s="602"/>
      <c r="EA116" s="602"/>
      <c r="EB116" s="602"/>
      <c r="EC116" s="602"/>
      <c r="ED116" s="602"/>
      <c r="EE116" s="602"/>
      <c r="EF116" s="602"/>
      <c r="EG116" s="602"/>
      <c r="EH116" s="602"/>
      <c r="EI116" s="602"/>
      <c r="EJ116" s="602"/>
      <c r="EK116" s="602"/>
      <c r="EL116" s="602"/>
      <c r="EM116" s="602"/>
      <c r="EN116" s="602"/>
      <c r="EO116" s="602"/>
      <c r="EP116" s="602"/>
      <c r="EQ116" s="602"/>
      <c r="ER116" s="602"/>
      <c r="ES116" s="602"/>
      <c r="ET116" s="602"/>
      <c r="EU116" s="602"/>
      <c r="EV116" s="602"/>
      <c r="EW116" s="602"/>
      <c r="EX116" s="602"/>
      <c r="EY116" s="602"/>
      <c r="EZ116" s="602"/>
      <c r="FA116" s="602"/>
      <c r="FB116" s="602"/>
      <c r="FC116" s="602"/>
      <c r="FD116" s="602"/>
      <c r="FE116" s="602"/>
      <c r="FF116" s="602"/>
      <c r="FG116" s="602"/>
      <c r="FH116" s="602"/>
      <c r="FI116" s="602"/>
      <c r="FJ116" s="602"/>
      <c r="FK116" s="602"/>
      <c r="FL116" s="602"/>
      <c r="FM116" s="602"/>
      <c r="FN116" s="602"/>
      <c r="FO116" s="602"/>
      <c r="FP116" s="602"/>
      <c r="FQ116" s="602"/>
      <c r="FR116" s="602"/>
      <c r="FS116" s="602"/>
      <c r="FT116" s="602"/>
      <c r="FU116" s="602"/>
      <c r="FV116" s="602"/>
      <c r="FW116" s="602"/>
      <c r="FX116" s="602"/>
      <c r="FY116" s="602"/>
      <c r="FZ116" s="602"/>
      <c r="GA116" s="602"/>
      <c r="GB116" s="602"/>
      <c r="GC116" s="602"/>
      <c r="GD116" s="602"/>
      <c r="GE116" s="602"/>
      <c r="GF116" s="602"/>
      <c r="GG116" s="602"/>
      <c r="GH116" s="602"/>
      <c r="GI116" s="602"/>
      <c r="GJ116" s="602"/>
      <c r="GK116" s="602"/>
      <c r="GL116" s="602"/>
      <c r="GM116" s="602"/>
      <c r="GN116" s="602"/>
      <c r="GO116" s="602"/>
      <c r="GP116" s="602"/>
      <c r="GQ116" s="602"/>
      <c r="GR116" s="602"/>
      <c r="GS116" s="602"/>
      <c r="GT116" s="602"/>
      <c r="GU116" s="602"/>
      <c r="GV116" s="602"/>
      <c r="GW116" s="602"/>
      <c r="GX116" s="602"/>
      <c r="GY116" s="602"/>
      <c r="GZ116" s="602"/>
      <c r="HA116" s="602"/>
      <c r="HB116" s="602"/>
      <c r="HC116" s="602"/>
      <c r="HD116" s="602"/>
      <c r="HE116" s="602"/>
      <c r="HF116" s="602"/>
      <c r="HG116" s="602"/>
      <c r="HH116" s="602"/>
      <c r="HI116" s="602"/>
      <c r="HJ116" s="602"/>
      <c r="HK116" s="602"/>
      <c r="HL116" s="602"/>
      <c r="HM116" s="602"/>
      <c r="HN116" s="602"/>
      <c r="HO116" s="602"/>
      <c r="HP116" s="602"/>
      <c r="HQ116" s="602"/>
      <c r="HR116" s="602"/>
      <c r="HS116" s="602"/>
      <c r="HT116" s="602"/>
      <c r="HU116" s="602"/>
      <c r="HV116" s="602"/>
      <c r="HW116" s="602"/>
      <c r="HX116" s="602"/>
      <c r="HY116" s="602"/>
      <c r="HZ116" s="602"/>
      <c r="IA116" s="602"/>
      <c r="IB116" s="602"/>
      <c r="IC116" s="602"/>
      <c r="ID116" s="602"/>
      <c r="IE116" s="602"/>
      <c r="IF116" s="602"/>
      <c r="IG116" s="602"/>
      <c r="IH116" s="602"/>
      <c r="II116" s="602"/>
      <c r="IJ116" s="602"/>
      <c r="IK116" s="602"/>
      <c r="IL116" s="602"/>
      <c r="IM116" s="602"/>
      <c r="IN116" s="602"/>
      <c r="IO116" s="602"/>
      <c r="IP116" s="602"/>
      <c r="IQ116" s="602"/>
      <c r="IR116" s="602"/>
      <c r="IS116" s="602"/>
      <c r="IT116" s="602"/>
      <c r="IU116" s="602"/>
      <c r="IV116" s="602"/>
    </row>
    <row r="117" spans="1:256" ht="16.5" customHeight="1" thickBot="1">
      <c r="A117" s="2"/>
      <c r="B117" s="168"/>
      <c r="C117" s="38"/>
      <c r="D117" s="42"/>
      <c r="E117" s="979"/>
      <c r="F117" s="978" t="s">
        <v>740</v>
      </c>
      <c r="G117" s="545"/>
      <c r="H117" s="818"/>
      <c r="I117" s="818"/>
      <c r="J117" s="818"/>
      <c r="K117" s="818"/>
      <c r="L117" s="818"/>
      <c r="M117" s="819"/>
      <c r="N117" s="137"/>
      <c r="P117" s="619"/>
      <c r="T117" s="602"/>
      <c r="U117" s="619"/>
    </row>
    <row r="118" spans="1:256" ht="16.5" customHeight="1">
      <c r="A118" s="2"/>
      <c r="B118" s="168"/>
      <c r="C118" s="38"/>
      <c r="D118" s="42"/>
      <c r="E118" s="811"/>
      <c r="F118" s="532"/>
      <c r="G118" s="532"/>
      <c r="H118" s="532"/>
      <c r="I118" s="532"/>
      <c r="J118" s="532"/>
      <c r="K118" s="532" t="s">
        <v>449</v>
      </c>
      <c r="L118" s="532">
        <f>IF(E117="過半",2)+IF(E117="一部",1)</f>
        <v>0</v>
      </c>
      <c r="M118" s="531" t="s">
        <v>450</v>
      </c>
      <c r="N118" s="137"/>
      <c r="P118" s="619"/>
      <c r="T118" s="602"/>
      <c r="U118" s="619"/>
    </row>
    <row r="119" spans="1:256" s="148" customFormat="1" ht="8.25" customHeight="1">
      <c r="A119" s="55"/>
      <c r="B119" s="168"/>
      <c r="C119" s="611"/>
      <c r="D119" s="313"/>
      <c r="E119" s="313"/>
      <c r="F119" s="2"/>
      <c r="G119" s="2"/>
      <c r="H119" s="2"/>
      <c r="I119" s="2"/>
      <c r="J119" s="2"/>
      <c r="K119" s="2"/>
      <c r="L119" s="2"/>
      <c r="M119" s="2"/>
      <c r="N119" s="154"/>
      <c r="P119" s="588" t="s">
        <v>75</v>
      </c>
      <c r="Q119" s="328" t="s">
        <v>99</v>
      </c>
      <c r="R119" s="5"/>
      <c r="S119" s="5"/>
      <c r="T119" s="136"/>
    </row>
    <row r="120" spans="1:256" s="148" customFormat="1" ht="21" customHeight="1">
      <c r="A120" s="55"/>
      <c r="B120" s="168"/>
      <c r="C120" s="611"/>
      <c r="E120" s="786" t="s">
        <v>3</v>
      </c>
      <c r="F120" s="787"/>
      <c r="G120" s="1242"/>
      <c r="H120" s="1242"/>
      <c r="I120" s="1241"/>
      <c r="J120" s="1243"/>
      <c r="K120" s="1243"/>
      <c r="L120" s="1243"/>
      <c r="M120" s="1244"/>
      <c r="N120" s="154"/>
      <c r="P120" s="619"/>
      <c r="Q120" s="328"/>
      <c r="R120" s="5"/>
      <c r="S120" s="5"/>
      <c r="T120" s="136"/>
      <c r="U120" s="619"/>
      <c r="V120" s="136"/>
      <c r="W120" s="136"/>
      <c r="X120" s="136"/>
      <c r="Y120" s="136"/>
    </row>
    <row r="121" spans="1:256" ht="14.25" customHeight="1">
      <c r="A121" s="2"/>
      <c r="B121" s="631"/>
      <c r="C121" s="40"/>
      <c r="D121" s="40"/>
      <c r="E121" s="40"/>
      <c r="F121" s="40"/>
      <c r="G121" s="40"/>
      <c r="H121" s="40"/>
      <c r="I121" s="40"/>
      <c r="J121" s="40"/>
      <c r="K121" s="40"/>
      <c r="L121" s="40"/>
      <c r="M121" s="40"/>
      <c r="N121" s="40"/>
      <c r="O121" s="146"/>
      <c r="P121" s="619"/>
      <c r="Q121" s="146"/>
      <c r="R121" s="304"/>
      <c r="S121" s="148"/>
      <c r="T121" s="148"/>
      <c r="U121" s="619"/>
      <c r="V121" s="304"/>
      <c r="W121" s="304"/>
      <c r="X121" s="148"/>
      <c r="Y121" s="602"/>
      <c r="Z121" s="602"/>
      <c r="AA121" s="602"/>
      <c r="AB121" s="602"/>
      <c r="AC121" s="602"/>
      <c r="AD121" s="602"/>
      <c r="AE121" s="602"/>
      <c r="AF121" s="602"/>
      <c r="AG121" s="602"/>
      <c r="AH121" s="602"/>
      <c r="AI121" s="602"/>
      <c r="AJ121" s="602"/>
      <c r="AK121" s="602"/>
      <c r="AL121" s="602"/>
      <c r="AM121" s="602"/>
      <c r="AN121" s="602"/>
      <c r="AO121" s="602"/>
      <c r="AP121" s="602"/>
      <c r="AQ121" s="602"/>
      <c r="AR121" s="602"/>
      <c r="AS121" s="602"/>
      <c r="AT121" s="602"/>
      <c r="AU121" s="602"/>
      <c r="AV121" s="602"/>
      <c r="AW121" s="602"/>
      <c r="AX121" s="602"/>
      <c r="AY121" s="602"/>
      <c r="AZ121" s="602"/>
      <c r="BA121" s="602"/>
      <c r="BB121" s="602"/>
      <c r="BC121" s="602"/>
      <c r="BD121" s="602"/>
      <c r="BE121" s="602"/>
      <c r="BF121" s="602"/>
      <c r="BG121" s="602"/>
      <c r="BH121" s="602"/>
      <c r="BI121" s="602"/>
      <c r="BJ121" s="602"/>
      <c r="BK121" s="602"/>
      <c r="BL121" s="602"/>
      <c r="BM121" s="602"/>
      <c r="BN121" s="602"/>
      <c r="BO121" s="602"/>
      <c r="BP121" s="602"/>
      <c r="BQ121" s="602"/>
      <c r="BR121" s="602"/>
      <c r="BS121" s="602"/>
      <c r="BT121" s="602"/>
      <c r="BU121" s="602"/>
      <c r="BV121" s="602"/>
      <c r="BW121" s="602"/>
      <c r="BX121" s="602"/>
      <c r="BY121" s="602"/>
      <c r="BZ121" s="602"/>
      <c r="CA121" s="602"/>
      <c r="CB121" s="602"/>
      <c r="CC121" s="602"/>
      <c r="CD121" s="602"/>
      <c r="CE121" s="602"/>
      <c r="CF121" s="602"/>
      <c r="CG121" s="602"/>
      <c r="CH121" s="602"/>
      <c r="CI121" s="602"/>
      <c r="CJ121" s="602"/>
      <c r="CK121" s="602"/>
      <c r="CL121" s="602"/>
      <c r="CM121" s="602"/>
      <c r="CN121" s="602"/>
      <c r="CO121" s="602"/>
      <c r="CP121" s="602"/>
      <c r="CQ121" s="602"/>
      <c r="CR121" s="602"/>
      <c r="CS121" s="602"/>
      <c r="CT121" s="602"/>
      <c r="CU121" s="602"/>
      <c r="CV121" s="602"/>
      <c r="CW121" s="602"/>
      <c r="CX121" s="602"/>
      <c r="CY121" s="602"/>
      <c r="CZ121" s="602"/>
      <c r="DA121" s="602"/>
      <c r="DB121" s="602"/>
      <c r="DC121" s="602"/>
      <c r="DD121" s="602"/>
      <c r="DE121" s="602"/>
      <c r="DF121" s="602"/>
      <c r="DG121" s="602"/>
      <c r="DH121" s="602"/>
      <c r="DI121" s="602"/>
      <c r="DJ121" s="602"/>
      <c r="DK121" s="602"/>
      <c r="DL121" s="602"/>
      <c r="DM121" s="602"/>
      <c r="DN121" s="602"/>
      <c r="DO121" s="602"/>
      <c r="DP121" s="602"/>
      <c r="DQ121" s="602"/>
      <c r="DR121" s="602"/>
      <c r="DS121" s="602"/>
      <c r="DT121" s="602"/>
      <c r="DU121" s="602"/>
      <c r="DV121" s="602"/>
      <c r="DW121" s="602"/>
      <c r="DX121" s="602"/>
      <c r="DY121" s="602"/>
      <c r="DZ121" s="602"/>
      <c r="EA121" s="602"/>
      <c r="EB121" s="602"/>
      <c r="EC121" s="602"/>
      <c r="ED121" s="602"/>
      <c r="EE121" s="602"/>
      <c r="EF121" s="602"/>
      <c r="EG121" s="602"/>
      <c r="EH121" s="602"/>
      <c r="EI121" s="602"/>
      <c r="EJ121" s="602"/>
      <c r="EK121" s="602"/>
      <c r="EL121" s="602"/>
      <c r="EM121" s="602"/>
      <c r="EN121" s="602"/>
      <c r="EO121" s="602"/>
      <c r="EP121" s="602"/>
      <c r="EQ121" s="602"/>
      <c r="ER121" s="602"/>
      <c r="ES121" s="602"/>
      <c r="ET121" s="602"/>
      <c r="EU121" s="602"/>
      <c r="EV121" s="602"/>
      <c r="EW121" s="602"/>
      <c r="EX121" s="602"/>
      <c r="EY121" s="602"/>
      <c r="EZ121" s="602"/>
      <c r="FA121" s="602"/>
      <c r="FB121" s="602"/>
      <c r="FC121" s="602"/>
      <c r="FD121" s="602"/>
      <c r="FE121" s="602"/>
      <c r="FF121" s="602"/>
      <c r="FG121" s="602"/>
      <c r="FH121" s="602"/>
      <c r="FI121" s="602"/>
      <c r="FJ121" s="602"/>
      <c r="FK121" s="602"/>
      <c r="FL121" s="602"/>
      <c r="FM121" s="602"/>
      <c r="FN121" s="602"/>
      <c r="FO121" s="602"/>
      <c r="FP121" s="602"/>
      <c r="FQ121" s="602"/>
      <c r="FR121" s="602"/>
      <c r="FS121" s="602"/>
      <c r="FT121" s="602"/>
      <c r="FU121" s="602"/>
      <c r="FV121" s="602"/>
      <c r="FW121" s="602"/>
      <c r="FX121" s="602"/>
      <c r="FY121" s="602"/>
      <c r="FZ121" s="602"/>
      <c r="GA121" s="602"/>
      <c r="GB121" s="602"/>
      <c r="GC121" s="602"/>
      <c r="GD121" s="602"/>
      <c r="GE121" s="602"/>
      <c r="GF121" s="602"/>
      <c r="GG121" s="602"/>
      <c r="GH121" s="602"/>
      <c r="GI121" s="602"/>
      <c r="GJ121" s="602"/>
      <c r="GK121" s="602"/>
      <c r="GL121" s="602"/>
      <c r="GM121" s="602"/>
      <c r="GN121" s="602"/>
      <c r="GO121" s="602"/>
      <c r="GP121" s="602"/>
      <c r="GQ121" s="602"/>
      <c r="GR121" s="602"/>
      <c r="GS121" s="602"/>
      <c r="GT121" s="602"/>
      <c r="GU121" s="602"/>
      <c r="GV121" s="602"/>
      <c r="GW121" s="602"/>
      <c r="GX121" s="602"/>
      <c r="GY121" s="602"/>
      <c r="GZ121" s="602"/>
      <c r="HA121" s="602"/>
      <c r="HB121" s="602"/>
      <c r="HC121" s="602"/>
      <c r="HD121" s="602"/>
      <c r="HE121" s="602"/>
      <c r="HF121" s="602"/>
      <c r="HG121" s="602"/>
      <c r="HH121" s="602"/>
      <c r="HI121" s="602"/>
      <c r="HJ121" s="602"/>
      <c r="HK121" s="602"/>
      <c r="HL121" s="602"/>
      <c r="HM121" s="602"/>
      <c r="HN121" s="602"/>
      <c r="HO121" s="602"/>
      <c r="HP121" s="602"/>
      <c r="HQ121" s="602"/>
      <c r="HR121" s="602"/>
      <c r="HS121" s="602"/>
      <c r="HT121" s="602"/>
      <c r="HU121" s="602"/>
      <c r="HV121" s="602"/>
      <c r="HW121" s="602"/>
      <c r="HX121" s="602"/>
      <c r="HY121" s="602"/>
      <c r="HZ121" s="602"/>
      <c r="IA121" s="602"/>
      <c r="IB121" s="602"/>
      <c r="IC121" s="602"/>
      <c r="ID121" s="602"/>
      <c r="IE121" s="602"/>
      <c r="IF121" s="602"/>
      <c r="IG121" s="602"/>
      <c r="IH121" s="602"/>
      <c r="II121" s="602"/>
      <c r="IJ121" s="602"/>
      <c r="IK121" s="602"/>
      <c r="IL121" s="602"/>
      <c r="IM121" s="602"/>
      <c r="IN121" s="602"/>
      <c r="IO121" s="602"/>
      <c r="IP121" s="602"/>
      <c r="IQ121" s="602"/>
      <c r="IR121" s="602"/>
      <c r="IS121" s="602"/>
      <c r="IT121" s="602"/>
      <c r="IU121" s="602"/>
      <c r="IV121" s="602"/>
    </row>
    <row r="122" spans="1:256" s="331" customFormat="1" ht="14.25" customHeight="1">
      <c r="A122" s="24"/>
      <c r="B122" s="1090">
        <v>1.5</v>
      </c>
      <c r="C122" s="151" t="s">
        <v>596</v>
      </c>
      <c r="D122" s="151"/>
      <c r="E122" s="154"/>
      <c r="F122" s="314"/>
      <c r="G122" s="154"/>
      <c r="H122" s="154"/>
      <c r="I122" s="40"/>
      <c r="J122" s="40"/>
      <c r="K122" s="40"/>
      <c r="L122" s="40"/>
      <c r="M122" s="40"/>
      <c r="N122" s="24"/>
      <c r="O122" s="136"/>
      <c r="T122" s="136"/>
      <c r="V122" s="136"/>
      <c r="W122" s="136"/>
      <c r="X122" s="136"/>
      <c r="Y122" s="136"/>
    </row>
    <row r="123" spans="1:256" ht="16.5" customHeight="1" thickBot="1">
      <c r="A123" s="2"/>
      <c r="B123" s="631"/>
      <c r="C123" s="40"/>
      <c r="D123" s="139"/>
      <c r="E123" s="151"/>
      <c r="F123" s="154"/>
      <c r="G123" s="6"/>
      <c r="H123" s="6"/>
      <c r="I123" s="40"/>
      <c r="J123" s="40"/>
      <c r="K123" s="40"/>
      <c r="L123" s="180" t="s">
        <v>2</v>
      </c>
      <c r="M123" s="177">
        <f>重み!M71</f>
        <v>0.1</v>
      </c>
      <c r="N123" s="2"/>
      <c r="O123" s="148">
        <f>C123</f>
        <v>0</v>
      </c>
      <c r="P123" s="148">
        <f>D123</f>
        <v>0</v>
      </c>
      <c r="Q123" s="148">
        <f>E123</f>
        <v>0</v>
      </c>
      <c r="R123" s="148">
        <f>F123</f>
        <v>0</v>
      </c>
      <c r="S123" s="148" t="str">
        <f>L123</f>
        <v>重み係数＝</v>
      </c>
      <c r="T123" s="148">
        <f>M123</f>
        <v>0.1</v>
      </c>
      <c r="U123" s="148">
        <f>I123</f>
        <v>0</v>
      </c>
      <c r="V123" s="148">
        <f>J123</f>
        <v>0</v>
      </c>
      <c r="W123" s="148">
        <f>K123</f>
        <v>0</v>
      </c>
      <c r="X123" s="148" t="e">
        <f>#REF!</f>
        <v>#REF!</v>
      </c>
      <c r="Y123" s="136"/>
    </row>
    <row r="124" spans="1:256" ht="16.5" customHeight="1" thickBot="1">
      <c r="A124" s="2"/>
      <c r="B124" s="631"/>
      <c r="C124" s="40"/>
      <c r="D124" s="1077">
        <f>IF(COUNTIF(E132:E135,U4)&gt;0,5,3)</f>
        <v>3</v>
      </c>
      <c r="E124" s="2349" t="s">
        <v>467</v>
      </c>
      <c r="F124" s="2350"/>
      <c r="G124" s="2350"/>
      <c r="H124" s="2350"/>
      <c r="I124" s="2350"/>
      <c r="J124" s="2350"/>
      <c r="K124" s="2350"/>
      <c r="L124" s="2350"/>
      <c r="M124" s="2351"/>
      <c r="N124" s="2"/>
      <c r="O124" s="146"/>
      <c r="P124" s="148"/>
      <c r="Q124" s="146"/>
      <c r="R124" s="148"/>
      <c r="S124" s="148"/>
      <c r="T124" s="148"/>
      <c r="U124" s="148"/>
      <c r="V124" s="148"/>
      <c r="W124" s="148"/>
      <c r="X124" s="148"/>
    </row>
    <row r="125" spans="1:256" ht="16.5" customHeight="1">
      <c r="A125" s="2"/>
      <c r="B125" s="631"/>
      <c r="C125" s="40"/>
      <c r="D125" s="36" t="str">
        <f>IF(D124=$Q$18,$R$13,IF(ROUNDDOWN(D124,0)=$Q$13,$S$13,$R$13))</f>
        <v>　レベル　1</v>
      </c>
      <c r="E125" s="526" t="s">
        <v>459</v>
      </c>
      <c r="F125" s="584"/>
      <c r="G125" s="584"/>
      <c r="H125" s="584"/>
      <c r="I125" s="584"/>
      <c r="J125" s="584"/>
      <c r="K125" s="584"/>
      <c r="L125" s="584"/>
      <c r="M125" s="585"/>
      <c r="N125" s="2"/>
      <c r="O125" s="146"/>
      <c r="P125" s="588" t="s">
        <v>62</v>
      </c>
      <c r="Q125" s="146"/>
      <c r="R125" s="304"/>
      <c r="S125" s="148"/>
      <c r="T125" s="148"/>
      <c r="U125" s="588">
        <f>$Q$13</f>
        <v>1</v>
      </c>
      <c r="V125" s="304"/>
      <c r="W125" s="304"/>
      <c r="X125" s="148"/>
    </row>
    <row r="126" spans="1:256" ht="16.5" customHeight="1">
      <c r="A126" s="2"/>
      <c r="B126" s="631"/>
      <c r="C126" s="40"/>
      <c r="D126" s="39" t="str">
        <f>IF(D124=$Q$18,$R$14,IF(ROUNDDOWN(D124,0)=$Q$14,$S$14,$R$14))</f>
        <v>　レベル　2</v>
      </c>
      <c r="E126" s="527" t="s">
        <v>459</v>
      </c>
      <c r="F126" s="586"/>
      <c r="G126" s="586"/>
      <c r="H126" s="586"/>
      <c r="I126" s="586"/>
      <c r="J126" s="586"/>
      <c r="K126" s="586"/>
      <c r="L126" s="586"/>
      <c r="M126" s="587"/>
      <c r="N126" s="2"/>
      <c r="O126" s="146"/>
      <c r="P126" s="588" t="s">
        <v>62</v>
      </c>
      <c r="Q126" s="146"/>
      <c r="R126" s="304"/>
      <c r="S126" s="148"/>
      <c r="T126" s="148"/>
      <c r="U126" s="588">
        <f>$Q$14</f>
        <v>2</v>
      </c>
      <c r="V126" s="304"/>
      <c r="W126" s="304"/>
      <c r="X126" s="148"/>
    </row>
    <row r="127" spans="1:256" ht="16.5" customHeight="1">
      <c r="A127" s="2"/>
      <c r="B127" s="631"/>
      <c r="C127" s="40"/>
      <c r="D127" s="39" t="str">
        <f>IF(D124=$Q$18,$R$15,IF(ROUNDDOWN(D124,0)=$Q$15,$S$15,$R$15))</f>
        <v>■レベル　3</v>
      </c>
      <c r="E127" s="527" t="s">
        <v>293</v>
      </c>
      <c r="F127" s="586"/>
      <c r="G127" s="586"/>
      <c r="H127" s="586"/>
      <c r="I127" s="586"/>
      <c r="J127" s="586"/>
      <c r="K127" s="586"/>
      <c r="L127" s="586"/>
      <c r="M127" s="587"/>
      <c r="N127" s="2"/>
      <c r="O127" s="146"/>
      <c r="P127" s="588">
        <f>$Q$15</f>
        <v>3</v>
      </c>
      <c r="Q127" s="146"/>
      <c r="R127" s="304"/>
      <c r="S127" s="148"/>
      <c r="T127" s="148"/>
      <c r="U127" s="588">
        <f>$Q$15</f>
        <v>3</v>
      </c>
      <c r="V127" s="304"/>
      <c r="W127" s="304"/>
      <c r="X127" s="148"/>
    </row>
    <row r="128" spans="1:256" ht="16.5" customHeight="1">
      <c r="A128" s="2"/>
      <c r="B128" s="631"/>
      <c r="C128" s="40"/>
      <c r="D128" s="39" t="str">
        <f>IF(D124=$Q$18,$R$16,IF(ROUNDDOWN(D124,0)=$Q$16,$S$16,$R$16))</f>
        <v>　レベル　4</v>
      </c>
      <c r="E128" s="539" t="s">
        <v>459</v>
      </c>
      <c r="F128" s="589"/>
      <c r="G128" s="589"/>
      <c r="H128" s="589"/>
      <c r="I128" s="589"/>
      <c r="J128" s="589"/>
      <c r="K128" s="589"/>
      <c r="L128" s="589"/>
      <c r="M128" s="590"/>
      <c r="N128" s="2"/>
      <c r="O128" s="146"/>
      <c r="P128" s="588" t="s">
        <v>62</v>
      </c>
      <c r="Q128" s="146"/>
      <c r="R128" s="304"/>
      <c r="S128" s="148"/>
      <c r="T128" s="148"/>
      <c r="U128" s="588">
        <f>$Q$16</f>
        <v>4</v>
      </c>
      <c r="V128" s="304"/>
      <c r="W128" s="304"/>
      <c r="X128" s="148"/>
    </row>
    <row r="129" spans="1:256" ht="16.5" customHeight="1">
      <c r="A129" s="2"/>
      <c r="B129" s="631"/>
      <c r="C129" s="40"/>
      <c r="D129" s="37" t="str">
        <f>IF(D124=$Q$18,$R$17,IF(ROUNDDOWN(D124,0)=$Q$17,$S$17,$R$17))</f>
        <v>　レベル　5</v>
      </c>
      <c r="E129" s="565" t="s">
        <v>294</v>
      </c>
      <c r="F129" s="591"/>
      <c r="G129" s="591"/>
      <c r="H129" s="591"/>
      <c r="I129" s="591"/>
      <c r="J129" s="591"/>
      <c r="K129" s="591"/>
      <c r="L129" s="591"/>
      <c r="M129" s="592"/>
      <c r="N129" s="2"/>
      <c r="O129" s="146"/>
      <c r="P129" s="588">
        <f>$Q$17</f>
        <v>5</v>
      </c>
      <c r="Q129" s="146"/>
      <c r="R129" s="304"/>
      <c r="S129" s="148"/>
      <c r="T129" s="148"/>
      <c r="U129" s="588">
        <f>$Q$17</f>
        <v>5</v>
      </c>
      <c r="V129" s="304"/>
      <c r="W129" s="304"/>
      <c r="X129" s="148"/>
    </row>
    <row r="130" spans="1:256" ht="16.5" customHeight="1">
      <c r="A130" s="2"/>
      <c r="B130" s="631"/>
      <c r="C130" s="40"/>
      <c r="D130" s="40"/>
      <c r="E130" s="156" t="s">
        <v>41</v>
      </c>
      <c r="F130" s="55"/>
      <c r="G130" s="155"/>
      <c r="H130" s="44"/>
      <c r="I130" s="44"/>
      <c r="J130" s="55"/>
      <c r="K130" s="55"/>
      <c r="L130" s="55"/>
      <c r="M130" s="55"/>
      <c r="N130" s="40"/>
      <c r="O130" s="146"/>
      <c r="P130" s="588" t="s">
        <v>75</v>
      </c>
      <c r="Q130" s="146"/>
      <c r="R130" s="304"/>
      <c r="S130" s="148"/>
      <c r="T130" s="148"/>
      <c r="U130" s="588" t="str">
        <f>$Q$18</f>
        <v>対象外</v>
      </c>
      <c r="V130" s="304"/>
      <c r="W130" s="304"/>
      <c r="X130" s="148"/>
      <c r="Y130" s="602"/>
      <c r="Z130" s="602"/>
      <c r="AA130" s="602"/>
      <c r="AB130" s="602"/>
      <c r="AC130" s="602"/>
      <c r="AD130" s="602"/>
      <c r="AE130" s="602"/>
      <c r="AF130" s="602"/>
      <c r="AG130" s="602"/>
      <c r="AH130" s="602"/>
      <c r="AI130" s="602"/>
      <c r="AJ130" s="602"/>
      <c r="AK130" s="602"/>
      <c r="AL130" s="602"/>
      <c r="AM130" s="602"/>
      <c r="AN130" s="602"/>
      <c r="AO130" s="602"/>
      <c r="AP130" s="602"/>
      <c r="AQ130" s="602"/>
      <c r="AR130" s="602"/>
      <c r="AS130" s="602"/>
      <c r="AT130" s="602"/>
      <c r="AU130" s="602"/>
      <c r="AV130" s="602"/>
      <c r="AW130" s="602"/>
      <c r="AX130" s="602"/>
      <c r="AY130" s="602"/>
      <c r="AZ130" s="602"/>
      <c r="BA130" s="602"/>
      <c r="BB130" s="602"/>
      <c r="BC130" s="602"/>
      <c r="BD130" s="602"/>
      <c r="BE130" s="602"/>
      <c r="BF130" s="602"/>
      <c r="BG130" s="602"/>
      <c r="BH130" s="602"/>
      <c r="BI130" s="602"/>
      <c r="BJ130" s="602"/>
      <c r="BK130" s="602"/>
      <c r="BL130" s="602"/>
      <c r="BM130" s="602"/>
      <c r="BN130" s="602"/>
      <c r="BO130" s="602"/>
      <c r="BP130" s="602"/>
      <c r="BQ130" s="602"/>
      <c r="BR130" s="602"/>
      <c r="BS130" s="602"/>
      <c r="BT130" s="602"/>
      <c r="BU130" s="602"/>
      <c r="BV130" s="602"/>
      <c r="BW130" s="602"/>
      <c r="BX130" s="602"/>
      <c r="BY130" s="602"/>
      <c r="BZ130" s="602"/>
      <c r="CA130" s="602"/>
      <c r="CB130" s="602"/>
      <c r="CC130" s="602"/>
      <c r="CD130" s="602"/>
      <c r="CE130" s="602"/>
      <c r="CF130" s="602"/>
      <c r="CG130" s="602"/>
      <c r="CH130" s="602"/>
      <c r="CI130" s="602"/>
      <c r="CJ130" s="602"/>
      <c r="CK130" s="602"/>
      <c r="CL130" s="602"/>
      <c r="CM130" s="602"/>
      <c r="CN130" s="602"/>
      <c r="CO130" s="602"/>
      <c r="CP130" s="602"/>
      <c r="CQ130" s="602"/>
      <c r="CR130" s="602"/>
      <c r="CS130" s="602"/>
      <c r="CT130" s="602"/>
      <c r="CU130" s="602"/>
      <c r="CV130" s="602"/>
      <c r="CW130" s="602"/>
      <c r="CX130" s="602"/>
      <c r="CY130" s="602"/>
      <c r="CZ130" s="602"/>
      <c r="DA130" s="602"/>
      <c r="DB130" s="602"/>
      <c r="DC130" s="602"/>
      <c r="DD130" s="602"/>
      <c r="DE130" s="602"/>
      <c r="DF130" s="602"/>
      <c r="DG130" s="602"/>
      <c r="DH130" s="602"/>
      <c r="DI130" s="602"/>
      <c r="DJ130" s="602"/>
      <c r="DK130" s="602"/>
      <c r="DL130" s="602"/>
      <c r="DM130" s="602"/>
      <c r="DN130" s="602"/>
      <c r="DO130" s="602"/>
      <c r="DP130" s="602"/>
      <c r="DQ130" s="602"/>
      <c r="DR130" s="602"/>
      <c r="DS130" s="602"/>
      <c r="DT130" s="602"/>
      <c r="DU130" s="602"/>
      <c r="DV130" s="602"/>
      <c r="DW130" s="602"/>
      <c r="DX130" s="602"/>
      <c r="DY130" s="602"/>
      <c r="DZ130" s="602"/>
      <c r="EA130" s="602"/>
      <c r="EB130" s="602"/>
      <c r="EC130" s="602"/>
      <c r="ED130" s="602"/>
      <c r="EE130" s="602"/>
      <c r="EF130" s="602"/>
      <c r="EG130" s="602"/>
      <c r="EH130" s="602"/>
      <c r="EI130" s="602"/>
      <c r="EJ130" s="602"/>
      <c r="EK130" s="602"/>
      <c r="EL130" s="602"/>
      <c r="EM130" s="602"/>
      <c r="EN130" s="602"/>
      <c r="EO130" s="602"/>
      <c r="EP130" s="602"/>
      <c r="EQ130" s="602"/>
      <c r="ER130" s="602"/>
      <c r="ES130" s="602"/>
      <c r="ET130" s="602"/>
      <c r="EU130" s="602"/>
      <c r="EV130" s="602"/>
      <c r="EW130" s="602"/>
      <c r="EX130" s="602"/>
      <c r="EY130" s="602"/>
      <c r="EZ130" s="602"/>
      <c r="FA130" s="602"/>
      <c r="FB130" s="602"/>
      <c r="FC130" s="602"/>
      <c r="FD130" s="602"/>
      <c r="FE130" s="602"/>
      <c r="FF130" s="602"/>
      <c r="FG130" s="602"/>
      <c r="FH130" s="602"/>
      <c r="FI130" s="602"/>
      <c r="FJ130" s="602"/>
      <c r="FK130" s="602"/>
      <c r="FL130" s="602"/>
      <c r="FM130" s="602"/>
      <c r="FN130" s="602"/>
      <c r="FO130" s="602"/>
      <c r="FP130" s="602"/>
      <c r="FQ130" s="602"/>
      <c r="FR130" s="602"/>
      <c r="FS130" s="602"/>
      <c r="FT130" s="602"/>
      <c r="FU130" s="602"/>
      <c r="FV130" s="602"/>
      <c r="FW130" s="602"/>
      <c r="FX130" s="602"/>
      <c r="FY130" s="602"/>
      <c r="FZ130" s="602"/>
      <c r="GA130" s="602"/>
      <c r="GB130" s="602"/>
      <c r="GC130" s="602"/>
      <c r="GD130" s="602"/>
      <c r="GE130" s="602"/>
      <c r="GF130" s="602"/>
      <c r="GG130" s="602"/>
      <c r="GH130" s="602"/>
      <c r="GI130" s="602"/>
      <c r="GJ130" s="602"/>
      <c r="GK130" s="602"/>
      <c r="GL130" s="602"/>
      <c r="GM130" s="602"/>
      <c r="GN130" s="602"/>
      <c r="GO130" s="602"/>
      <c r="GP130" s="602"/>
      <c r="GQ130" s="602"/>
      <c r="GR130" s="602"/>
      <c r="GS130" s="602"/>
      <c r="GT130" s="602"/>
      <c r="GU130" s="602"/>
      <c r="GV130" s="602"/>
      <c r="GW130" s="602"/>
      <c r="GX130" s="602"/>
      <c r="GY130" s="602"/>
      <c r="GZ130" s="602"/>
      <c r="HA130" s="602"/>
      <c r="HB130" s="602"/>
      <c r="HC130" s="602"/>
      <c r="HD130" s="602"/>
      <c r="HE130" s="602"/>
      <c r="HF130" s="602"/>
      <c r="HG130" s="602"/>
      <c r="HH130" s="602"/>
      <c r="HI130" s="602"/>
      <c r="HJ130" s="602"/>
      <c r="HK130" s="602"/>
      <c r="HL130" s="602"/>
      <c r="HM130" s="602"/>
      <c r="HN130" s="602"/>
      <c r="HO130" s="602"/>
      <c r="HP130" s="602"/>
      <c r="HQ130" s="602"/>
      <c r="HR130" s="602"/>
      <c r="HS130" s="602"/>
      <c r="HT130" s="602"/>
      <c r="HU130" s="602"/>
      <c r="HV130" s="602"/>
      <c r="HW130" s="602"/>
      <c r="HX130" s="602"/>
      <c r="HY130" s="602"/>
      <c r="HZ130" s="602"/>
      <c r="IA130" s="602"/>
      <c r="IB130" s="602"/>
      <c r="IC130" s="602"/>
      <c r="ID130" s="602"/>
      <c r="IE130" s="602"/>
      <c r="IF130" s="602"/>
      <c r="IG130" s="602"/>
      <c r="IH130" s="602"/>
      <c r="II130" s="602"/>
      <c r="IJ130" s="602"/>
      <c r="IK130" s="602"/>
      <c r="IL130" s="602"/>
      <c r="IM130" s="602"/>
      <c r="IN130" s="602"/>
      <c r="IO130" s="602"/>
      <c r="IP130" s="602"/>
      <c r="IQ130" s="602"/>
      <c r="IR130" s="602"/>
      <c r="IS130" s="602"/>
      <c r="IT130" s="602"/>
      <c r="IU130" s="602"/>
      <c r="IV130" s="602"/>
    </row>
    <row r="131" spans="1:256" ht="16.5" customHeight="1" thickBot="1">
      <c r="A131" s="2"/>
      <c r="B131" s="631"/>
      <c r="C131" s="40"/>
      <c r="D131" s="40"/>
      <c r="E131" s="144" t="s">
        <v>394</v>
      </c>
      <c r="F131" s="578" t="s">
        <v>85</v>
      </c>
      <c r="G131" s="2375" t="s">
        <v>91</v>
      </c>
      <c r="H131" s="2376"/>
      <c r="I131" s="2376"/>
      <c r="J131" s="2376"/>
      <c r="K131" s="2376"/>
      <c r="L131" s="2376"/>
      <c r="M131" s="2377"/>
      <c r="N131" s="40"/>
      <c r="O131" s="146"/>
      <c r="P131" s="619"/>
      <c r="Q131" s="146"/>
      <c r="R131" s="304"/>
      <c r="S131" s="148"/>
      <c r="T131" s="148"/>
      <c r="U131" s="619"/>
      <c r="V131" s="304"/>
      <c r="W131" s="304"/>
      <c r="X131" s="148"/>
      <c r="Y131" s="602"/>
      <c r="Z131" s="602"/>
      <c r="AA131" s="602"/>
      <c r="AB131" s="602"/>
      <c r="AC131" s="602"/>
      <c r="AD131" s="602"/>
      <c r="AE131" s="602"/>
      <c r="AF131" s="602"/>
      <c r="AG131" s="602"/>
      <c r="AH131" s="602"/>
      <c r="AI131" s="602"/>
      <c r="AJ131" s="602"/>
      <c r="AK131" s="602"/>
      <c r="AL131" s="602"/>
      <c r="AM131" s="602"/>
      <c r="AN131" s="602"/>
      <c r="AO131" s="602"/>
      <c r="AP131" s="602"/>
      <c r="AQ131" s="602"/>
      <c r="AR131" s="602"/>
      <c r="AS131" s="602"/>
      <c r="AT131" s="602"/>
      <c r="AU131" s="602"/>
      <c r="AV131" s="602"/>
      <c r="AW131" s="602"/>
      <c r="AX131" s="602"/>
      <c r="AY131" s="602"/>
      <c r="AZ131" s="602"/>
      <c r="BA131" s="602"/>
      <c r="BB131" s="602"/>
      <c r="BC131" s="602"/>
      <c r="BD131" s="602"/>
      <c r="BE131" s="602"/>
      <c r="BF131" s="602"/>
      <c r="BG131" s="602"/>
      <c r="BH131" s="602"/>
      <c r="BI131" s="602"/>
      <c r="BJ131" s="602"/>
      <c r="BK131" s="602"/>
      <c r="BL131" s="602"/>
      <c r="BM131" s="602"/>
      <c r="BN131" s="602"/>
      <c r="BO131" s="602"/>
      <c r="BP131" s="602"/>
      <c r="BQ131" s="602"/>
      <c r="BR131" s="602"/>
      <c r="BS131" s="602"/>
      <c r="BT131" s="602"/>
      <c r="BU131" s="602"/>
      <c r="BV131" s="602"/>
      <c r="BW131" s="602"/>
      <c r="BX131" s="602"/>
      <c r="BY131" s="602"/>
      <c r="BZ131" s="602"/>
      <c r="CA131" s="602"/>
      <c r="CB131" s="602"/>
      <c r="CC131" s="602"/>
      <c r="CD131" s="602"/>
      <c r="CE131" s="602"/>
      <c r="CF131" s="602"/>
      <c r="CG131" s="602"/>
      <c r="CH131" s="602"/>
      <c r="CI131" s="602"/>
      <c r="CJ131" s="602"/>
      <c r="CK131" s="602"/>
      <c r="CL131" s="602"/>
      <c r="CM131" s="602"/>
      <c r="CN131" s="602"/>
      <c r="CO131" s="602"/>
      <c r="CP131" s="602"/>
      <c r="CQ131" s="602"/>
      <c r="CR131" s="602"/>
      <c r="CS131" s="602"/>
      <c r="CT131" s="602"/>
      <c r="CU131" s="602"/>
      <c r="CV131" s="602"/>
      <c r="CW131" s="602"/>
      <c r="CX131" s="602"/>
      <c r="CY131" s="602"/>
      <c r="CZ131" s="602"/>
      <c r="DA131" s="602"/>
      <c r="DB131" s="602"/>
      <c r="DC131" s="602"/>
      <c r="DD131" s="602"/>
      <c r="DE131" s="602"/>
      <c r="DF131" s="602"/>
      <c r="DG131" s="602"/>
      <c r="DH131" s="602"/>
      <c r="DI131" s="602"/>
      <c r="DJ131" s="602"/>
      <c r="DK131" s="602"/>
      <c r="DL131" s="602"/>
      <c r="DM131" s="602"/>
      <c r="DN131" s="602"/>
      <c r="DO131" s="602"/>
      <c r="DP131" s="602"/>
      <c r="DQ131" s="602"/>
      <c r="DR131" s="602"/>
      <c r="DS131" s="602"/>
      <c r="DT131" s="602"/>
      <c r="DU131" s="602"/>
      <c r="DV131" s="602"/>
      <c r="DW131" s="602"/>
      <c r="DX131" s="602"/>
      <c r="DY131" s="602"/>
      <c r="DZ131" s="602"/>
      <c r="EA131" s="602"/>
      <c r="EB131" s="602"/>
      <c r="EC131" s="602"/>
      <c r="ED131" s="602"/>
      <c r="EE131" s="602"/>
      <c r="EF131" s="602"/>
      <c r="EG131" s="602"/>
      <c r="EH131" s="602"/>
      <c r="EI131" s="602"/>
      <c r="EJ131" s="602"/>
      <c r="EK131" s="602"/>
      <c r="EL131" s="602"/>
      <c r="EM131" s="602"/>
      <c r="EN131" s="602"/>
      <c r="EO131" s="602"/>
      <c r="EP131" s="602"/>
      <c r="EQ131" s="602"/>
      <c r="ER131" s="602"/>
      <c r="ES131" s="602"/>
      <c r="ET131" s="602"/>
      <c r="EU131" s="602"/>
      <c r="EV131" s="602"/>
      <c r="EW131" s="602"/>
      <c r="EX131" s="602"/>
      <c r="EY131" s="602"/>
      <c r="EZ131" s="602"/>
      <c r="FA131" s="602"/>
      <c r="FB131" s="602"/>
      <c r="FC131" s="602"/>
      <c r="FD131" s="602"/>
      <c r="FE131" s="602"/>
      <c r="FF131" s="602"/>
      <c r="FG131" s="602"/>
      <c r="FH131" s="602"/>
      <c r="FI131" s="602"/>
      <c r="FJ131" s="602"/>
      <c r="FK131" s="602"/>
      <c r="FL131" s="602"/>
      <c r="FM131" s="602"/>
      <c r="FN131" s="602"/>
      <c r="FO131" s="602"/>
      <c r="FP131" s="602"/>
      <c r="FQ131" s="602"/>
      <c r="FR131" s="602"/>
      <c r="FS131" s="602"/>
      <c r="FT131" s="602"/>
      <c r="FU131" s="602"/>
      <c r="FV131" s="602"/>
      <c r="FW131" s="602"/>
      <c r="FX131" s="602"/>
      <c r="FY131" s="602"/>
      <c r="FZ131" s="602"/>
      <c r="GA131" s="602"/>
      <c r="GB131" s="602"/>
      <c r="GC131" s="602"/>
      <c r="GD131" s="602"/>
      <c r="GE131" s="602"/>
      <c r="GF131" s="602"/>
      <c r="GG131" s="602"/>
      <c r="GH131" s="602"/>
      <c r="GI131" s="602"/>
      <c r="GJ131" s="602"/>
      <c r="GK131" s="602"/>
      <c r="GL131" s="602"/>
      <c r="GM131" s="602"/>
      <c r="GN131" s="602"/>
      <c r="GO131" s="602"/>
      <c r="GP131" s="602"/>
      <c r="GQ131" s="602"/>
      <c r="GR131" s="602"/>
      <c r="GS131" s="602"/>
      <c r="GT131" s="602"/>
      <c r="GU131" s="602"/>
      <c r="GV131" s="602"/>
      <c r="GW131" s="602"/>
      <c r="GX131" s="602"/>
      <c r="GY131" s="602"/>
      <c r="GZ131" s="602"/>
      <c r="HA131" s="602"/>
      <c r="HB131" s="602"/>
      <c r="HC131" s="602"/>
      <c r="HD131" s="602"/>
      <c r="HE131" s="602"/>
      <c r="HF131" s="602"/>
      <c r="HG131" s="602"/>
      <c r="HH131" s="602"/>
      <c r="HI131" s="602"/>
      <c r="HJ131" s="602"/>
      <c r="HK131" s="602"/>
      <c r="HL131" s="602"/>
      <c r="HM131" s="602"/>
      <c r="HN131" s="602"/>
      <c r="HO131" s="602"/>
      <c r="HP131" s="602"/>
      <c r="HQ131" s="602"/>
      <c r="HR131" s="602"/>
      <c r="HS131" s="602"/>
      <c r="HT131" s="602"/>
      <c r="HU131" s="602"/>
      <c r="HV131" s="602"/>
      <c r="HW131" s="602"/>
      <c r="HX131" s="602"/>
      <c r="HY131" s="602"/>
      <c r="HZ131" s="602"/>
      <c r="IA131" s="602"/>
      <c r="IB131" s="602"/>
      <c r="IC131" s="602"/>
      <c r="ID131" s="602"/>
      <c r="IE131" s="602"/>
      <c r="IF131" s="602"/>
      <c r="IG131" s="602"/>
      <c r="IH131" s="602"/>
      <c r="II131" s="602"/>
      <c r="IJ131" s="602"/>
      <c r="IK131" s="602"/>
      <c r="IL131" s="602"/>
      <c r="IM131" s="602"/>
      <c r="IN131" s="602"/>
      <c r="IO131" s="602"/>
      <c r="IP131" s="602"/>
      <c r="IQ131" s="602"/>
      <c r="IR131" s="602"/>
      <c r="IS131" s="602"/>
      <c r="IT131" s="602"/>
      <c r="IU131" s="602"/>
      <c r="IV131" s="602"/>
    </row>
    <row r="132" spans="1:256" s="331" customFormat="1" ht="60.75" customHeight="1">
      <c r="A132" s="24"/>
      <c r="B132" s="631"/>
      <c r="C132" s="151"/>
      <c r="D132" s="26"/>
      <c r="E132" s="379"/>
      <c r="F132" s="515">
        <v>1</v>
      </c>
      <c r="G132" s="632" t="s">
        <v>754</v>
      </c>
      <c r="H132" s="641"/>
      <c r="I132" s="641"/>
      <c r="J132" s="2442" t="s">
        <v>757</v>
      </c>
      <c r="K132" s="2443"/>
      <c r="L132" s="2443"/>
      <c r="M132" s="2444"/>
      <c r="N132" s="24"/>
      <c r="O132" s="179"/>
      <c r="P132" s="329"/>
      <c r="Q132" s="179"/>
      <c r="R132" s="305"/>
      <c r="S132" s="305"/>
      <c r="T132" s="305"/>
      <c r="U132" s="305"/>
      <c r="V132" s="305"/>
      <c r="W132" s="305"/>
      <c r="X132" s="305"/>
      <c r="Y132" s="136"/>
    </row>
    <row r="133" spans="1:256" s="331" customFormat="1" ht="24" customHeight="1">
      <c r="A133" s="24"/>
      <c r="B133" s="631"/>
      <c r="C133" s="151"/>
      <c r="D133" s="26"/>
      <c r="E133" s="537"/>
      <c r="F133" s="579">
        <v>2</v>
      </c>
      <c r="G133" s="742" t="s">
        <v>892</v>
      </c>
      <c r="H133" s="743"/>
      <c r="I133" s="743"/>
      <c r="J133" s="2436" t="s">
        <v>893</v>
      </c>
      <c r="K133" s="2437"/>
      <c r="L133" s="2437"/>
      <c r="M133" s="2438"/>
      <c r="N133" s="24"/>
      <c r="O133" s="179"/>
      <c r="P133" s="329"/>
      <c r="Q133" s="179"/>
      <c r="R133" s="305"/>
      <c r="S133" s="305"/>
      <c r="T133" s="305"/>
      <c r="U133" s="305"/>
      <c r="V133" s="305"/>
      <c r="W133" s="305"/>
      <c r="X133" s="305"/>
      <c r="Y133" s="136"/>
    </row>
    <row r="134" spans="1:256" s="331" customFormat="1" ht="24" customHeight="1">
      <c r="A134" s="24"/>
      <c r="B134" s="631"/>
      <c r="C134" s="151"/>
      <c r="D134" s="26"/>
      <c r="E134" s="537"/>
      <c r="F134" s="563">
        <v>3</v>
      </c>
      <c r="G134" s="178" t="s">
        <v>755</v>
      </c>
      <c r="H134" s="517"/>
      <c r="I134" s="517"/>
      <c r="J134" s="2436" t="s">
        <v>758</v>
      </c>
      <c r="K134" s="2437"/>
      <c r="L134" s="2437"/>
      <c r="M134" s="2438"/>
      <c r="N134" s="24"/>
      <c r="O134" s="179"/>
      <c r="P134" s="329"/>
      <c r="Q134" s="179"/>
      <c r="R134" s="305"/>
      <c r="S134" s="305"/>
      <c r="T134" s="305"/>
      <c r="U134" s="305"/>
      <c r="V134" s="305"/>
      <c r="W134" s="305"/>
      <c r="X134" s="305"/>
      <c r="Y134" s="136"/>
    </row>
    <row r="135" spans="1:256" s="331" customFormat="1" ht="42" customHeight="1" thickBot="1">
      <c r="A135" s="24"/>
      <c r="B135" s="631"/>
      <c r="C135" s="151"/>
      <c r="D135" s="26"/>
      <c r="E135" s="380"/>
      <c r="F135" s="564">
        <v>4</v>
      </c>
      <c r="G135" s="2439" t="s">
        <v>756</v>
      </c>
      <c r="H135" s="2440"/>
      <c r="I135" s="2441"/>
      <c r="J135" s="2445" t="s">
        <v>759</v>
      </c>
      <c r="K135" s="2446"/>
      <c r="L135" s="2446"/>
      <c r="M135" s="2447"/>
      <c r="N135" s="24"/>
      <c r="O135" s="179"/>
      <c r="P135" s="329"/>
      <c r="Q135" s="179"/>
      <c r="R135" s="305"/>
      <c r="S135" s="305"/>
      <c r="T135" s="305"/>
      <c r="U135" s="305"/>
      <c r="V135" s="305"/>
      <c r="W135" s="305"/>
      <c r="X135" s="305"/>
      <c r="Y135" s="136"/>
    </row>
    <row r="136" spans="1:256" s="148" customFormat="1" ht="8.25" customHeight="1">
      <c r="A136" s="55"/>
      <c r="B136" s="168"/>
      <c r="C136" s="611"/>
      <c r="D136" s="313"/>
      <c r="E136" s="313"/>
      <c r="F136" s="2"/>
      <c r="G136" s="2"/>
      <c r="H136" s="2"/>
      <c r="I136" s="2"/>
      <c r="J136" s="2"/>
      <c r="K136" s="2"/>
      <c r="L136" s="2"/>
      <c r="M136" s="2"/>
      <c r="N136" s="154"/>
      <c r="P136" s="588" t="s">
        <v>75</v>
      </c>
      <c r="Q136" s="328" t="s">
        <v>99</v>
      </c>
      <c r="R136" s="5"/>
      <c r="S136" s="5"/>
      <c r="T136" s="136"/>
    </row>
    <row r="137" spans="1:256" s="148" customFormat="1" ht="21" customHeight="1">
      <c r="A137" s="55"/>
      <c r="B137" s="168"/>
      <c r="C137" s="611"/>
      <c r="E137" s="786" t="s">
        <v>3</v>
      </c>
      <c r="F137" s="787"/>
      <c r="G137" s="1242"/>
      <c r="H137" s="1242"/>
      <c r="I137" s="1241"/>
      <c r="J137" s="1243"/>
      <c r="K137" s="1243"/>
      <c r="L137" s="1243"/>
      <c r="M137" s="1244"/>
      <c r="N137" s="154"/>
      <c r="P137" s="619"/>
      <c r="Q137" s="328"/>
      <c r="R137" s="5"/>
      <c r="S137" s="5"/>
      <c r="T137" s="136"/>
      <c r="U137" s="619"/>
      <c r="V137" s="136"/>
      <c r="W137" s="136"/>
      <c r="X137" s="136"/>
      <c r="Y137" s="136"/>
    </row>
    <row r="138" spans="1:256" ht="20.25" customHeight="1">
      <c r="A138" s="2"/>
      <c r="B138" s="631"/>
      <c r="C138" s="40"/>
      <c r="D138" s="138"/>
      <c r="E138" s="40"/>
      <c r="F138" s="40"/>
      <c r="G138" s="40"/>
      <c r="H138" s="300"/>
      <c r="I138" s="138"/>
      <c r="J138" s="165"/>
      <c r="K138" s="300"/>
      <c r="L138" s="300"/>
      <c r="M138" s="300"/>
      <c r="N138" s="40"/>
      <c r="O138" s="602"/>
    </row>
    <row r="139" spans="1:256" s="331" customFormat="1" ht="14.25" customHeight="1">
      <c r="A139" s="24"/>
      <c r="B139" s="1090">
        <v>2</v>
      </c>
      <c r="C139" s="151" t="s">
        <v>597</v>
      </c>
      <c r="D139" s="154"/>
      <c r="E139" s="154"/>
      <c r="F139" s="154"/>
      <c r="G139" s="154"/>
      <c r="H139" s="154"/>
      <c r="I139" s="154"/>
      <c r="J139" s="154"/>
      <c r="K139" s="154"/>
      <c r="L139" s="154"/>
      <c r="M139" s="154"/>
      <c r="N139" s="24"/>
    </row>
    <row r="140" spans="1:256" s="331" customFormat="1" ht="14.25" customHeight="1">
      <c r="A140" s="24"/>
      <c r="B140" s="168">
        <v>2.1</v>
      </c>
      <c r="C140" s="151" t="s">
        <v>626</v>
      </c>
      <c r="D140" s="154"/>
      <c r="E140" s="314"/>
      <c r="F140" s="154"/>
      <c r="G140" s="154"/>
      <c r="H140" s="154"/>
      <c r="I140" s="154"/>
      <c r="J140" s="154"/>
      <c r="K140" s="154"/>
      <c r="L140" s="154"/>
      <c r="M140" s="154"/>
      <c r="N140" s="24"/>
    </row>
    <row r="141" spans="1:256" ht="16.5" customHeight="1" thickBot="1">
      <c r="A141" s="2"/>
      <c r="B141" s="631"/>
      <c r="C141" s="40"/>
      <c r="D141" s="139"/>
      <c r="E141" s="151"/>
      <c r="F141" s="154"/>
      <c r="G141" s="6"/>
      <c r="H141" s="6"/>
      <c r="I141" s="154"/>
      <c r="J141" s="154"/>
      <c r="K141" s="154"/>
      <c r="L141" s="180" t="s">
        <v>2</v>
      </c>
      <c r="M141" s="177">
        <f>重み!M73</f>
        <v>0.33</v>
      </c>
      <c r="N141" s="2"/>
      <c r="O141" s="148">
        <f>C141</f>
        <v>0</v>
      </c>
      <c r="P141" s="148">
        <f>D141</f>
        <v>0</v>
      </c>
      <c r="Q141" s="148">
        <f>E141</f>
        <v>0</v>
      </c>
      <c r="R141" s="148">
        <f>F141</f>
        <v>0</v>
      </c>
      <c r="S141" s="148" t="str">
        <f>L141</f>
        <v>重み係数＝</v>
      </c>
      <c r="T141" s="148">
        <f>M141</f>
        <v>0.33</v>
      </c>
      <c r="U141" s="148">
        <f>I141</f>
        <v>0</v>
      </c>
      <c r="V141" s="148">
        <f>J141</f>
        <v>0</v>
      </c>
      <c r="W141" s="148">
        <f>K141</f>
        <v>0</v>
      </c>
      <c r="X141" s="148" t="e">
        <f>#REF!</f>
        <v>#REF!</v>
      </c>
    </row>
    <row r="142" spans="1:256" ht="16.5" customHeight="1" thickBot="1">
      <c r="A142" s="2"/>
      <c r="B142" s="631"/>
      <c r="C142" s="40"/>
      <c r="D142" s="1077">
        <v>3</v>
      </c>
      <c r="E142" s="2349" t="s">
        <v>467</v>
      </c>
      <c r="F142" s="2350"/>
      <c r="G142" s="2350"/>
      <c r="H142" s="2350"/>
      <c r="I142" s="2350"/>
      <c r="J142" s="2350"/>
      <c r="K142" s="2350"/>
      <c r="L142" s="2350"/>
      <c r="M142" s="2351"/>
      <c r="N142" s="2"/>
      <c r="O142" s="146"/>
      <c r="P142" s="148"/>
      <c r="Q142" s="146"/>
      <c r="R142" s="148"/>
      <c r="S142" s="148"/>
      <c r="T142" s="148"/>
      <c r="U142" s="148"/>
      <c r="V142" s="148"/>
      <c r="W142" s="148"/>
      <c r="X142" s="148"/>
    </row>
    <row r="143" spans="1:256" ht="16.5" customHeight="1">
      <c r="A143" s="2"/>
      <c r="B143" s="631"/>
      <c r="C143" s="40"/>
      <c r="D143" s="36" t="str">
        <f>IF(D142=$Q$18,$R$13,IF(ROUNDDOWN(D142,0)=$Q$13,$S$13,$R$13))</f>
        <v>　レベル　1</v>
      </c>
      <c r="E143" s="526" t="s">
        <v>459</v>
      </c>
      <c r="F143" s="584"/>
      <c r="G143" s="584"/>
      <c r="H143" s="584"/>
      <c r="I143" s="584"/>
      <c r="J143" s="584"/>
      <c r="K143" s="584"/>
      <c r="L143" s="584"/>
      <c r="M143" s="585"/>
      <c r="N143" s="2"/>
      <c r="O143" s="146"/>
      <c r="P143" s="588" t="s">
        <v>62</v>
      </c>
      <c r="Q143" s="146"/>
      <c r="R143" s="304"/>
      <c r="S143" s="148"/>
      <c r="T143" s="148"/>
      <c r="U143" s="588">
        <f>$Q$13</f>
        <v>1</v>
      </c>
      <c r="V143" s="304"/>
      <c r="W143" s="304"/>
      <c r="X143" s="148"/>
    </row>
    <row r="144" spans="1:256" ht="16.5" customHeight="1">
      <c r="A144" s="2"/>
      <c r="B144" s="631"/>
      <c r="C144" s="40"/>
      <c r="D144" s="39" t="str">
        <f>IF(D142=$Q$18,$R$14,IF(ROUNDDOWN(D142,0)=$Q$14,$S$14,$R$14))</f>
        <v>　レベル　2</v>
      </c>
      <c r="E144" s="527" t="s">
        <v>459</v>
      </c>
      <c r="F144" s="586"/>
      <c r="G144" s="586"/>
      <c r="H144" s="586"/>
      <c r="I144" s="586"/>
      <c r="J144" s="586"/>
      <c r="K144" s="586"/>
      <c r="L144" s="586"/>
      <c r="M144" s="587"/>
      <c r="N144" s="2"/>
      <c r="O144" s="146"/>
      <c r="P144" s="588" t="s">
        <v>62</v>
      </c>
      <c r="Q144" s="146"/>
      <c r="R144" s="304"/>
      <c r="S144" s="148"/>
      <c r="T144" s="148"/>
      <c r="U144" s="588">
        <f>$Q$14</f>
        <v>2</v>
      </c>
      <c r="V144" s="304"/>
      <c r="W144" s="304"/>
      <c r="X144" s="148"/>
    </row>
    <row r="145" spans="1:25" ht="16.5" customHeight="1">
      <c r="A145" s="2"/>
      <c r="B145" s="631"/>
      <c r="C145" s="40"/>
      <c r="D145" s="39" t="str">
        <f>IF(D142=$Q$18,$R$15,IF(ROUNDDOWN(D142,0)=$Q$15,$S$15,$R$15))</f>
        <v>■レベル　3</v>
      </c>
      <c r="E145" s="527" t="s">
        <v>27</v>
      </c>
      <c r="F145" s="586"/>
      <c r="G145" s="586"/>
      <c r="H145" s="586"/>
      <c r="I145" s="586"/>
      <c r="J145" s="586"/>
      <c r="K145" s="586"/>
      <c r="L145" s="586"/>
      <c r="M145" s="587"/>
      <c r="N145" s="2"/>
      <c r="O145" s="146"/>
      <c r="P145" s="588">
        <f>$Q$15</f>
        <v>3</v>
      </c>
      <c r="Q145" s="146"/>
      <c r="R145" s="304"/>
      <c r="S145" s="148"/>
      <c r="T145" s="148"/>
      <c r="U145" s="588">
        <f>$Q$15</f>
        <v>3</v>
      </c>
      <c r="V145" s="304"/>
      <c r="W145" s="304"/>
      <c r="X145" s="148"/>
    </row>
    <row r="146" spans="1:25" ht="16.5" customHeight="1">
      <c r="A146" s="2"/>
      <c r="B146" s="631"/>
      <c r="C146" s="40"/>
      <c r="D146" s="39" t="str">
        <f>IF(D142=$Q$18,$R$16,IF(ROUNDDOWN(D142,0)=$Q$16,$S$16,$R$16))</f>
        <v>　レベル　4</v>
      </c>
      <c r="E146" s="539" t="s">
        <v>459</v>
      </c>
      <c r="F146" s="589"/>
      <c r="G146" s="589"/>
      <c r="H146" s="589"/>
      <c r="I146" s="589"/>
      <c r="J146" s="589"/>
      <c r="K146" s="589"/>
      <c r="L146" s="589"/>
      <c r="M146" s="590"/>
      <c r="N146" s="2"/>
      <c r="O146" s="146"/>
      <c r="P146" s="588" t="s">
        <v>62</v>
      </c>
      <c r="Q146" s="146"/>
      <c r="R146" s="304"/>
      <c r="S146" s="148"/>
      <c r="T146" s="148"/>
      <c r="U146" s="588">
        <f>$Q$16</f>
        <v>4</v>
      </c>
      <c r="V146" s="304"/>
      <c r="W146" s="304"/>
      <c r="X146" s="148"/>
    </row>
    <row r="147" spans="1:25" ht="24" customHeight="1">
      <c r="A147" s="2"/>
      <c r="B147" s="631"/>
      <c r="C147" s="40"/>
      <c r="D147" s="37" t="str">
        <f>IF(D142=$Q$18,$R$17,IF(ROUNDDOWN(D142,0)=$Q$17,$S$17,$R$17))</f>
        <v>　レベル　5</v>
      </c>
      <c r="E147" s="2368" t="s">
        <v>28</v>
      </c>
      <c r="F147" s="2380"/>
      <c r="G147" s="2380"/>
      <c r="H147" s="2380"/>
      <c r="I147" s="2380"/>
      <c r="J147" s="2380"/>
      <c r="K147" s="2380"/>
      <c r="L147" s="2380"/>
      <c r="M147" s="2381"/>
      <c r="N147" s="2"/>
      <c r="O147" s="146"/>
      <c r="P147" s="588">
        <f>$Q$17</f>
        <v>5</v>
      </c>
      <c r="Q147" s="146"/>
      <c r="R147" s="304"/>
      <c r="S147" s="148"/>
      <c r="T147" s="148"/>
      <c r="U147" s="588">
        <f>$Q$17</f>
        <v>5</v>
      </c>
      <c r="V147" s="304"/>
      <c r="W147" s="304"/>
      <c r="X147" s="148"/>
    </row>
    <row r="148" spans="1:25" s="148" customFormat="1" ht="8.25" customHeight="1">
      <c r="A148" s="55"/>
      <c r="B148" s="168"/>
      <c r="C148" s="611"/>
      <c r="D148" s="313"/>
      <c r="E148" s="313"/>
      <c r="F148" s="2"/>
      <c r="G148" s="2"/>
      <c r="H148" s="2"/>
      <c r="I148" s="2"/>
      <c r="J148" s="2"/>
      <c r="K148" s="2"/>
      <c r="L148" s="2"/>
      <c r="M148" s="2"/>
      <c r="N148" s="154"/>
      <c r="P148" s="588" t="str">
        <f>Q148</f>
        <v>対象外</v>
      </c>
      <c r="Q148" s="328" t="s">
        <v>99</v>
      </c>
      <c r="R148" s="5"/>
      <c r="S148" s="5"/>
      <c r="T148" s="136"/>
    </row>
    <row r="149" spans="1:25" s="148" customFormat="1" ht="21" customHeight="1">
      <c r="A149" s="55"/>
      <c r="B149" s="168"/>
      <c r="C149" s="611"/>
      <c r="E149" s="786" t="s">
        <v>3</v>
      </c>
      <c r="F149" s="787"/>
      <c r="G149" s="1242"/>
      <c r="H149" s="1242"/>
      <c r="I149" s="1241"/>
      <c r="J149" s="1243"/>
      <c r="K149" s="1243"/>
      <c r="L149" s="1243"/>
      <c r="M149" s="1244"/>
      <c r="N149" s="154"/>
      <c r="P149" s="619"/>
      <c r="Q149" s="328"/>
      <c r="R149" s="5"/>
      <c r="S149" s="5"/>
      <c r="T149" s="136"/>
      <c r="U149" s="619"/>
      <c r="V149" s="136"/>
      <c r="W149" s="136"/>
      <c r="X149" s="136"/>
      <c r="Y149" s="136"/>
    </row>
    <row r="150" spans="1:25">
      <c r="A150" s="2"/>
      <c r="B150" s="631"/>
      <c r="C150" s="40"/>
      <c r="D150" s="40"/>
      <c r="E150" s="40"/>
      <c r="F150" s="40"/>
      <c r="G150" s="40"/>
      <c r="H150" s="40"/>
      <c r="I150" s="40"/>
      <c r="J150" s="40"/>
      <c r="K150" s="40"/>
      <c r="L150" s="40"/>
      <c r="M150" s="40"/>
      <c r="N150" s="40"/>
      <c r="O150" s="146"/>
      <c r="P150" s="619"/>
      <c r="Q150" s="146"/>
      <c r="R150" s="304"/>
      <c r="S150" s="148"/>
      <c r="T150" s="148"/>
      <c r="U150" s="619"/>
      <c r="V150" s="304"/>
      <c r="W150" s="304"/>
      <c r="X150" s="148"/>
    </row>
    <row r="151" spans="1:25" ht="15.75">
      <c r="A151" s="2"/>
      <c r="B151" s="1090">
        <v>2.2000000000000002</v>
      </c>
      <c r="C151" s="151" t="s">
        <v>625</v>
      </c>
      <c r="D151" s="40"/>
      <c r="E151" s="40"/>
      <c r="F151" s="40"/>
      <c r="G151" s="40"/>
      <c r="H151" s="40"/>
      <c r="I151" s="40"/>
      <c r="J151" s="40"/>
      <c r="K151" s="40"/>
      <c r="L151" s="40"/>
      <c r="M151" s="40"/>
      <c r="N151" s="40"/>
      <c r="O151" s="146"/>
      <c r="P151" s="619"/>
      <c r="Q151" s="146"/>
      <c r="R151" s="304"/>
      <c r="S151" s="148"/>
      <c r="T151" s="148"/>
      <c r="U151" s="619"/>
      <c r="V151" s="304"/>
      <c r="W151" s="304"/>
      <c r="X151" s="148"/>
    </row>
    <row r="152" spans="1:25" s="331" customFormat="1" ht="16.5" customHeight="1" thickBot="1">
      <c r="A152" s="24"/>
      <c r="D152" s="151"/>
      <c r="E152" s="418"/>
      <c r="F152" s="306"/>
      <c r="G152" s="306"/>
      <c r="H152" s="306"/>
      <c r="I152" s="306"/>
      <c r="J152" s="306"/>
      <c r="K152" s="306"/>
      <c r="L152" s="180" t="s">
        <v>2</v>
      </c>
      <c r="M152" s="177">
        <f>重み!M74</f>
        <v>0.33</v>
      </c>
      <c r="N152" s="24"/>
      <c r="O152" s="148" t="str">
        <f>C151</f>
        <v>生産段階（構造躯体用以外の部材）</v>
      </c>
      <c r="P152" s="148">
        <f t="shared" ref="P152:X152" si="2">D152</f>
        <v>0</v>
      </c>
      <c r="Q152" s="148">
        <f t="shared" si="2"/>
        <v>0</v>
      </c>
      <c r="R152" s="148">
        <f t="shared" si="2"/>
        <v>0</v>
      </c>
      <c r="S152" s="148">
        <f t="shared" si="2"/>
        <v>0</v>
      </c>
      <c r="T152" s="148">
        <f t="shared" si="2"/>
        <v>0</v>
      </c>
      <c r="U152" s="148">
        <f t="shared" si="2"/>
        <v>0</v>
      </c>
      <c r="V152" s="148">
        <f t="shared" si="2"/>
        <v>0</v>
      </c>
      <c r="W152" s="148">
        <f t="shared" si="2"/>
        <v>0</v>
      </c>
      <c r="X152" s="148" t="str">
        <f t="shared" si="2"/>
        <v>重み係数＝</v>
      </c>
    </row>
    <row r="153" spans="1:25" ht="16.5" customHeight="1" thickBot="1">
      <c r="A153" s="2"/>
      <c r="B153" s="568"/>
      <c r="C153" s="137"/>
      <c r="D153" s="1077">
        <v>3</v>
      </c>
      <c r="E153" s="2349" t="s">
        <v>467</v>
      </c>
      <c r="F153" s="2350"/>
      <c r="G153" s="2350"/>
      <c r="H153" s="2350"/>
      <c r="I153" s="2350"/>
      <c r="J153" s="2350"/>
      <c r="K153" s="2350"/>
      <c r="L153" s="2350"/>
      <c r="M153" s="2351"/>
      <c r="N153" s="2"/>
      <c r="O153" s="146"/>
      <c r="P153" s="148"/>
      <c r="Q153" s="146"/>
      <c r="R153" s="148"/>
      <c r="S153" s="148"/>
      <c r="T153" s="148"/>
      <c r="U153" s="148"/>
      <c r="V153" s="148"/>
      <c r="W153" s="148"/>
      <c r="X153" s="148"/>
    </row>
    <row r="154" spans="1:25" ht="16.5" customHeight="1">
      <c r="A154" s="2"/>
      <c r="B154" s="568"/>
      <c r="C154" s="137"/>
      <c r="D154" s="36" t="str">
        <f>IF(D153=$Q$18,$R$13,IF(ROUNDDOWN(D153,0)=$Q$13,$S$13,$R$13))</f>
        <v>　レベル　1</v>
      </c>
      <c r="E154" s="526" t="s">
        <v>459</v>
      </c>
      <c r="F154" s="584"/>
      <c r="G154" s="584"/>
      <c r="H154" s="584"/>
      <c r="I154" s="584"/>
      <c r="J154" s="584"/>
      <c r="K154" s="584"/>
      <c r="L154" s="584"/>
      <c r="M154" s="585"/>
      <c r="N154" s="2"/>
      <c r="O154" s="146"/>
      <c r="P154" s="588" t="s">
        <v>62</v>
      </c>
      <c r="Q154" s="146"/>
      <c r="R154" s="304"/>
      <c r="S154" s="148"/>
      <c r="T154" s="148"/>
      <c r="U154" s="588">
        <f>$Q$13</f>
        <v>1</v>
      </c>
      <c r="V154" s="304"/>
      <c r="W154" s="304"/>
      <c r="X154" s="148"/>
    </row>
    <row r="155" spans="1:25" ht="16.5" customHeight="1">
      <c r="A155" s="2"/>
      <c r="B155" s="568"/>
      <c r="C155" s="137"/>
      <c r="D155" s="39" t="str">
        <f>IF(D153=$Q$18,$R$14,IF(ROUNDDOWN(D153,0)=$Q$14,$S$14,$R$14))</f>
        <v>　レベル　2</v>
      </c>
      <c r="E155" s="527" t="s">
        <v>459</v>
      </c>
      <c r="F155" s="586"/>
      <c r="G155" s="586"/>
      <c r="H155" s="586"/>
      <c r="I155" s="586"/>
      <c r="J155" s="586"/>
      <c r="K155" s="586"/>
      <c r="L155" s="586"/>
      <c r="M155" s="587"/>
      <c r="N155" s="2"/>
      <c r="O155" s="146"/>
      <c r="P155" s="588" t="s">
        <v>62</v>
      </c>
      <c r="Q155" s="146"/>
      <c r="R155" s="304"/>
      <c r="S155" s="148"/>
      <c r="T155" s="148"/>
      <c r="U155" s="588">
        <f>$Q$14</f>
        <v>2</v>
      </c>
      <c r="V155" s="304"/>
      <c r="W155" s="304"/>
      <c r="X155" s="148"/>
    </row>
    <row r="156" spans="1:25" ht="16.5" customHeight="1">
      <c r="A156" s="2"/>
      <c r="B156" s="568"/>
      <c r="C156" s="137"/>
      <c r="D156" s="39" t="str">
        <f>IF(D153=$Q$18,$R$15,IF(ROUNDDOWN(D153,0)=$Q$15,$S$15,$R$15))</f>
        <v>■レベル　3</v>
      </c>
      <c r="E156" s="527" t="s">
        <v>760</v>
      </c>
      <c r="F156" s="586"/>
      <c r="G156" s="586"/>
      <c r="H156" s="586"/>
      <c r="I156" s="586"/>
      <c r="J156" s="586"/>
      <c r="K156" s="586"/>
      <c r="L156" s="586"/>
      <c r="M156" s="587"/>
      <c r="N156" s="2"/>
      <c r="O156" s="146"/>
      <c r="P156" s="588">
        <f>$Q$15</f>
        <v>3</v>
      </c>
      <c r="Q156" s="146"/>
      <c r="R156" s="304"/>
      <c r="S156" s="148"/>
      <c r="T156" s="148"/>
      <c r="U156" s="588">
        <f>$Q$15</f>
        <v>3</v>
      </c>
      <c r="V156" s="304"/>
      <c r="W156" s="304"/>
      <c r="X156" s="148"/>
    </row>
    <row r="157" spans="1:25" ht="24" customHeight="1">
      <c r="A157" s="2"/>
      <c r="B157" s="568"/>
      <c r="C157" s="137"/>
      <c r="D157" s="39" t="str">
        <f>IF(D153=$Q$18,$R$16,IF(ROUNDDOWN(D153,0)=$Q$16,$S$16,$R$16))</f>
        <v>　レベル　4</v>
      </c>
      <c r="E157" s="2365" t="s">
        <v>29</v>
      </c>
      <c r="F157" s="2397"/>
      <c r="G157" s="2397"/>
      <c r="H157" s="2397"/>
      <c r="I157" s="2397"/>
      <c r="J157" s="2397"/>
      <c r="K157" s="2397"/>
      <c r="L157" s="2397"/>
      <c r="M157" s="2398"/>
      <c r="N157" s="2"/>
      <c r="O157" s="146"/>
      <c r="P157" s="588">
        <f>$Q$16</f>
        <v>4</v>
      </c>
      <c r="Q157" s="146"/>
      <c r="R157" s="304"/>
      <c r="S157" s="148"/>
      <c r="T157" s="148"/>
      <c r="U157" s="588">
        <f>$Q$16</f>
        <v>4</v>
      </c>
      <c r="V157" s="304"/>
      <c r="W157" s="304"/>
      <c r="X157" s="148"/>
    </row>
    <row r="158" spans="1:25" ht="24" customHeight="1">
      <c r="A158" s="2"/>
      <c r="B158" s="568"/>
      <c r="C158" s="137"/>
      <c r="D158" s="37" t="str">
        <f>IF(D153=$Q$18,$R$17,IF(ROUNDDOWN(D153,0)=$Q$17,$S$17,$R$17))</f>
        <v>　レベル　5</v>
      </c>
      <c r="E158" s="2368" t="s">
        <v>30</v>
      </c>
      <c r="F158" s="2380"/>
      <c r="G158" s="2380"/>
      <c r="H158" s="2380"/>
      <c r="I158" s="2380"/>
      <c r="J158" s="2380"/>
      <c r="K158" s="2380"/>
      <c r="L158" s="2380"/>
      <c r="M158" s="2381"/>
      <c r="N158" s="2"/>
      <c r="O158" s="146"/>
      <c r="P158" s="588">
        <f>$Q$17</f>
        <v>5</v>
      </c>
      <c r="Q158" s="146"/>
      <c r="R158" s="304"/>
      <c r="S158" s="148"/>
      <c r="T158" s="148"/>
      <c r="U158" s="588">
        <f>$Q$17</f>
        <v>5</v>
      </c>
      <c r="V158" s="304"/>
      <c r="W158" s="304"/>
      <c r="X158" s="148"/>
    </row>
    <row r="159" spans="1:25" s="148" customFormat="1" ht="8.25" customHeight="1">
      <c r="A159" s="55"/>
      <c r="B159" s="168"/>
      <c r="C159" s="611"/>
      <c r="D159" s="313"/>
      <c r="E159" s="313"/>
      <c r="F159" s="2"/>
      <c r="G159" s="2"/>
      <c r="H159" s="2"/>
      <c r="I159" s="2"/>
      <c r="J159" s="2"/>
      <c r="K159" s="2"/>
      <c r="L159" s="2"/>
      <c r="M159" s="2"/>
      <c r="N159" s="154"/>
      <c r="P159" s="588" t="s">
        <v>75</v>
      </c>
      <c r="Q159" s="328" t="s">
        <v>99</v>
      </c>
      <c r="R159" s="5"/>
      <c r="S159" s="5"/>
      <c r="T159" s="136"/>
    </row>
    <row r="160" spans="1:25" s="148" customFormat="1" ht="21" customHeight="1">
      <c r="A160" s="55"/>
      <c r="B160" s="168"/>
      <c r="C160" s="611"/>
      <c r="E160" s="786" t="s">
        <v>3</v>
      </c>
      <c r="F160" s="787"/>
      <c r="G160" s="1242"/>
      <c r="H160" s="1242"/>
      <c r="I160" s="1241"/>
      <c r="J160" s="1243"/>
      <c r="K160" s="1243"/>
      <c r="L160" s="1243"/>
      <c r="M160" s="1244"/>
      <c r="N160" s="154"/>
      <c r="P160" s="619"/>
      <c r="Q160" s="328"/>
      <c r="R160" s="5"/>
      <c r="S160" s="5"/>
      <c r="T160" s="136"/>
      <c r="U160" s="619"/>
      <c r="V160" s="136"/>
      <c r="W160" s="136"/>
      <c r="X160" s="136"/>
      <c r="Y160" s="136"/>
    </row>
    <row r="161" spans="1:25" ht="14.25" customHeight="1">
      <c r="A161" s="2"/>
      <c r="B161" s="568"/>
      <c r="C161" s="38"/>
      <c r="D161" s="42"/>
      <c r="E161" s="42"/>
      <c r="F161" s="42"/>
      <c r="G161" s="42"/>
      <c r="H161" s="42"/>
      <c r="I161" s="42"/>
      <c r="J161" s="158"/>
      <c r="K161" s="158"/>
      <c r="L161" s="158"/>
      <c r="M161" s="158"/>
      <c r="N161" s="2"/>
      <c r="O161" s="146"/>
      <c r="P161" s="619"/>
      <c r="Q161" s="146"/>
      <c r="R161" s="304"/>
      <c r="S161" s="148"/>
      <c r="T161" s="148"/>
      <c r="U161" s="619"/>
      <c r="V161" s="304"/>
      <c r="W161" s="304"/>
      <c r="X161" s="148"/>
    </row>
    <row r="162" spans="1:25" ht="14.25" customHeight="1">
      <c r="A162" s="2"/>
      <c r="B162" s="1090">
        <v>2.2999999999999998</v>
      </c>
      <c r="C162" s="151" t="s">
        <v>598</v>
      </c>
      <c r="D162" s="42"/>
      <c r="E162" s="42"/>
      <c r="F162" s="42"/>
      <c r="G162" s="42"/>
      <c r="H162" s="42"/>
      <c r="I162" s="42"/>
      <c r="J162" s="158"/>
      <c r="K162" s="158"/>
      <c r="L162" s="158"/>
      <c r="M162" s="158"/>
      <c r="N162" s="2"/>
      <c r="O162" s="146"/>
      <c r="P162" s="619"/>
      <c r="Q162" s="146"/>
      <c r="R162" s="304"/>
      <c r="S162" s="148"/>
      <c r="T162" s="148"/>
      <c r="U162" s="619"/>
      <c r="V162" s="304"/>
      <c r="W162" s="304"/>
      <c r="X162" s="148"/>
    </row>
    <row r="163" spans="1:25" s="331" customFormat="1" ht="17.25" customHeight="1" thickBot="1">
      <c r="A163" s="24"/>
      <c r="D163" s="151"/>
      <c r="E163" s="306"/>
      <c r="F163" s="306"/>
      <c r="G163" s="306"/>
      <c r="H163" s="306"/>
      <c r="I163" s="154"/>
      <c r="J163" s="418"/>
      <c r="K163" s="418"/>
      <c r="L163" s="180" t="s">
        <v>2</v>
      </c>
      <c r="M163" s="177">
        <f>重み!M75</f>
        <v>0.33</v>
      </c>
      <c r="N163" s="24"/>
      <c r="O163" s="148" t="str">
        <f>C162</f>
        <v>施工段階</v>
      </c>
      <c r="P163" s="148">
        <f t="shared" ref="P163:X163" si="3">D163</f>
        <v>0</v>
      </c>
      <c r="Q163" s="148">
        <f t="shared" si="3"/>
        <v>0</v>
      </c>
      <c r="R163" s="148">
        <f t="shared" si="3"/>
        <v>0</v>
      </c>
      <c r="S163" s="148">
        <f t="shared" si="3"/>
        <v>0</v>
      </c>
      <c r="T163" s="148">
        <f t="shared" si="3"/>
        <v>0</v>
      </c>
      <c r="U163" s="148">
        <f t="shared" si="3"/>
        <v>0</v>
      </c>
      <c r="V163" s="148">
        <f t="shared" si="3"/>
        <v>0</v>
      </c>
      <c r="W163" s="148">
        <f t="shared" si="3"/>
        <v>0</v>
      </c>
      <c r="X163" s="148" t="str">
        <f t="shared" si="3"/>
        <v>重み係数＝</v>
      </c>
    </row>
    <row r="164" spans="1:25" ht="17.25" customHeight="1" thickBot="1">
      <c r="A164" s="2"/>
      <c r="B164" s="568"/>
      <c r="C164" s="137"/>
      <c r="D164" s="1077">
        <v>3</v>
      </c>
      <c r="E164" s="2349" t="s">
        <v>467</v>
      </c>
      <c r="F164" s="2350"/>
      <c r="G164" s="2350"/>
      <c r="H164" s="2350"/>
      <c r="I164" s="2350"/>
      <c r="J164" s="2350"/>
      <c r="K164" s="2350"/>
      <c r="L164" s="2350"/>
      <c r="M164" s="2351"/>
      <c r="N164" s="2"/>
      <c r="O164" s="146"/>
      <c r="P164" s="148"/>
      <c r="Q164" s="146"/>
      <c r="R164" s="148"/>
      <c r="S164" s="148"/>
      <c r="T164" s="148"/>
      <c r="U164" s="148"/>
      <c r="V164" s="148"/>
      <c r="W164" s="148"/>
      <c r="X164" s="148"/>
    </row>
    <row r="165" spans="1:25" ht="17.25" customHeight="1">
      <c r="A165" s="2"/>
      <c r="B165" s="568"/>
      <c r="C165" s="137"/>
      <c r="D165" s="36" t="str">
        <f>IF(D164=$Q$18,$R$13,IF(ROUNDDOWN(D164,0)=$Q$13,$S$13,$R$13))</f>
        <v>　レベル　1</v>
      </c>
      <c r="E165" s="526" t="s">
        <v>459</v>
      </c>
      <c r="F165" s="584"/>
      <c r="G165" s="584"/>
      <c r="H165" s="584"/>
      <c r="I165" s="584"/>
      <c r="J165" s="584"/>
      <c r="K165" s="584"/>
      <c r="L165" s="584"/>
      <c r="M165" s="585"/>
      <c r="N165" s="2"/>
      <c r="O165" s="146"/>
      <c r="P165" s="588" t="s">
        <v>62</v>
      </c>
      <c r="Q165" s="146"/>
      <c r="R165" s="304"/>
      <c r="S165" s="148"/>
      <c r="T165" s="148"/>
      <c r="U165" s="588">
        <f>$Q$13</f>
        <v>1</v>
      </c>
      <c r="V165" s="304"/>
      <c r="W165" s="304"/>
      <c r="X165" s="148"/>
    </row>
    <row r="166" spans="1:25" ht="17.25" customHeight="1">
      <c r="A166" s="2"/>
      <c r="B166" s="568"/>
      <c r="C166" s="137"/>
      <c r="D166" s="39" t="str">
        <f>IF(D164=$Q$18,$R$14,IF(ROUNDDOWN(D164,0)=$Q$14,$S$14,$R$14))</f>
        <v>　レベル　2</v>
      </c>
      <c r="E166" s="527" t="s">
        <v>459</v>
      </c>
      <c r="F166" s="586"/>
      <c r="G166" s="586"/>
      <c r="H166" s="586"/>
      <c r="I166" s="586"/>
      <c r="J166" s="586"/>
      <c r="K166" s="586"/>
      <c r="L166" s="586"/>
      <c r="M166" s="587"/>
      <c r="N166" s="2"/>
      <c r="O166" s="146"/>
      <c r="P166" s="588" t="s">
        <v>62</v>
      </c>
      <c r="Q166" s="146"/>
      <c r="R166" s="304"/>
      <c r="S166" s="148"/>
      <c r="T166" s="148"/>
      <c r="U166" s="588">
        <f>$Q$14</f>
        <v>2</v>
      </c>
      <c r="V166" s="304"/>
      <c r="W166" s="304"/>
      <c r="X166" s="148"/>
    </row>
    <row r="167" spans="1:25" ht="17.25" customHeight="1">
      <c r="A167" s="2"/>
      <c r="B167" s="568"/>
      <c r="C167" s="137"/>
      <c r="D167" s="39" t="str">
        <f>IF(D164=$Q$18,$R$15,IF(ROUNDDOWN(D164,0)=$Q$15,$S$15,$R$15))</f>
        <v>■レベル　3</v>
      </c>
      <c r="E167" s="527" t="s">
        <v>31</v>
      </c>
      <c r="F167" s="586"/>
      <c r="G167" s="586"/>
      <c r="H167" s="586"/>
      <c r="I167" s="586"/>
      <c r="J167" s="586"/>
      <c r="K167" s="586"/>
      <c r="L167" s="586"/>
      <c r="M167" s="587"/>
      <c r="N167" s="2"/>
      <c r="O167" s="146"/>
      <c r="P167" s="588">
        <f>$Q$15</f>
        <v>3</v>
      </c>
      <c r="Q167" s="146"/>
      <c r="R167" s="304"/>
      <c r="S167" s="148"/>
      <c r="T167" s="148"/>
      <c r="U167" s="588">
        <f>$Q$15</f>
        <v>3</v>
      </c>
      <c r="V167" s="304"/>
      <c r="W167" s="304"/>
      <c r="X167" s="148"/>
    </row>
    <row r="168" spans="1:25" ht="17.25" customHeight="1">
      <c r="A168" s="2"/>
      <c r="B168" s="568"/>
      <c r="C168" s="137"/>
      <c r="D168" s="39" t="str">
        <f>IF(D164=$Q$18,$R$16,IF(ROUNDDOWN(D164,0)=$Q$16,$S$16,$R$16))</f>
        <v>　レベル　4</v>
      </c>
      <c r="E168" s="539" t="s">
        <v>459</v>
      </c>
      <c r="F168" s="589"/>
      <c r="G168" s="589"/>
      <c r="H168" s="589"/>
      <c r="I168" s="589"/>
      <c r="J168" s="589"/>
      <c r="K168" s="589"/>
      <c r="L168" s="589"/>
      <c r="M168" s="590"/>
      <c r="N168" s="2"/>
      <c r="O168" s="146"/>
      <c r="P168" s="588" t="s">
        <v>62</v>
      </c>
      <c r="Q168" s="146"/>
      <c r="R168" s="304"/>
      <c r="S168" s="148"/>
      <c r="T168" s="148"/>
      <c r="U168" s="588">
        <f>$Q$16</f>
        <v>4</v>
      </c>
      <c r="V168" s="304"/>
      <c r="W168" s="304"/>
      <c r="X168" s="148"/>
    </row>
    <row r="169" spans="1:25" ht="24" customHeight="1">
      <c r="A169" s="2"/>
      <c r="B169" s="568"/>
      <c r="C169" s="137"/>
      <c r="D169" s="37" t="str">
        <f>IF(D164=$Q$18,$R$17,IF(ROUNDDOWN(D164,0)=$Q$17,$S$17,$R$17))</f>
        <v>　レベル　5</v>
      </c>
      <c r="E169" s="2358" t="s">
        <v>32</v>
      </c>
      <c r="F169" s="2359"/>
      <c r="G169" s="2359"/>
      <c r="H169" s="2359"/>
      <c r="I169" s="2359"/>
      <c r="J169" s="2359"/>
      <c r="K169" s="2359"/>
      <c r="L169" s="2359"/>
      <c r="M169" s="2360"/>
      <c r="N169" s="2"/>
      <c r="O169" s="146"/>
      <c r="P169" s="588">
        <f>$Q$17</f>
        <v>5</v>
      </c>
      <c r="Q169" s="146"/>
      <c r="R169" s="304"/>
      <c r="S169" s="148"/>
      <c r="T169" s="148"/>
      <c r="U169" s="588">
        <f>$Q$17</f>
        <v>5</v>
      </c>
      <c r="V169" s="304"/>
      <c r="W169" s="304"/>
      <c r="X169" s="148"/>
    </row>
    <row r="170" spans="1:25" s="148" customFormat="1" ht="8.25" customHeight="1">
      <c r="A170" s="55"/>
      <c r="B170" s="168"/>
      <c r="C170" s="611"/>
      <c r="D170" s="313"/>
      <c r="E170" s="313"/>
      <c r="F170" s="2"/>
      <c r="G170" s="2"/>
      <c r="H170" s="2"/>
      <c r="I170" s="2"/>
      <c r="J170" s="2"/>
      <c r="K170" s="2"/>
      <c r="L170" s="2"/>
      <c r="M170" s="2"/>
      <c r="N170" s="154"/>
      <c r="P170" s="588" t="s">
        <v>75</v>
      </c>
      <c r="Q170" s="328" t="s">
        <v>99</v>
      </c>
      <c r="R170" s="5"/>
      <c r="S170" s="5"/>
      <c r="T170" s="136"/>
    </row>
    <row r="171" spans="1:25" s="148" customFormat="1" ht="21" customHeight="1">
      <c r="A171" s="55"/>
      <c r="B171" s="168"/>
      <c r="C171" s="611"/>
      <c r="E171" s="786" t="s">
        <v>3</v>
      </c>
      <c r="F171" s="787"/>
      <c r="G171" s="1242"/>
      <c r="H171" s="1242"/>
      <c r="I171" s="1241"/>
      <c r="J171" s="1243"/>
      <c r="K171" s="1243"/>
      <c r="L171" s="1243"/>
      <c r="M171" s="1244"/>
      <c r="N171" s="154"/>
      <c r="P171" s="619"/>
      <c r="Q171" s="328"/>
      <c r="R171" s="5"/>
      <c r="S171" s="5"/>
      <c r="T171" s="136"/>
      <c r="U171" s="619"/>
      <c r="V171" s="136"/>
      <c r="W171" s="136"/>
      <c r="X171" s="136"/>
      <c r="Y171" s="136"/>
    </row>
    <row r="172" spans="1:25" ht="19.5" customHeight="1">
      <c r="A172" s="2"/>
      <c r="B172" s="568"/>
      <c r="C172" s="168"/>
      <c r="D172" s="168"/>
      <c r="E172" s="168"/>
      <c r="F172" s="168"/>
      <c r="G172" s="168"/>
      <c r="H172" s="168"/>
      <c r="I172" s="168"/>
      <c r="J172" s="168"/>
      <c r="K172" s="168"/>
      <c r="L172" s="168"/>
      <c r="M172" s="168"/>
      <c r="N172" s="168"/>
      <c r="O172" s="146"/>
      <c r="P172" s="619"/>
      <c r="Q172" s="146"/>
      <c r="R172" s="304"/>
      <c r="S172" s="148"/>
      <c r="T172" s="148"/>
      <c r="U172" s="619"/>
      <c r="V172" s="304"/>
      <c r="W172" s="304"/>
      <c r="X172" s="148"/>
    </row>
    <row r="173" spans="1:25" ht="16.5" customHeight="1">
      <c r="A173" s="2"/>
      <c r="B173" s="311">
        <v>3</v>
      </c>
      <c r="C173" s="151" t="s">
        <v>616</v>
      </c>
      <c r="D173" s="315"/>
      <c r="E173" s="315"/>
      <c r="F173" s="315"/>
      <c r="G173" s="315"/>
      <c r="H173" s="315"/>
      <c r="I173" s="315"/>
      <c r="J173" s="162"/>
      <c r="K173" s="162"/>
      <c r="L173" s="162"/>
      <c r="M173" s="162"/>
      <c r="N173" s="2"/>
    </row>
    <row r="174" spans="1:25" ht="16.5" customHeight="1">
      <c r="A174" s="2"/>
      <c r="B174" s="1090">
        <v>3.1</v>
      </c>
      <c r="C174" s="151" t="s">
        <v>599</v>
      </c>
      <c r="D174" s="315"/>
      <c r="E174" s="315"/>
      <c r="F174" s="315"/>
      <c r="G174" s="315"/>
      <c r="H174" s="315"/>
      <c r="I174" s="315"/>
      <c r="J174" s="162"/>
      <c r="K174" s="162"/>
      <c r="L174" s="162"/>
      <c r="M174" s="162"/>
      <c r="N174" s="2"/>
    </row>
    <row r="175" spans="1:25" s="331" customFormat="1" ht="16.5" customHeight="1" thickBot="1">
      <c r="A175" s="24"/>
      <c r="D175" s="151"/>
      <c r="E175" s="151"/>
      <c r="F175" s="154"/>
      <c r="G175" s="154"/>
      <c r="H175" s="154"/>
      <c r="I175" s="154"/>
      <c r="J175" s="154"/>
      <c r="K175" s="154"/>
      <c r="L175" s="180" t="s">
        <v>2</v>
      </c>
      <c r="M175" s="177">
        <f>重み!M77</f>
        <v>1</v>
      </c>
      <c r="N175" s="24"/>
      <c r="O175" s="148" t="str">
        <f>C174</f>
        <v>使用材料の情報提供</v>
      </c>
      <c r="P175" s="148">
        <f t="shared" ref="P175:X175" si="4">D175</f>
        <v>0</v>
      </c>
      <c r="Q175" s="148">
        <f t="shared" si="4"/>
        <v>0</v>
      </c>
      <c r="R175" s="148">
        <f t="shared" si="4"/>
        <v>0</v>
      </c>
      <c r="S175" s="148">
        <f t="shared" si="4"/>
        <v>0</v>
      </c>
      <c r="T175" s="148">
        <f t="shared" si="4"/>
        <v>0</v>
      </c>
      <c r="U175" s="148">
        <f t="shared" si="4"/>
        <v>0</v>
      </c>
      <c r="V175" s="148">
        <f t="shared" si="4"/>
        <v>0</v>
      </c>
      <c r="W175" s="148">
        <f t="shared" si="4"/>
        <v>0</v>
      </c>
      <c r="X175" s="148" t="str">
        <f t="shared" si="4"/>
        <v>重み係数＝</v>
      </c>
    </row>
    <row r="176" spans="1:25" ht="16.5" customHeight="1" thickBot="1">
      <c r="A176" s="2"/>
      <c r="B176" s="568"/>
      <c r="C176" s="137"/>
      <c r="D176" s="1077">
        <v>3</v>
      </c>
      <c r="E176" s="2349" t="s">
        <v>467</v>
      </c>
      <c r="F176" s="2350"/>
      <c r="G176" s="2350"/>
      <c r="H176" s="2350"/>
      <c r="I176" s="2350"/>
      <c r="J176" s="2350"/>
      <c r="K176" s="2350"/>
      <c r="L176" s="2350"/>
      <c r="M176" s="2351"/>
      <c r="N176" s="2"/>
      <c r="O176" s="146"/>
      <c r="P176" s="148"/>
      <c r="Q176" s="146"/>
      <c r="R176" s="148"/>
      <c r="S176" s="148"/>
      <c r="T176" s="148"/>
      <c r="U176" s="148"/>
      <c r="V176" s="148"/>
      <c r="W176" s="148"/>
      <c r="X176" s="148"/>
    </row>
    <row r="177" spans="1:25" ht="16.5" customHeight="1">
      <c r="A177" s="2"/>
      <c r="B177" s="568"/>
      <c r="C177" s="137"/>
      <c r="D177" s="36" t="str">
        <f>IF(D176=$Q$18,$R$13,IF(ROUNDDOWN(D176,0)=$Q$13,$S$13,$R$13))</f>
        <v>　レベル　1</v>
      </c>
      <c r="E177" s="526" t="s">
        <v>459</v>
      </c>
      <c r="F177" s="584"/>
      <c r="G177" s="584"/>
      <c r="H177" s="584"/>
      <c r="I177" s="584"/>
      <c r="J177" s="584"/>
      <c r="K177" s="584"/>
      <c r="L177" s="584"/>
      <c r="M177" s="585"/>
      <c r="N177" s="2"/>
      <c r="O177" s="146"/>
      <c r="P177" s="588" t="s">
        <v>62</v>
      </c>
      <c r="Q177" s="146"/>
      <c r="R177" s="304"/>
      <c r="S177" s="148"/>
      <c r="T177" s="148"/>
      <c r="U177" s="588">
        <f>$Q$13</f>
        <v>1</v>
      </c>
      <c r="V177" s="304"/>
      <c r="W177" s="304"/>
      <c r="X177" s="148"/>
    </row>
    <row r="178" spans="1:25" ht="16.5" customHeight="1">
      <c r="A178" s="2"/>
      <c r="B178" s="568"/>
      <c r="C178" s="137"/>
      <c r="D178" s="39" t="str">
        <f>IF(D176=$Q$18,$R$14,IF(ROUNDDOWN(D176,0)=$Q$14,$S$14,$R$14))</f>
        <v>　レベル　2</v>
      </c>
      <c r="E178" s="527" t="s">
        <v>459</v>
      </c>
      <c r="F178" s="586"/>
      <c r="G178" s="586"/>
      <c r="H178" s="586"/>
      <c r="I178" s="586"/>
      <c r="J178" s="586"/>
      <c r="K178" s="586"/>
      <c r="L178" s="586"/>
      <c r="M178" s="587"/>
      <c r="N178" s="2"/>
      <c r="O178" s="146"/>
      <c r="P178" s="588" t="s">
        <v>62</v>
      </c>
      <c r="Q178" s="146"/>
      <c r="R178" s="304"/>
      <c r="S178" s="148"/>
      <c r="T178" s="148"/>
      <c r="U178" s="588">
        <f>$Q$14</f>
        <v>2</v>
      </c>
      <c r="V178" s="304"/>
      <c r="W178" s="304"/>
      <c r="X178" s="148"/>
    </row>
    <row r="179" spans="1:25" ht="16.5" customHeight="1">
      <c r="A179" s="2"/>
      <c r="B179" s="568"/>
      <c r="C179" s="137"/>
      <c r="D179" s="39" t="str">
        <f>IF(D176=$Q$18,$R$15,IF(ROUNDDOWN(D176,0)=$Q$15,$S$15,$R$15))</f>
        <v>■レベル　3</v>
      </c>
      <c r="E179" s="527" t="s">
        <v>33</v>
      </c>
      <c r="F179" s="586"/>
      <c r="G179" s="586"/>
      <c r="H179" s="586"/>
      <c r="I179" s="586"/>
      <c r="J179" s="586"/>
      <c r="K179" s="586"/>
      <c r="L179" s="586"/>
      <c r="M179" s="587"/>
      <c r="N179" s="2"/>
      <c r="O179" s="146"/>
      <c r="P179" s="588">
        <f>$Q$15</f>
        <v>3</v>
      </c>
      <c r="Q179" s="146"/>
      <c r="R179" s="304"/>
      <c r="S179" s="148"/>
      <c r="T179" s="148"/>
      <c r="U179" s="588">
        <f>$Q$15</f>
        <v>3</v>
      </c>
      <c r="V179" s="304"/>
      <c r="W179" s="304"/>
      <c r="X179" s="148"/>
    </row>
    <row r="180" spans="1:25" ht="16.5" customHeight="1">
      <c r="A180" s="2"/>
      <c r="B180" s="568"/>
      <c r="C180" s="137"/>
      <c r="D180" s="39" t="str">
        <f>IF(D176=$Q$18,$R$16,IF(ROUNDDOWN(D176,0)=$Q$16,$S$16,$R$16))</f>
        <v>　レベル　4</v>
      </c>
      <c r="E180" s="539" t="s">
        <v>459</v>
      </c>
      <c r="F180" s="589"/>
      <c r="G180" s="589"/>
      <c r="H180" s="589"/>
      <c r="I180" s="589"/>
      <c r="J180" s="589"/>
      <c r="K180" s="589"/>
      <c r="L180" s="589"/>
      <c r="M180" s="590"/>
      <c r="N180" s="2"/>
      <c r="O180" s="146"/>
      <c r="P180" s="588" t="s">
        <v>62</v>
      </c>
      <c r="Q180" s="146"/>
      <c r="R180" s="304"/>
      <c r="S180" s="148"/>
      <c r="T180" s="148"/>
      <c r="U180" s="588">
        <f>$Q$16</f>
        <v>4</v>
      </c>
      <c r="V180" s="304"/>
      <c r="W180" s="304"/>
      <c r="X180" s="148"/>
    </row>
    <row r="181" spans="1:25" ht="16.5" customHeight="1">
      <c r="A181" s="2"/>
      <c r="B181" s="568"/>
      <c r="C181" s="137"/>
      <c r="D181" s="37" t="str">
        <f>IF(D176=$Q$18,$R$17,IF(ROUNDDOWN(D176,0)=$Q$17,$S$17,$R$17))</f>
        <v>　レベル　5</v>
      </c>
      <c r="E181" s="565" t="s">
        <v>761</v>
      </c>
      <c r="F181" s="591"/>
      <c r="G181" s="591"/>
      <c r="H181" s="591"/>
      <c r="I181" s="591"/>
      <c r="J181" s="591"/>
      <c r="K181" s="591"/>
      <c r="L181" s="591"/>
      <c r="M181" s="592"/>
      <c r="N181" s="2"/>
      <c r="O181" s="146"/>
      <c r="P181" s="588">
        <f>$Q$17</f>
        <v>5</v>
      </c>
      <c r="Q181" s="146"/>
      <c r="R181" s="304"/>
      <c r="S181" s="148"/>
      <c r="T181" s="148"/>
      <c r="U181" s="588">
        <f>$Q$17</f>
        <v>5</v>
      </c>
      <c r="V181" s="304"/>
      <c r="W181" s="304"/>
      <c r="X181" s="148"/>
    </row>
    <row r="182" spans="1:25" s="148" customFormat="1" ht="8.25" customHeight="1">
      <c r="A182" s="55"/>
      <c r="B182" s="168"/>
      <c r="C182" s="611"/>
      <c r="D182" s="313"/>
      <c r="E182" s="313"/>
      <c r="F182" s="2"/>
      <c r="G182" s="2"/>
      <c r="H182" s="2"/>
      <c r="I182" s="2"/>
      <c r="J182" s="2"/>
      <c r="K182" s="2"/>
      <c r="L182" s="2"/>
      <c r="M182" s="2"/>
      <c r="N182" s="154"/>
      <c r="P182" s="588" t="s">
        <v>75</v>
      </c>
      <c r="Q182" s="328" t="s">
        <v>99</v>
      </c>
      <c r="R182" s="5"/>
      <c r="S182" s="5"/>
      <c r="T182" s="136"/>
    </row>
    <row r="183" spans="1:25" s="148" customFormat="1" ht="21" customHeight="1">
      <c r="A183" s="55"/>
      <c r="B183" s="168"/>
      <c r="C183" s="611"/>
      <c r="E183" s="786" t="s">
        <v>3</v>
      </c>
      <c r="F183" s="787"/>
      <c r="G183" s="1242"/>
      <c r="H183" s="1242"/>
      <c r="I183" s="1241"/>
      <c r="J183" s="1243"/>
      <c r="K183" s="1243"/>
      <c r="L183" s="1243"/>
      <c r="M183" s="1244"/>
      <c r="N183" s="154"/>
      <c r="P183" s="619"/>
      <c r="Q183" s="328"/>
      <c r="R183" s="5"/>
      <c r="S183" s="5"/>
      <c r="T183" s="136"/>
      <c r="U183" s="619"/>
      <c r="V183" s="136"/>
      <c r="W183" s="136"/>
      <c r="X183" s="136"/>
      <c r="Y183" s="136"/>
    </row>
    <row r="184" spans="1:25"/>
  </sheetData>
  <sheetProtection algorithmName="SHA-512" hashValue="Jx6Jjvkpw1D2+RO8XlyE9S+CvIKG08MT0ikFqvsbyUdx3ivBDmel0PV5Y/pgVXYNLo/MYTgpIVjXiDZ1JI1Msw==" saltValue="LP3fXE7A/RkFcgGE6pXaeg==" spinCount="100000" sheet="1" objects="1" scenarios="1"/>
  <mergeCells count="30">
    <mergeCell ref="E124:M124"/>
    <mergeCell ref="I115:J115"/>
    <mergeCell ref="K115:L115"/>
    <mergeCell ref="E12:M12"/>
    <mergeCell ref="E28:M28"/>
    <mergeCell ref="E42:M42"/>
    <mergeCell ref="E58:M58"/>
    <mergeCell ref="G50:M50"/>
    <mergeCell ref="G19:M19"/>
    <mergeCell ref="G51:M51"/>
    <mergeCell ref="E100:M100"/>
    <mergeCell ref="E76:M76"/>
    <mergeCell ref="G85:J85"/>
    <mergeCell ref="G86:J86"/>
    <mergeCell ref="I90:J90"/>
    <mergeCell ref="K90:L90"/>
    <mergeCell ref="E176:M176"/>
    <mergeCell ref="G131:M131"/>
    <mergeCell ref="E157:M157"/>
    <mergeCell ref="E158:M158"/>
    <mergeCell ref="E142:M142"/>
    <mergeCell ref="E147:M147"/>
    <mergeCell ref="E153:M153"/>
    <mergeCell ref="J133:M133"/>
    <mergeCell ref="E169:M169"/>
    <mergeCell ref="E164:M164"/>
    <mergeCell ref="G135:I135"/>
    <mergeCell ref="J132:M132"/>
    <mergeCell ref="J135:M135"/>
    <mergeCell ref="J134:M134"/>
  </mergeCells>
  <phoneticPr fontId="4"/>
  <conditionalFormatting sqref="D164 D153 D12 D176 D142">
    <cfRule type="expression" dxfId="75" priority="1" stopIfTrue="1">
      <formula>AND(OR(D12&lt;1,D12&gt;5),D12&lt;&gt;P18)</formula>
    </cfRule>
    <cfRule type="expression" dxfId="74" priority="2" stopIfTrue="1">
      <formula>M11&gt;0</formula>
    </cfRule>
  </conditionalFormatting>
  <conditionalFormatting sqref="D75">
    <cfRule type="expression" dxfId="73" priority="3" stopIfTrue="1">
      <formula>AND(OR(D75&lt;1,D75&gt;5),D75&lt;&gt;U66)</formula>
    </cfRule>
    <cfRule type="expression" dxfId="72" priority="4" stopIfTrue="1">
      <formula>M73&gt;0</formula>
    </cfRule>
  </conditionalFormatting>
  <conditionalFormatting sqref="D11 D8:D9 D27">
    <cfRule type="expression" dxfId="71" priority="5" stopIfTrue="1">
      <formula>AND(OR(D8&lt;1,D8&gt;5),D8&lt;&gt;#REF!)</formula>
    </cfRule>
    <cfRule type="expression" dxfId="70" priority="6" stopIfTrue="1">
      <formula>M7&gt;0</formula>
    </cfRule>
  </conditionalFormatting>
  <conditionalFormatting sqref="D28">
    <cfRule type="expression" dxfId="69" priority="7" stopIfTrue="1">
      <formula>AND(OR(D28&lt;1,D28&gt;5),D28&lt;&gt;P37)</formula>
    </cfRule>
    <cfRule type="expression" dxfId="68" priority="8" stopIfTrue="1">
      <formula>M27&gt;0</formula>
    </cfRule>
  </conditionalFormatting>
  <conditionalFormatting sqref="D99">
    <cfRule type="expression" dxfId="67" priority="9" stopIfTrue="1">
      <formula>AND(OR(D99&lt;1,D99&gt;5),D99&lt;&gt;U91)</formula>
    </cfRule>
    <cfRule type="expression" dxfId="66" priority="10" stopIfTrue="1">
      <formula>M97&gt;0</formula>
    </cfRule>
  </conditionalFormatting>
  <conditionalFormatting sqref="I183 I171 I160 I149">
    <cfRule type="expression" dxfId="65" priority="11" stopIfTrue="1">
      <formula>M141&gt;0</formula>
    </cfRule>
  </conditionalFormatting>
  <conditionalFormatting sqref="J183 J171 J160 J149">
    <cfRule type="expression" dxfId="64" priority="12" stopIfTrue="1">
      <formula>M141&gt;0</formula>
    </cfRule>
  </conditionalFormatting>
  <conditionalFormatting sqref="K183 K171 K160 K149">
    <cfRule type="expression" dxfId="63" priority="13" stopIfTrue="1">
      <formula>M141&gt;0</formula>
    </cfRule>
  </conditionalFormatting>
  <conditionalFormatting sqref="L183 L171 L160 L149">
    <cfRule type="expression" dxfId="62" priority="14" stopIfTrue="1">
      <formula>M141&gt;0</formula>
    </cfRule>
  </conditionalFormatting>
  <conditionalFormatting sqref="M183 M171 M160 M149">
    <cfRule type="expression" dxfId="61" priority="15" stopIfTrue="1">
      <formula>M141&gt;0</formula>
    </cfRule>
  </conditionalFormatting>
  <conditionalFormatting sqref="E132:E135">
    <cfRule type="expression" dxfId="60" priority="16" stopIfTrue="1">
      <formula>$M$123&gt;0</formula>
    </cfRule>
  </conditionalFormatting>
  <conditionalFormatting sqref="E109:E114 E85:E89 I95:M95">
    <cfRule type="expression" dxfId="59" priority="17" stopIfTrue="1">
      <formula>$M$75&gt;0</formula>
    </cfRule>
  </conditionalFormatting>
  <conditionalFormatting sqref="E50:E51 I54:M54">
    <cfRule type="expression" dxfId="58" priority="18" stopIfTrue="1">
      <formula>$M$41&gt;0</formula>
    </cfRule>
  </conditionalFormatting>
  <conditionalFormatting sqref="E66:E68 I71:M71">
    <cfRule type="expression" dxfId="57" priority="19" stopIfTrue="1">
      <formula>$M$57&gt;0</formula>
    </cfRule>
  </conditionalFormatting>
  <conditionalFormatting sqref="E19:E21 I24:M24 E92 E117 E36">
    <cfRule type="expression" dxfId="56" priority="20" stopIfTrue="1">
      <formula>$M$11&gt;0</formula>
    </cfRule>
  </conditionalFormatting>
  <conditionalFormatting sqref="G8:I8">
    <cfRule type="expression" dxfId="55" priority="21" stopIfTrue="1">
      <formula>$P$8&lt;&gt;1</formula>
    </cfRule>
  </conditionalFormatting>
  <conditionalFormatting sqref="I39:M39">
    <cfRule type="expression" dxfId="54" priority="22" stopIfTrue="1">
      <formula>$M$27&gt;0</formula>
    </cfRule>
  </conditionalFormatting>
  <conditionalFormatting sqref="I120:M120">
    <cfRule type="expression" dxfId="53" priority="23" stopIfTrue="1">
      <formula>$M$99&gt;0</formula>
    </cfRule>
  </conditionalFormatting>
  <conditionalFormatting sqref="I137:M137">
    <cfRule type="expression" dxfId="52" priority="24" stopIfTrue="1">
      <formula>$M$123&gt;0</formula>
    </cfRule>
  </conditionalFormatting>
  <conditionalFormatting sqref="E35">
    <cfRule type="expression" dxfId="51" priority="49" stopIfTrue="1">
      <formula>$M$27&gt;0</formula>
    </cfRule>
  </conditionalFormatting>
  <dataValidations count="9">
    <dataValidation type="list" allowBlank="1" showInputMessage="1" sqref="D142 D176 D153 D164 D12">
      <formula1>P13:P18</formula1>
    </dataValidation>
    <dataValidation type="list" allowBlank="1" showInputMessage="1" showErrorMessage="1" sqref="E109:E114">
      <formula1>P109:S109</formula1>
    </dataValidation>
    <dataValidation type="list" allowBlank="1" showInputMessage="1" sqref="D28">
      <formula1>$P$29:$P$34</formula1>
    </dataValidation>
    <dataValidation type="textLength" operator="lessThanOrEqual" allowBlank="1" showInputMessage="1" showErrorMessage="1" sqref="F149:H149 F183:H183 F95:H95 F160:H160 F120:H120 F54:H54 F71:H71 F137:H137 F24:H24 F39:H39 F171:H171">
      <formula1>30</formula1>
    </dataValidation>
    <dataValidation type="list" allowBlank="1" showInputMessage="1" showErrorMessage="1" sqref="E132:E135 E36 E21 E19 E50:E51 E66:E68">
      <formula1>$U$3:$U$4</formula1>
    </dataValidation>
    <dataValidation allowBlank="1" showInputMessage="1" sqref="D99:D100 D11 D75:D76 D124 D8:D9 D27"/>
    <dataValidation type="list" allowBlank="1" showInputMessage="1" showErrorMessage="1" sqref="E85:E89">
      <formula1>$P$85:$S$85</formula1>
    </dataValidation>
    <dataValidation type="list" allowBlank="1" showInputMessage="1" showErrorMessage="1" sqref="E20 E117 E92 E35">
      <formula1>$W$3:$W$5</formula1>
    </dataValidation>
    <dataValidation type="textLength" operator="lessThanOrEqual" allowBlank="1" showInputMessage="1" showErrorMessage="1" sqref="I24 I183 I171 I160 I149 I137 I120 I95 I71 I54 I39">
      <formula1>35</formula1>
    </dataValidation>
  </dataValidations>
  <printOptions horizontalCentered="1"/>
  <pageMargins left="0.78740157480314965" right="0.78740157480314965" top="0.78740157480314965" bottom="0.78740157480314965" header="0.51181102362204722" footer="0.51181102362204722"/>
  <pageSetup paperSize="9" scale="69" fitToHeight="0" orientation="portrait" horizontalDpi="4294967293" verticalDpi="4294967293" r:id="rId1"/>
  <headerFooter alignWithMargins="0">
    <oddHeader>&amp;L&amp;F&amp;R&amp;A</oddHeader>
    <oddFooter>&amp;C&amp;P/&amp;N</oddFooter>
  </headerFooter>
  <rowBreaks count="2" manualBreakCount="2">
    <brk id="71" max="13" man="1"/>
    <brk id="137" max="1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IU519"/>
  <sheetViews>
    <sheetView showGridLines="0" zoomScaleNormal="90" workbookViewId="0">
      <selection activeCell="F22" sqref="F22:I22"/>
    </sheetView>
  </sheetViews>
  <sheetFormatPr defaultColWidth="0" defaultRowHeight="15.75" zeroHeight="1"/>
  <cols>
    <col min="1" max="1" width="1.25" style="5" customWidth="1"/>
    <col min="2" max="2" width="4.625" style="571" customWidth="1"/>
    <col min="3" max="3" width="1.5" style="304" customWidth="1"/>
    <col min="4" max="13" width="11.625" style="304" customWidth="1"/>
    <col min="14" max="14" width="1.625" style="304" customWidth="1"/>
    <col min="15" max="15" width="3.75" style="304" hidden="1" customWidth="1"/>
    <col min="16" max="16" width="8" style="304" hidden="1" customWidth="1"/>
    <col min="17" max="255" width="9" style="5" hidden="1" customWidth="1"/>
    <col min="256" max="16384" width="1.875" style="5" hidden="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s="328" customFormat="1" ht="21.75" thickBot="1">
      <c r="A3" s="4"/>
      <c r="B3" s="302" t="s">
        <v>1072</v>
      </c>
      <c r="C3" s="155"/>
      <c r="D3" s="167"/>
      <c r="E3" s="55"/>
      <c r="F3" s="167"/>
      <c r="H3" s="150"/>
      <c r="I3" s="56" t="s">
        <v>73</v>
      </c>
      <c r="J3" s="557"/>
      <c r="K3" s="558"/>
      <c r="L3" s="32"/>
      <c r="M3" s="381" t="str">
        <f>IF(メイン!E31=0,"",メイン!E31)</f>
        <v/>
      </c>
      <c r="P3" s="319" t="s">
        <v>100</v>
      </c>
      <c r="Q3" s="41"/>
      <c r="R3" s="327">
        <v>0</v>
      </c>
      <c r="S3" s="555"/>
      <c r="T3" s="322"/>
      <c r="U3" s="322"/>
      <c r="V3" s="322" t="str">
        <f>メイン!N31</f>
        <v>基本設計段階</v>
      </c>
      <c r="W3" s="136"/>
      <c r="X3" s="136"/>
    </row>
    <row r="4" spans="1:25" s="328" customFormat="1" ht="3.75" customHeight="1">
      <c r="A4" s="4"/>
      <c r="B4" s="566"/>
      <c r="C4" s="155"/>
      <c r="D4" s="167"/>
      <c r="E4" s="55"/>
      <c r="F4" s="167"/>
      <c r="G4" s="167"/>
      <c r="H4" s="167"/>
      <c r="I4" s="167"/>
      <c r="J4" s="167"/>
      <c r="K4" s="32"/>
      <c r="L4" s="167"/>
      <c r="M4" s="167"/>
      <c r="N4" s="399"/>
      <c r="O4" s="399"/>
      <c r="P4" s="148"/>
      <c r="Q4" s="41"/>
      <c r="R4" s="327">
        <v>1</v>
      </c>
      <c r="S4" s="555"/>
      <c r="T4" s="322" t="s">
        <v>101</v>
      </c>
      <c r="U4" s="322" t="s">
        <v>102</v>
      </c>
      <c r="V4" s="322" t="str">
        <f>メイン!N32</f>
        <v>実施設計段階</v>
      </c>
      <c r="W4" s="136"/>
      <c r="X4" s="136"/>
    </row>
    <row r="5" spans="1:25">
      <c r="A5" s="2"/>
      <c r="B5" s="1090">
        <v>1</v>
      </c>
      <c r="C5" s="151" t="s">
        <v>630</v>
      </c>
      <c r="D5" s="157"/>
      <c r="E5" s="5"/>
      <c r="F5" s="5"/>
      <c r="G5" s="5"/>
      <c r="H5" s="5"/>
      <c r="I5" s="5"/>
      <c r="J5" s="5"/>
      <c r="K5" s="5"/>
      <c r="L5" s="5"/>
      <c r="M5" s="5"/>
      <c r="N5" s="328"/>
      <c r="O5" s="328"/>
      <c r="P5" s="328"/>
      <c r="Q5" s="41"/>
      <c r="S5" s="305"/>
      <c r="T5" s="136"/>
      <c r="U5" s="136"/>
      <c r="V5" s="136"/>
      <c r="W5" s="136"/>
      <c r="X5" s="136"/>
      <c r="Y5" s="136"/>
    </row>
    <row r="6" spans="1:25">
      <c r="A6" s="2"/>
      <c r="B6" s="622">
        <v>1.1000000000000001</v>
      </c>
      <c r="C6" s="151" t="s">
        <v>295</v>
      </c>
      <c r="D6" s="157"/>
      <c r="E6" s="5"/>
      <c r="F6" s="5"/>
      <c r="G6" s="5"/>
      <c r="H6" s="5"/>
      <c r="I6" s="5"/>
      <c r="J6" s="5"/>
      <c r="K6" s="5"/>
      <c r="L6" s="5"/>
      <c r="M6" s="5"/>
      <c r="N6" s="328"/>
      <c r="O6" s="328"/>
      <c r="P6" s="328"/>
      <c r="Q6" s="41"/>
      <c r="S6" s="305"/>
      <c r="T6" s="136"/>
      <c r="U6" s="136"/>
      <c r="V6" s="136"/>
      <c r="W6" s="136"/>
      <c r="X6" s="136"/>
      <c r="Y6" s="136"/>
    </row>
    <row r="7" spans="1:25" ht="16.5" thickBot="1">
      <c r="A7" s="2"/>
      <c r="B7" s="569"/>
      <c r="C7" s="5"/>
      <c r="D7" s="159"/>
      <c r="E7" s="159"/>
      <c r="F7" s="55"/>
      <c r="G7" s="529"/>
      <c r="H7" s="55"/>
      <c r="I7" s="55"/>
      <c r="J7" s="55"/>
      <c r="K7" s="154"/>
      <c r="L7" s="180" t="s">
        <v>2</v>
      </c>
      <c r="M7" s="377">
        <f>重み!M80</f>
        <v>0.33333333333333331</v>
      </c>
      <c r="N7" s="328"/>
      <c r="O7" s="328">
        <f t="shared" ref="O7:V7" si="0">C7</f>
        <v>0</v>
      </c>
      <c r="P7" s="328">
        <f t="shared" si="0"/>
        <v>0</v>
      </c>
      <c r="Q7" s="328">
        <f t="shared" si="0"/>
        <v>0</v>
      </c>
      <c r="R7" s="328">
        <f t="shared" si="0"/>
        <v>0</v>
      </c>
      <c r="S7" s="328">
        <f t="shared" si="0"/>
        <v>0</v>
      </c>
      <c r="T7" s="328">
        <f t="shared" si="0"/>
        <v>0</v>
      </c>
      <c r="U7" s="328">
        <f t="shared" si="0"/>
        <v>0</v>
      </c>
      <c r="V7" s="328">
        <f t="shared" si="0"/>
        <v>0</v>
      </c>
      <c r="W7" s="328" t="str">
        <f>L7</f>
        <v>重み係数＝</v>
      </c>
      <c r="X7" s="328">
        <f>M7</f>
        <v>0.33333333333333331</v>
      </c>
      <c r="Y7" s="136"/>
    </row>
    <row r="8" spans="1:25" ht="16.5" thickBot="1">
      <c r="A8" s="2"/>
      <c r="B8" s="566"/>
      <c r="C8" s="135"/>
      <c r="D8" s="326" t="e">
        <f>M16</f>
        <v>#VALUE!</v>
      </c>
      <c r="E8" s="2349" t="s">
        <v>467</v>
      </c>
      <c r="F8" s="2350"/>
      <c r="G8" s="2350"/>
      <c r="H8" s="2350"/>
      <c r="I8" s="2350"/>
      <c r="J8" s="2350"/>
      <c r="K8" s="2350"/>
      <c r="L8" s="2350"/>
      <c r="M8" s="2351"/>
      <c r="N8" s="328"/>
      <c r="O8" s="328"/>
      <c r="P8" s="328"/>
      <c r="Q8" s="328"/>
      <c r="R8" s="328"/>
      <c r="S8" s="328"/>
      <c r="T8" s="136"/>
      <c r="U8" s="136"/>
      <c r="V8" s="136"/>
      <c r="W8" s="136"/>
      <c r="X8" s="136"/>
      <c r="Y8" s="136"/>
    </row>
    <row r="9" spans="1:25">
      <c r="A9" s="2"/>
      <c r="B9" s="566"/>
      <c r="C9" s="168"/>
      <c r="D9" s="2405" t="s">
        <v>296</v>
      </c>
      <c r="E9" s="2417" t="s">
        <v>45</v>
      </c>
      <c r="F9" s="2470"/>
      <c r="G9" s="2470"/>
      <c r="H9" s="2470"/>
      <c r="I9" s="2470"/>
      <c r="J9" s="2470"/>
      <c r="K9" s="2470"/>
      <c r="L9" s="2470"/>
      <c r="M9" s="2471"/>
      <c r="N9" s="328"/>
      <c r="O9" s="328"/>
      <c r="P9" s="386">
        <f>$Q$84</f>
        <v>1</v>
      </c>
      <c r="Q9" s="320">
        <v>1</v>
      </c>
      <c r="R9" s="323" t="s">
        <v>538</v>
      </c>
      <c r="S9" s="321" t="s">
        <v>94</v>
      </c>
      <c r="T9" s="136"/>
      <c r="U9" s="386">
        <f>$Q$84</f>
        <v>1</v>
      </c>
      <c r="V9" s="136"/>
      <c r="W9" s="136"/>
      <c r="X9" s="136"/>
      <c r="Y9" s="136"/>
    </row>
    <row r="10" spans="1:25">
      <c r="A10" s="2"/>
      <c r="B10" s="566"/>
      <c r="C10" s="168"/>
      <c r="D10" s="2468"/>
      <c r="E10" s="2472"/>
      <c r="F10" s="2473"/>
      <c r="G10" s="2473"/>
      <c r="H10" s="2473"/>
      <c r="I10" s="2473"/>
      <c r="J10" s="2473"/>
      <c r="K10" s="2473"/>
      <c r="L10" s="2473"/>
      <c r="M10" s="2474"/>
      <c r="N10" s="328"/>
      <c r="O10" s="328"/>
      <c r="P10" s="386">
        <v>2</v>
      </c>
      <c r="Q10" s="320">
        <v>2</v>
      </c>
      <c r="R10" s="323" t="s">
        <v>539</v>
      </c>
      <c r="S10" s="321" t="s">
        <v>95</v>
      </c>
      <c r="T10" s="136"/>
      <c r="U10" s="386">
        <f>$Q$85</f>
        <v>2</v>
      </c>
      <c r="V10" s="136"/>
      <c r="W10" s="136"/>
      <c r="X10" s="136"/>
      <c r="Y10" s="136"/>
    </row>
    <row r="11" spans="1:25">
      <c r="A11" s="2"/>
      <c r="B11" s="566"/>
      <c r="C11" s="168"/>
      <c r="D11" s="2468"/>
      <c r="E11" s="2472"/>
      <c r="F11" s="2473"/>
      <c r="G11" s="2473"/>
      <c r="H11" s="2473"/>
      <c r="I11" s="2473"/>
      <c r="J11" s="2473"/>
      <c r="K11" s="2473"/>
      <c r="L11" s="2473"/>
      <c r="M11" s="2474"/>
      <c r="N11" s="328"/>
      <c r="O11" s="328"/>
      <c r="P11" s="386">
        <f>$Q$86</f>
        <v>3</v>
      </c>
      <c r="Q11" s="320">
        <v>3</v>
      </c>
      <c r="R11" s="323" t="s">
        <v>540</v>
      </c>
      <c r="S11" s="321" t="s">
        <v>96</v>
      </c>
      <c r="T11" s="136"/>
      <c r="U11" s="386">
        <f>$Q$86</f>
        <v>3</v>
      </c>
      <c r="V11" s="136"/>
      <c r="W11" s="136"/>
      <c r="X11" s="136"/>
      <c r="Y11" s="136"/>
    </row>
    <row r="12" spans="1:25">
      <c r="A12" s="2"/>
      <c r="B12" s="566"/>
      <c r="C12" s="168"/>
      <c r="D12" s="2468"/>
      <c r="E12" s="2472"/>
      <c r="F12" s="2473"/>
      <c r="G12" s="2473"/>
      <c r="H12" s="2473"/>
      <c r="I12" s="2473"/>
      <c r="J12" s="2473"/>
      <c r="K12" s="2473"/>
      <c r="L12" s="2473"/>
      <c r="M12" s="2474"/>
      <c r="N12" s="328"/>
      <c r="O12" s="328"/>
      <c r="P12" s="386">
        <f>$Q$87</f>
        <v>4</v>
      </c>
      <c r="Q12" s="320">
        <v>4</v>
      </c>
      <c r="R12" s="323" t="s">
        <v>541</v>
      </c>
      <c r="S12" s="321" t="s">
        <v>97</v>
      </c>
      <c r="T12" s="136"/>
      <c r="U12" s="386">
        <f>$Q$87</f>
        <v>4</v>
      </c>
      <c r="V12" s="136"/>
      <c r="W12" s="136"/>
      <c r="X12" s="136"/>
      <c r="Y12" s="136"/>
    </row>
    <row r="13" spans="1:25">
      <c r="A13" s="2"/>
      <c r="B13" s="566"/>
      <c r="C13" s="168"/>
      <c r="D13" s="2469"/>
      <c r="E13" s="2475"/>
      <c r="F13" s="2476"/>
      <c r="G13" s="2476"/>
      <c r="H13" s="2476"/>
      <c r="I13" s="2476"/>
      <c r="J13" s="2476"/>
      <c r="K13" s="2476"/>
      <c r="L13" s="2476"/>
      <c r="M13" s="2477"/>
      <c r="N13" s="328"/>
      <c r="O13" s="328"/>
      <c r="P13" s="386">
        <f>$Q$88</f>
        <v>5</v>
      </c>
      <c r="Q13" s="320">
        <v>5</v>
      </c>
      <c r="R13" s="323" t="s">
        <v>542</v>
      </c>
      <c r="S13" s="321" t="s">
        <v>98</v>
      </c>
      <c r="T13" s="136"/>
      <c r="U13" s="386">
        <f>$Q$88</f>
        <v>5</v>
      </c>
      <c r="V13" s="136"/>
      <c r="W13" s="136"/>
      <c r="X13" s="136"/>
      <c r="Y13" s="136"/>
    </row>
    <row r="14" spans="1:25" ht="16.5" customHeight="1">
      <c r="A14" s="2"/>
      <c r="B14" s="566"/>
      <c r="C14" s="135"/>
      <c r="D14" s="49"/>
      <c r="E14" s="1099" t="s">
        <v>776</v>
      </c>
      <c r="F14" s="49"/>
      <c r="G14" s="49"/>
      <c r="I14" s="1031" t="s">
        <v>526</v>
      </c>
      <c r="N14" s="328"/>
      <c r="O14" s="328"/>
      <c r="P14" s="386" t="s">
        <v>75</v>
      </c>
      <c r="Q14" s="328" t="s">
        <v>99</v>
      </c>
      <c r="T14" s="136"/>
      <c r="U14" s="386" t="str">
        <f>$Q$89</f>
        <v>対象外</v>
      </c>
      <c r="V14" s="136"/>
      <c r="W14" s="136"/>
      <c r="X14" s="136"/>
      <c r="Y14" s="136"/>
    </row>
    <row r="15" spans="1:25" ht="16.5" customHeight="1" thickBot="1">
      <c r="A15" s="2"/>
      <c r="B15" s="566"/>
      <c r="C15" s="135"/>
      <c r="E15" s="1064"/>
      <c r="F15" s="1065" t="s">
        <v>142</v>
      </c>
      <c r="G15" s="1066" t="s">
        <v>337</v>
      </c>
      <c r="H15" s="1067" t="s">
        <v>143</v>
      </c>
      <c r="I15" s="1065" t="s">
        <v>70</v>
      </c>
      <c r="J15" s="1064" t="s">
        <v>773</v>
      </c>
      <c r="M15" s="1032" t="s">
        <v>777</v>
      </c>
      <c r="O15" s="328"/>
      <c r="P15" s="328"/>
      <c r="Q15" s="328"/>
      <c r="R15" s="328"/>
      <c r="S15" s="328"/>
      <c r="T15" s="328"/>
      <c r="U15" s="328"/>
      <c r="V15" s="328"/>
      <c r="W15" s="136"/>
      <c r="X15" s="136"/>
      <c r="Y15" s="136"/>
    </row>
    <row r="16" spans="1:25" ht="16.5" customHeight="1" thickBot="1">
      <c r="A16" s="2"/>
      <c r="B16" s="566"/>
      <c r="C16" s="135"/>
      <c r="E16" s="1063" t="s">
        <v>258</v>
      </c>
      <c r="F16" s="1145">
        <f>CO2計算!P78</f>
        <v>6.13</v>
      </c>
      <c r="G16" s="1145">
        <f>CO2計算!P79</f>
        <v>2.37</v>
      </c>
      <c r="H16" s="1145" t="e">
        <f>CO2計算!P80</f>
        <v>#VALUE!</v>
      </c>
      <c r="I16" s="1146" t="e">
        <f>CO2計算!P81</f>
        <v>#VALUE!</v>
      </c>
      <c r="J16" s="1147">
        <v>1</v>
      </c>
      <c r="L16" s="1028" t="s">
        <v>877</v>
      </c>
      <c r="M16" s="1149" t="e">
        <f>ROUNDDOWN(IF(J17=P19,0,IF(J17&lt;Q18,5,IF(J17&lt;Q17,T18,IF(J17&lt;Q16,T17,1)))),1)</f>
        <v>#VALUE!</v>
      </c>
      <c r="O16" s="328"/>
      <c r="P16" s="1350" t="s">
        <v>46</v>
      </c>
      <c r="Q16" s="1351">
        <v>1.25</v>
      </c>
      <c r="R16" s="582"/>
      <c r="S16" s="1351"/>
      <c r="T16" s="320">
        <v>1</v>
      </c>
      <c r="U16" s="328"/>
      <c r="V16" s="328"/>
      <c r="W16" s="136"/>
      <c r="X16" s="136"/>
      <c r="Y16" s="136"/>
    </row>
    <row r="17" spans="1:25" ht="16.5" customHeight="1">
      <c r="A17" s="2"/>
      <c r="B17" s="566"/>
      <c r="C17" s="135"/>
      <c r="D17" s="5"/>
      <c r="E17" s="1063" t="s">
        <v>472</v>
      </c>
      <c r="F17" s="1145" t="e">
        <f>CO2計算!M78</f>
        <v>#VALUE!</v>
      </c>
      <c r="G17" s="1145" t="e">
        <f>CO2計算!M79</f>
        <v>#DIV/0!</v>
      </c>
      <c r="H17" s="1145" t="e">
        <f>CO2計算!M80</f>
        <v>#VALUE!</v>
      </c>
      <c r="I17" s="1146" t="e">
        <f>CO2計算!M81</f>
        <v>#VALUE!</v>
      </c>
      <c r="J17" s="1148" t="e">
        <f>IF(OR(I16=P19,I16=0),P19,I17/I16)</f>
        <v>#VALUE!</v>
      </c>
      <c r="O17" s="328"/>
      <c r="P17" s="1350" t="s">
        <v>47</v>
      </c>
      <c r="Q17" s="1351">
        <v>1</v>
      </c>
      <c r="R17" s="1351">
        <v>-8</v>
      </c>
      <c r="S17" s="1351">
        <v>11</v>
      </c>
      <c r="T17" s="582" t="e">
        <f>R17*J17+S17</f>
        <v>#VALUE!</v>
      </c>
      <c r="U17" s="328"/>
      <c r="V17" s="328"/>
      <c r="W17" s="136"/>
      <c r="X17" s="136"/>
      <c r="Y17" s="136"/>
    </row>
    <row r="18" spans="1:25" ht="16.5" thickBot="1">
      <c r="A18" s="2"/>
      <c r="B18" s="566"/>
      <c r="C18" s="135"/>
      <c r="D18" s="1099" t="s">
        <v>1249</v>
      </c>
      <c r="N18" s="328"/>
      <c r="O18" s="328"/>
      <c r="P18" s="1350" t="s">
        <v>48</v>
      </c>
      <c r="Q18" s="1351">
        <v>0.5</v>
      </c>
      <c r="R18" s="1351">
        <v>-4</v>
      </c>
      <c r="S18" s="582">
        <v>7</v>
      </c>
      <c r="T18" s="582" t="e">
        <f>R18*J17+S18</f>
        <v>#VALUE!</v>
      </c>
      <c r="U18" s="328"/>
      <c r="V18" s="328"/>
      <c r="W18" s="136"/>
      <c r="X18" s="136"/>
      <c r="Y18" s="136"/>
    </row>
    <row r="19" spans="1:25" ht="20.25" customHeight="1" thickBot="1">
      <c r="A19" s="2"/>
      <c r="B19" s="1933"/>
      <c r="C19" s="1934"/>
      <c r="D19" s="5" t="str">
        <f>判定!C25</f>
        <v>■木質系</v>
      </c>
      <c r="E19" s="1935"/>
      <c r="F19" s="2166" t="s">
        <v>1317</v>
      </c>
      <c r="G19" s="2167"/>
      <c r="H19" s="2167"/>
      <c r="I19" s="2168"/>
      <c r="J19" s="2058" t="str">
        <f>判定!J28</f>
        <v>削減率</v>
      </c>
      <c r="N19" s="328"/>
      <c r="O19" s="328"/>
      <c r="P19" s="138" t="s">
        <v>199</v>
      </c>
      <c r="Q19" s="407"/>
      <c r="R19" s="407"/>
      <c r="S19" s="1887"/>
      <c r="T19" s="1887"/>
      <c r="U19" s="328"/>
      <c r="V19" s="328"/>
      <c r="W19" s="136"/>
      <c r="X19" s="136"/>
      <c r="Y19" s="136"/>
    </row>
    <row r="20" spans="1:25" ht="20.25" customHeight="1">
      <c r="A20" s="2"/>
      <c r="B20" s="1933"/>
      <c r="C20" s="1934"/>
      <c r="D20" s="5"/>
      <c r="E20" s="1890" t="str">
        <f>判定!D29</f>
        <v>①</v>
      </c>
      <c r="F20" s="1893" t="str">
        <f>判定!E29</f>
        <v>基礎用コンクリートに高炉セメントB種を使用</v>
      </c>
      <c r="G20" s="1888"/>
      <c r="H20" s="1888"/>
      <c r="I20" s="1894"/>
      <c r="J20" s="2055">
        <f>判定!J29</f>
        <v>0.04</v>
      </c>
      <c r="N20" s="328"/>
      <c r="O20" s="328"/>
      <c r="P20" s="1031"/>
      <c r="Q20" s="407"/>
      <c r="R20" s="407"/>
      <c r="S20" s="1887"/>
      <c r="T20" s="1887"/>
      <c r="U20" s="328"/>
      <c r="V20" s="328"/>
      <c r="W20" s="136"/>
      <c r="X20" s="136"/>
      <c r="Y20" s="136"/>
    </row>
    <row r="21" spans="1:25" ht="30" customHeight="1">
      <c r="A21" s="2"/>
      <c r="B21" s="1933"/>
      <c r="C21" s="1934"/>
      <c r="D21" s="5"/>
      <c r="E21" s="1891" t="str">
        <f>判定!D30</f>
        <v>②</v>
      </c>
      <c r="F21" s="2485" t="str">
        <f>判定!E30</f>
        <v>構造用木材の過半にバイオマス乾燥木材または天然乾燥木材を採用</v>
      </c>
      <c r="G21" s="2486"/>
      <c r="H21" s="2486"/>
      <c r="I21" s="2487"/>
      <c r="J21" s="2056">
        <f>判定!J30</f>
        <v>0.02</v>
      </c>
      <c r="N21" s="328"/>
      <c r="O21" s="328"/>
      <c r="P21" s="1031"/>
      <c r="Q21" s="407"/>
      <c r="R21" s="407"/>
      <c r="S21" s="1887"/>
      <c r="T21" s="1887"/>
      <c r="U21" s="328"/>
      <c r="V21" s="328"/>
      <c r="W21" s="136"/>
      <c r="X21" s="136"/>
      <c r="Y21" s="136"/>
    </row>
    <row r="22" spans="1:25" ht="30" customHeight="1">
      <c r="A22" s="2"/>
      <c r="B22" s="1933"/>
      <c r="C22" s="1934"/>
      <c r="D22" s="5"/>
      <c r="E22" s="1891" t="str">
        <f>判定!D31</f>
        <v>③</v>
      </c>
      <c r="F22" s="2488" t="str">
        <f>判定!E31</f>
        <v>構造用木材の概ね全てにバイオマス乾燥木材または天然乾燥木材を採用</v>
      </c>
      <c r="G22" s="2489"/>
      <c r="H22" s="2489"/>
      <c r="I22" s="2490"/>
      <c r="J22" s="2056">
        <f>判定!J31</f>
        <v>0.04</v>
      </c>
      <c r="N22" s="328"/>
      <c r="O22" s="328"/>
      <c r="P22" s="1031"/>
      <c r="Q22" s="407"/>
      <c r="R22" s="407"/>
      <c r="S22" s="1887"/>
      <c r="T22" s="1887"/>
      <c r="U22" s="328"/>
      <c r="V22" s="328"/>
      <c r="W22" s="136"/>
      <c r="X22" s="136"/>
      <c r="Y22" s="136"/>
    </row>
    <row r="23" spans="1:25" ht="20.25" customHeight="1">
      <c r="A23" s="2"/>
      <c r="B23" s="1933"/>
      <c r="C23" s="1934"/>
      <c r="D23" s="5"/>
      <c r="E23" s="1891" t="str">
        <f>判定!D32</f>
        <v>④</v>
      </c>
      <c r="F23" s="1893" t="str">
        <f>判定!E32</f>
        <v>①＋②の場合</v>
      </c>
      <c r="G23" s="1889"/>
      <c r="H23" s="1889"/>
      <c r="I23" s="1896"/>
      <c r="J23" s="2056">
        <f>判定!J32</f>
        <v>0.06</v>
      </c>
      <c r="N23" s="328"/>
      <c r="O23" s="328"/>
      <c r="P23" s="1031"/>
      <c r="Q23" s="407"/>
      <c r="R23" s="407"/>
      <c r="S23" s="1887"/>
      <c r="T23" s="1887"/>
      <c r="U23" s="328"/>
      <c r="V23" s="328"/>
      <c r="W23" s="136"/>
      <c r="X23" s="136"/>
      <c r="Y23" s="136"/>
    </row>
    <row r="24" spans="1:25" ht="20.25" customHeight="1">
      <c r="A24" s="2"/>
      <c r="B24" s="1933"/>
      <c r="C24" s="1934"/>
      <c r="D24" s="5"/>
      <c r="E24" s="1891" t="str">
        <f>判定!D33</f>
        <v>⑤</v>
      </c>
      <c r="F24" s="1893" t="str">
        <f>判定!E33</f>
        <v>①＋③の場合</v>
      </c>
      <c r="G24" s="1889"/>
      <c r="H24" s="1889"/>
      <c r="I24" s="1896"/>
      <c r="J24" s="2056">
        <f>判定!J33</f>
        <v>0.08</v>
      </c>
      <c r="N24" s="328"/>
      <c r="O24" s="328"/>
      <c r="P24" s="1031"/>
      <c r="Q24" s="407"/>
      <c r="R24" s="407"/>
      <c r="S24" s="1887"/>
      <c r="T24" s="1887"/>
      <c r="U24" s="328"/>
      <c r="V24" s="328"/>
      <c r="W24" s="136"/>
      <c r="X24" s="136"/>
      <c r="Y24" s="136"/>
    </row>
    <row r="25" spans="1:25" ht="20.25" customHeight="1">
      <c r="A25" s="2"/>
      <c r="B25" s="1933"/>
      <c r="C25" s="1934"/>
      <c r="D25" s="5"/>
      <c r="E25" s="1892"/>
      <c r="F25" s="1893" t="str">
        <f>判定!E34</f>
        <v>上記のいずれも採用していない</v>
      </c>
      <c r="G25" s="1897"/>
      <c r="H25" s="1897"/>
      <c r="I25" s="1898"/>
      <c r="J25" s="2057">
        <f>判定!J34</f>
        <v>0</v>
      </c>
      <c r="N25" s="328"/>
      <c r="O25" s="328"/>
      <c r="P25" s="1031"/>
      <c r="Q25" s="407"/>
      <c r="R25" s="407"/>
      <c r="S25" s="1887"/>
      <c r="T25" s="1887"/>
      <c r="U25" s="328"/>
      <c r="V25" s="328"/>
      <c r="W25" s="136"/>
      <c r="X25" s="136"/>
      <c r="Y25" s="136"/>
    </row>
    <row r="26" spans="1:25" ht="6" customHeight="1" thickBot="1">
      <c r="A26" s="2"/>
      <c r="B26" s="1933"/>
      <c r="C26" s="1933"/>
      <c r="D26" s="1933"/>
      <c r="E26" s="1933"/>
      <c r="F26" s="1933"/>
      <c r="G26" s="1933"/>
      <c r="H26" s="1933"/>
      <c r="I26" s="1933"/>
      <c r="J26" s="1933"/>
      <c r="K26" s="1933"/>
      <c r="L26" s="1933"/>
      <c r="N26" s="328"/>
      <c r="O26" s="328"/>
      <c r="P26" s="1031"/>
      <c r="Q26" s="407"/>
      <c r="R26" s="407"/>
      <c r="S26" s="1887"/>
      <c r="T26" s="1887"/>
      <c r="U26" s="328"/>
      <c r="V26" s="328"/>
      <c r="W26" s="136"/>
      <c r="X26" s="136"/>
      <c r="Y26" s="136"/>
    </row>
    <row r="27" spans="1:25" ht="20.25" customHeight="1" thickBot="1">
      <c r="A27" s="2"/>
      <c r="B27" s="1933"/>
      <c r="C27" s="1934"/>
      <c r="D27" s="5" t="str">
        <f>判定!C26</f>
        <v>■鉄骨系</v>
      </c>
      <c r="E27" s="1935"/>
      <c r="F27" s="2166" t="s">
        <v>1317</v>
      </c>
      <c r="G27" s="2167"/>
      <c r="H27" s="2167"/>
      <c r="I27" s="2168"/>
      <c r="J27" s="2058" t="str">
        <f>判定!J35</f>
        <v>削減率</v>
      </c>
      <c r="N27" s="328"/>
      <c r="O27" s="328"/>
      <c r="P27" s="1031"/>
      <c r="Q27" s="407"/>
      <c r="R27" s="407"/>
      <c r="S27" s="1887"/>
      <c r="T27" s="1887"/>
      <c r="U27" s="328"/>
      <c r="V27" s="328"/>
      <c r="W27" s="136"/>
      <c r="X27" s="136"/>
      <c r="Y27" s="136"/>
    </row>
    <row r="28" spans="1:25" ht="20.25" customHeight="1">
      <c r="A28" s="2"/>
      <c r="B28" s="1933"/>
      <c r="C28" s="1934"/>
      <c r="D28" s="5"/>
      <c r="E28" s="1890" t="str">
        <f>判定!D36</f>
        <v>①</v>
      </c>
      <c r="F28" s="1893" t="str">
        <f>判定!E36</f>
        <v>軽量鉄骨造の場合</v>
      </c>
      <c r="G28" s="1888"/>
      <c r="H28" s="1888"/>
      <c r="I28" s="1894"/>
      <c r="J28" s="2055">
        <f>判定!J36</f>
        <v>0.09</v>
      </c>
      <c r="N28" s="328"/>
      <c r="O28" s="328"/>
      <c r="P28" s="1031"/>
      <c r="Q28" s="407"/>
      <c r="R28" s="407"/>
      <c r="S28" s="1887"/>
      <c r="T28" s="1887"/>
      <c r="U28" s="328"/>
      <c r="V28" s="328"/>
      <c r="W28" s="136"/>
      <c r="X28" s="136"/>
      <c r="Y28" s="136"/>
    </row>
    <row r="29" spans="1:25" ht="20.25" customHeight="1">
      <c r="A29" s="2"/>
      <c r="B29" s="1933"/>
      <c r="C29" s="1934"/>
      <c r="D29" s="5"/>
      <c r="E29" s="1891" t="str">
        <f>判定!D37</f>
        <v>②</v>
      </c>
      <c r="F29" s="1895" t="str">
        <f>判定!E37</f>
        <v>基礎用コンクリートに高炉セメントB種を使用</v>
      </c>
      <c r="G29" s="1889"/>
      <c r="H29" s="1889"/>
      <c r="I29" s="1896"/>
      <c r="J29" s="2056">
        <f>判定!J37</f>
        <v>0.04</v>
      </c>
      <c r="N29" s="328"/>
      <c r="O29" s="328"/>
      <c r="P29" s="1031"/>
      <c r="Q29" s="407"/>
      <c r="R29" s="407"/>
      <c r="S29" s="1887"/>
      <c r="T29" s="1887"/>
      <c r="U29" s="328"/>
      <c r="V29" s="328"/>
      <c r="W29" s="136"/>
      <c r="X29" s="136"/>
      <c r="Y29" s="136"/>
    </row>
    <row r="30" spans="1:25" ht="20.25" customHeight="1">
      <c r="A30" s="2"/>
      <c r="B30" s="1933"/>
      <c r="C30" s="1934"/>
      <c r="D30" s="5"/>
      <c r="E30" s="1891" t="str">
        <f>判定!D38</f>
        <v>③</v>
      </c>
      <c r="F30" s="1895" t="str">
        <f>判定!E38</f>
        <v>①＋②の場合</v>
      </c>
      <c r="G30" s="1889"/>
      <c r="H30" s="1889"/>
      <c r="I30" s="1896"/>
      <c r="J30" s="2056">
        <f>判定!J38</f>
        <v>0.13</v>
      </c>
      <c r="N30" s="328"/>
      <c r="O30" s="328"/>
      <c r="P30" s="1031"/>
      <c r="Q30" s="407"/>
      <c r="R30" s="407"/>
      <c r="S30" s="1887"/>
      <c r="T30" s="1887"/>
      <c r="U30" s="328"/>
      <c r="V30" s="328"/>
      <c r="W30" s="136"/>
      <c r="X30" s="136"/>
      <c r="Y30" s="136"/>
    </row>
    <row r="31" spans="1:25" ht="20.25" customHeight="1">
      <c r="A31" s="2"/>
      <c r="B31" s="1933"/>
      <c r="C31" s="1934"/>
      <c r="D31" s="5"/>
      <c r="E31" s="1891"/>
      <c r="F31" s="1895" t="str">
        <f>判定!E39</f>
        <v>上記のいずれも採用していない</v>
      </c>
      <c r="G31" s="1889"/>
      <c r="H31" s="1889"/>
      <c r="I31" s="1896"/>
      <c r="J31" s="2056">
        <f>判定!J39</f>
        <v>0</v>
      </c>
      <c r="N31" s="328"/>
      <c r="O31" s="328"/>
      <c r="P31" s="1031"/>
      <c r="Q31" s="407"/>
      <c r="R31" s="407"/>
      <c r="S31" s="1887"/>
      <c r="T31" s="1887"/>
      <c r="U31" s="328"/>
      <c r="V31" s="328"/>
      <c r="W31" s="136"/>
      <c r="X31" s="136"/>
      <c r="Y31" s="136"/>
    </row>
    <row r="32" spans="1:25" ht="4.5" customHeight="1" thickBot="1">
      <c r="A32" s="2"/>
      <c r="B32" s="1933"/>
      <c r="C32" s="1934"/>
      <c r="D32" s="1934"/>
      <c r="E32" s="1934"/>
      <c r="F32" s="1934"/>
      <c r="G32" s="1934"/>
      <c r="H32" s="1934"/>
      <c r="I32" s="1934"/>
      <c r="J32" s="2059"/>
      <c r="K32" s="1934"/>
      <c r="L32" s="1934"/>
      <c r="N32" s="328"/>
      <c r="O32" s="328"/>
      <c r="P32" s="1031"/>
      <c r="Q32" s="407"/>
      <c r="R32" s="407"/>
      <c r="S32" s="1887"/>
      <c r="T32" s="1887"/>
      <c r="U32" s="328"/>
      <c r="V32" s="328"/>
      <c r="W32" s="136"/>
      <c r="X32" s="136"/>
      <c r="Y32" s="136"/>
    </row>
    <row r="33" spans="1:25" ht="20.25" customHeight="1" thickBot="1">
      <c r="A33" s="2"/>
      <c r="B33" s="1933"/>
      <c r="C33" s="1934"/>
      <c r="D33" s="1900" t="str">
        <f>判定!C27</f>
        <v>■コンクリート系</v>
      </c>
      <c r="E33" s="1935"/>
      <c r="F33" s="2166" t="s">
        <v>1317</v>
      </c>
      <c r="G33" s="2167"/>
      <c r="H33" s="2167"/>
      <c r="I33" s="2168"/>
      <c r="J33" s="2058" t="str">
        <f>判定!J40</f>
        <v>削減率</v>
      </c>
      <c r="N33" s="328"/>
      <c r="O33" s="328"/>
      <c r="P33" s="1031"/>
      <c r="Q33" s="407"/>
      <c r="R33" s="407"/>
      <c r="S33" s="1887"/>
      <c r="T33" s="1887"/>
      <c r="U33" s="328"/>
      <c r="V33" s="328"/>
      <c r="W33" s="136"/>
      <c r="X33" s="136"/>
      <c r="Y33" s="136"/>
    </row>
    <row r="34" spans="1:25" ht="20.25" customHeight="1">
      <c r="A34" s="2"/>
      <c r="B34" s="1933"/>
      <c r="C34" s="1934"/>
      <c r="D34" s="5"/>
      <c r="E34" s="1890" t="str">
        <f>判定!D41</f>
        <v>①</v>
      </c>
      <c r="F34" s="1893" t="str">
        <f>判定!E41</f>
        <v>基礎用コンクリートに高炉セメントB種を使用</v>
      </c>
      <c r="G34" s="1888"/>
      <c r="H34" s="1888"/>
      <c r="I34" s="1894"/>
      <c r="J34" s="2055">
        <f>判定!J41</f>
        <v>0.03</v>
      </c>
      <c r="N34" s="328"/>
      <c r="O34" s="328"/>
      <c r="P34" s="1031"/>
      <c r="Q34" s="407"/>
      <c r="R34" s="407"/>
      <c r="S34" s="1887"/>
      <c r="T34" s="1887"/>
      <c r="U34" s="328"/>
      <c r="V34" s="328"/>
      <c r="W34" s="136"/>
      <c r="X34" s="136"/>
      <c r="Y34" s="136"/>
    </row>
    <row r="35" spans="1:25" ht="20.25" customHeight="1">
      <c r="A35" s="2"/>
      <c r="B35" s="1933"/>
      <c r="C35" s="1934"/>
      <c r="D35" s="5"/>
      <c r="E35" s="1891" t="str">
        <f>判定!D42</f>
        <v>②</v>
      </c>
      <c r="F35" s="1895" t="str">
        <f>判定!E42</f>
        <v>上部躯体用コンクリートに高炉セメントB種を使用</v>
      </c>
      <c r="G35" s="1889"/>
      <c r="H35" s="1889"/>
      <c r="I35" s="1896"/>
      <c r="J35" s="2056">
        <f>判定!J42</f>
        <v>7.0000000000000007E-2</v>
      </c>
      <c r="N35" s="328"/>
      <c r="O35" s="328"/>
      <c r="P35" s="1031"/>
      <c r="Q35" s="407"/>
      <c r="R35" s="407"/>
      <c r="S35" s="1887"/>
      <c r="T35" s="1887"/>
      <c r="U35" s="328"/>
      <c r="V35" s="328"/>
      <c r="W35" s="136"/>
      <c r="X35" s="136"/>
      <c r="Y35" s="136"/>
    </row>
    <row r="36" spans="1:25" ht="20.25" customHeight="1">
      <c r="A36" s="2"/>
      <c r="B36" s="1933"/>
      <c r="C36" s="1934"/>
      <c r="D36" s="5"/>
      <c r="E36" s="1891" t="str">
        <f>判定!D43</f>
        <v>③</v>
      </c>
      <c r="F36" s="1895" t="str">
        <f>判定!E43</f>
        <v>①＋②の場合</v>
      </c>
      <c r="G36" s="1889"/>
      <c r="H36" s="1889"/>
      <c r="I36" s="1896"/>
      <c r="J36" s="2056">
        <f>判定!J43</f>
        <v>0.1</v>
      </c>
      <c r="N36" s="328"/>
      <c r="O36" s="328"/>
      <c r="P36" s="1031"/>
      <c r="Q36" s="407"/>
      <c r="R36" s="407"/>
      <c r="S36" s="1887"/>
      <c r="T36" s="1887"/>
      <c r="U36" s="328"/>
      <c r="V36" s="328"/>
      <c r="W36" s="136"/>
      <c r="X36" s="136"/>
      <c r="Y36" s="136"/>
    </row>
    <row r="37" spans="1:25" ht="20.25" customHeight="1">
      <c r="A37" s="2"/>
      <c r="B37" s="1933"/>
      <c r="C37" s="1934"/>
      <c r="D37" s="5"/>
      <c r="E37" s="1891"/>
      <c r="F37" s="1895" t="str">
        <f>判定!E44</f>
        <v>上記のいずれも採用していない</v>
      </c>
      <c r="G37" s="1889"/>
      <c r="H37" s="1889"/>
      <c r="I37" s="1896"/>
      <c r="J37" s="2056">
        <f>判定!J44</f>
        <v>0</v>
      </c>
      <c r="N37" s="328"/>
      <c r="O37" s="328"/>
      <c r="P37" s="1031"/>
      <c r="Q37" s="407"/>
      <c r="R37" s="407"/>
      <c r="S37" s="1887"/>
      <c r="T37" s="1887"/>
      <c r="U37" s="328"/>
      <c r="V37" s="328"/>
      <c r="W37" s="136"/>
      <c r="X37" s="136"/>
      <c r="Y37" s="136"/>
    </row>
    <row r="38" spans="1:25" ht="20.25" customHeight="1">
      <c r="A38" s="2"/>
      <c r="B38" s="1933"/>
      <c r="C38" s="1934"/>
      <c r="D38" s="5"/>
      <c r="N38" s="328"/>
      <c r="O38" s="328"/>
      <c r="P38" s="1031"/>
      <c r="Q38" s="407"/>
      <c r="R38" s="407"/>
      <c r="S38" s="1887"/>
      <c r="T38" s="1887"/>
      <c r="U38" s="328"/>
      <c r="V38" s="328"/>
      <c r="W38" s="136"/>
      <c r="X38" s="136"/>
      <c r="Y38" s="136"/>
    </row>
    <row r="39" spans="1:25" s="328" customFormat="1" ht="18" customHeight="1">
      <c r="A39" s="4"/>
      <c r="B39" s="168">
        <v>2</v>
      </c>
      <c r="C39" s="40" t="s">
        <v>325</v>
      </c>
      <c r="D39" s="168"/>
      <c r="E39" s="135"/>
      <c r="F39" s="135"/>
      <c r="G39" s="135"/>
      <c r="I39" s="135"/>
      <c r="J39" s="135"/>
      <c r="K39" s="135"/>
      <c r="L39" s="135"/>
      <c r="M39" s="135"/>
    </row>
    <row r="40" spans="1:25" s="328" customFormat="1">
      <c r="A40" s="4"/>
      <c r="B40" s="622">
        <v>2.1</v>
      </c>
      <c r="C40" s="163" t="s">
        <v>764</v>
      </c>
      <c r="E40" s="557"/>
      <c r="F40" s="557"/>
      <c r="G40" s="557"/>
      <c r="I40" s="557"/>
      <c r="J40" s="557"/>
      <c r="K40" s="557"/>
      <c r="L40" s="557"/>
      <c r="M40" s="557"/>
    </row>
    <row r="41" spans="1:25" s="328" customFormat="1" ht="16.5" customHeight="1" thickBot="1">
      <c r="A41" s="4"/>
      <c r="B41" s="572"/>
      <c r="C41" s="4"/>
      <c r="D41" s="4"/>
      <c r="E41" s="557"/>
      <c r="F41" s="557"/>
      <c r="G41" s="557"/>
      <c r="H41" s="557"/>
      <c r="I41" s="557"/>
      <c r="J41" s="557"/>
      <c r="K41" s="154"/>
      <c r="L41" s="180" t="s">
        <v>2</v>
      </c>
      <c r="M41" s="377">
        <f>重み!M83</f>
        <v>0.5</v>
      </c>
      <c r="O41" s="328">
        <f t="shared" ref="O41:V41" si="1">C41</f>
        <v>0</v>
      </c>
      <c r="P41" s="328">
        <f t="shared" si="1"/>
        <v>0</v>
      </c>
      <c r="Q41" s="328">
        <f t="shared" si="1"/>
        <v>0</v>
      </c>
      <c r="R41" s="328">
        <f t="shared" si="1"/>
        <v>0</v>
      </c>
      <c r="S41" s="328">
        <f t="shared" si="1"/>
        <v>0</v>
      </c>
      <c r="T41" s="328">
        <f t="shared" si="1"/>
        <v>0</v>
      </c>
      <c r="U41" s="328">
        <f t="shared" si="1"/>
        <v>0</v>
      </c>
      <c r="V41" s="328">
        <f t="shared" si="1"/>
        <v>0</v>
      </c>
      <c r="W41" s="328" t="str">
        <f>L41</f>
        <v>重み係数＝</v>
      </c>
      <c r="X41" s="328">
        <f>M41</f>
        <v>0.5</v>
      </c>
    </row>
    <row r="42" spans="1:25" s="328" customFormat="1" ht="16.5" customHeight="1" thickBot="1">
      <c r="A42" s="4"/>
      <c r="B42" s="570"/>
      <c r="C42" s="168"/>
      <c r="D42" s="1078">
        <f>ROUND(IF(F56=0,2,IF(F56&lt;=1,3,IF(F56&gt;=4,5,4))),0)</f>
        <v>3</v>
      </c>
      <c r="E42" s="2349" t="s">
        <v>467</v>
      </c>
      <c r="F42" s="2350"/>
      <c r="G42" s="2350"/>
      <c r="H42" s="2350"/>
      <c r="I42" s="2350"/>
      <c r="J42" s="2350"/>
      <c r="K42" s="2350"/>
      <c r="L42" s="2350"/>
      <c r="M42" s="2351"/>
      <c r="Q42" s="5"/>
      <c r="R42" s="5"/>
      <c r="S42" s="5"/>
      <c r="T42" s="5"/>
      <c r="U42" s="5"/>
      <c r="V42" s="136"/>
      <c r="W42" s="136"/>
      <c r="X42" s="136"/>
    </row>
    <row r="43" spans="1:25" s="328" customFormat="1" ht="16.5" customHeight="1">
      <c r="A43" s="4"/>
      <c r="B43" s="568"/>
      <c r="C43" s="168"/>
      <c r="D43" s="39" t="str">
        <f>IF(D42=$Q$89,$R$84,IF(ROUNDDOWN(D42,0)=$Q$84,$S$84,$R$84))</f>
        <v>　レベル　1</v>
      </c>
      <c r="E43" s="526" t="s">
        <v>459</v>
      </c>
      <c r="F43" s="524"/>
      <c r="G43" s="524"/>
      <c r="H43" s="524"/>
      <c r="I43" s="524"/>
      <c r="J43" s="524"/>
      <c r="K43" s="524"/>
      <c r="L43" s="524"/>
      <c r="M43" s="525"/>
      <c r="P43" s="386" t="s">
        <v>62</v>
      </c>
      <c r="Q43" s="41"/>
      <c r="R43" s="41"/>
      <c r="S43" s="41"/>
      <c r="T43" s="41"/>
      <c r="U43" s="386">
        <f>$Q$84</f>
        <v>1</v>
      </c>
      <c r="V43" s="41"/>
      <c r="W43" s="41"/>
      <c r="X43" s="41"/>
    </row>
    <row r="44" spans="1:25" s="328" customFormat="1" ht="16.5" customHeight="1">
      <c r="A44" s="4"/>
      <c r="B44" s="568"/>
      <c r="C44" s="168"/>
      <c r="D44" s="39" t="str">
        <f>IF(D42=$Q$89,$R$85,IF(ROUNDDOWN(D42,0)=$Q$85,$S$85,$R$85))</f>
        <v>　レベル　2</v>
      </c>
      <c r="E44" s="527" t="s">
        <v>326</v>
      </c>
      <c r="F44" s="517"/>
      <c r="G44" s="517"/>
      <c r="H44" s="517"/>
      <c r="I44" s="517"/>
      <c r="J44" s="517"/>
      <c r="K44" s="517"/>
      <c r="L44" s="517"/>
      <c r="M44" s="518"/>
      <c r="P44" s="386">
        <f>$Q$85</f>
        <v>2</v>
      </c>
      <c r="Q44" s="41"/>
      <c r="R44" s="41"/>
      <c r="S44" s="41"/>
      <c r="T44" s="41"/>
      <c r="U44" s="386">
        <f>$Q$85</f>
        <v>2</v>
      </c>
      <c r="V44" s="41"/>
      <c r="W44" s="41"/>
      <c r="X44" s="41"/>
    </row>
    <row r="45" spans="1:25" s="328" customFormat="1" ht="16.5" customHeight="1">
      <c r="A45" s="4"/>
      <c r="B45" s="568"/>
      <c r="C45" s="168"/>
      <c r="D45" s="39" t="str">
        <f>IF(D42=$Q$89,$R$86,IF(ROUNDDOWN(D42,0)=$Q$86,$S$86,$R$86))</f>
        <v>■レベル　3</v>
      </c>
      <c r="E45" s="527" t="s">
        <v>327</v>
      </c>
      <c r="F45" s="517"/>
      <c r="G45" s="517"/>
      <c r="H45" s="517"/>
      <c r="I45" s="517"/>
      <c r="J45" s="517"/>
      <c r="K45" s="517"/>
      <c r="L45" s="517"/>
      <c r="M45" s="518"/>
      <c r="P45" s="386">
        <f>$Q$86</f>
        <v>3</v>
      </c>
      <c r="Q45" s="41"/>
      <c r="R45" s="41"/>
      <c r="S45" s="41"/>
      <c r="T45" s="41"/>
      <c r="U45" s="386">
        <f>$Q$86</f>
        <v>3</v>
      </c>
      <c r="V45" s="41"/>
      <c r="W45" s="41"/>
      <c r="X45" s="41"/>
    </row>
    <row r="46" spans="1:25" s="328" customFormat="1" ht="16.5" customHeight="1">
      <c r="A46" s="4"/>
      <c r="B46" s="568"/>
      <c r="C46" s="168"/>
      <c r="D46" s="39" t="str">
        <f>IF(D42=$Q$89,$R$87,IF(ROUNDDOWN(D42,0)=$Q$87,$S$87,$R$87))</f>
        <v>　レベル　4</v>
      </c>
      <c r="E46" s="539" t="s">
        <v>328</v>
      </c>
      <c r="F46" s="795"/>
      <c r="G46" s="795"/>
      <c r="H46" s="795"/>
      <c r="I46" s="795"/>
      <c r="J46" s="795"/>
      <c r="K46" s="795"/>
      <c r="L46" s="795"/>
      <c r="M46" s="796"/>
      <c r="P46" s="386">
        <f>$Q$87</f>
        <v>4</v>
      </c>
      <c r="Q46" s="41"/>
      <c r="R46" s="41"/>
      <c r="S46" s="41"/>
      <c r="T46" s="41"/>
      <c r="U46" s="386">
        <f>$Q$87</f>
        <v>4</v>
      </c>
      <c r="V46" s="41"/>
      <c r="W46" s="41"/>
      <c r="X46" s="41"/>
    </row>
    <row r="47" spans="1:25" s="328" customFormat="1" ht="16.5" customHeight="1">
      <c r="A47" s="4"/>
      <c r="B47" s="568"/>
      <c r="C47" s="168"/>
      <c r="D47" s="37" t="str">
        <f>IF(D42=$Q$89,$R$88,IF(ROUNDDOWN(D42,0)=$Q$88,$S$88,$R$88))</f>
        <v>　レベル　5</v>
      </c>
      <c r="E47" s="565" t="s">
        <v>329</v>
      </c>
      <c r="F47" s="797"/>
      <c r="G47" s="797"/>
      <c r="H47" s="797"/>
      <c r="I47" s="797"/>
      <c r="J47" s="797"/>
      <c r="K47" s="797"/>
      <c r="L47" s="797"/>
      <c r="M47" s="798"/>
      <c r="P47" s="386">
        <f>$Q$88</f>
        <v>5</v>
      </c>
      <c r="Q47" s="41"/>
      <c r="R47" s="41"/>
      <c r="S47" s="41"/>
      <c r="T47" s="41"/>
      <c r="U47" s="386">
        <f>$Q$88</f>
        <v>5</v>
      </c>
      <c r="V47" s="41"/>
      <c r="W47" s="41"/>
      <c r="X47" s="41"/>
    </row>
    <row r="48" spans="1:25" s="328" customFormat="1" ht="16.5" customHeight="1">
      <c r="A48" s="4"/>
      <c r="B48" s="566"/>
      <c r="C48" s="135"/>
      <c r="D48" s="135"/>
      <c r="E48" s="156" t="s">
        <v>41</v>
      </c>
      <c r="F48" s="55"/>
      <c r="G48" s="155"/>
      <c r="H48" s="44"/>
      <c r="I48" s="44"/>
      <c r="J48" s="55"/>
      <c r="K48" s="55"/>
      <c r="L48" s="55"/>
      <c r="M48" s="55"/>
      <c r="P48" s="386" t="s">
        <v>75</v>
      </c>
      <c r="Q48" s="41"/>
      <c r="R48" s="41"/>
      <c r="S48" s="41"/>
      <c r="T48" s="41"/>
      <c r="U48" s="386" t="str">
        <f>$Q$89</f>
        <v>対象外</v>
      </c>
      <c r="V48" s="41"/>
      <c r="W48" s="41"/>
      <c r="X48" s="41"/>
    </row>
    <row r="49" spans="1:25" s="328" customFormat="1" ht="16.5" customHeight="1" thickBot="1">
      <c r="A49" s="4"/>
      <c r="B49" s="566"/>
      <c r="C49" s="135"/>
      <c r="D49" s="135"/>
      <c r="E49" s="144" t="s">
        <v>394</v>
      </c>
      <c r="F49" s="550" t="s">
        <v>19</v>
      </c>
      <c r="G49" s="515" t="s">
        <v>85</v>
      </c>
      <c r="H49" s="549" t="s">
        <v>91</v>
      </c>
      <c r="I49" s="550"/>
      <c r="J49" s="550"/>
      <c r="K49" s="550"/>
      <c r="L49" s="550"/>
      <c r="M49" s="551"/>
      <c r="P49" s="576"/>
      <c r="Q49" s="41"/>
      <c r="R49" s="41"/>
      <c r="S49" s="41"/>
      <c r="T49" s="41"/>
      <c r="U49" s="576"/>
      <c r="V49" s="41"/>
      <c r="W49" s="41"/>
      <c r="X49" s="41"/>
    </row>
    <row r="50" spans="1:25" s="328" customFormat="1" ht="24" customHeight="1">
      <c r="A50" s="4"/>
      <c r="B50" s="566"/>
      <c r="C50" s="135"/>
      <c r="D50" s="135"/>
      <c r="E50" s="379"/>
      <c r="F50" s="2371" t="s">
        <v>766</v>
      </c>
      <c r="G50" s="827">
        <v>1</v>
      </c>
      <c r="H50" s="2355" t="s">
        <v>768</v>
      </c>
      <c r="I50" s="2356"/>
      <c r="J50" s="2356"/>
      <c r="K50" s="2356"/>
      <c r="L50" s="2356"/>
      <c r="M50" s="2357"/>
      <c r="P50" s="576"/>
      <c r="Q50" s="41"/>
      <c r="R50" s="41"/>
      <c r="S50" s="41"/>
      <c r="T50" s="41"/>
      <c r="U50" s="576"/>
      <c r="V50" s="41"/>
      <c r="W50" s="41"/>
      <c r="X50" s="41"/>
    </row>
    <row r="51" spans="1:25" s="328" customFormat="1" ht="16.5" customHeight="1">
      <c r="A51" s="4"/>
      <c r="B51" s="566"/>
      <c r="C51" s="135"/>
      <c r="D51" s="135"/>
      <c r="E51" s="537"/>
      <c r="F51" s="2400"/>
      <c r="G51" s="579">
        <v>2</v>
      </c>
      <c r="H51" s="539" t="s">
        <v>769</v>
      </c>
      <c r="I51" s="573"/>
      <c r="J51" s="573"/>
      <c r="K51" s="573"/>
      <c r="L51" s="573"/>
      <c r="M51" s="574"/>
      <c r="P51" s="576"/>
      <c r="Q51" s="41"/>
      <c r="R51" s="41"/>
      <c r="S51" s="41"/>
      <c r="T51" s="41"/>
      <c r="U51" s="576"/>
      <c r="V51" s="41"/>
      <c r="W51" s="41"/>
      <c r="X51" s="41"/>
    </row>
    <row r="52" spans="1:25" s="328" customFormat="1" ht="16.5" customHeight="1">
      <c r="A52" s="4"/>
      <c r="B52" s="566"/>
      <c r="C52" s="135"/>
      <c r="D52" s="135"/>
      <c r="E52" s="741"/>
      <c r="F52" s="2400"/>
      <c r="G52" s="580">
        <v>3</v>
      </c>
      <c r="H52" s="820" t="s">
        <v>770</v>
      </c>
      <c r="I52" s="821"/>
      <c r="J52" s="821"/>
      <c r="K52" s="821"/>
      <c r="L52" s="821"/>
      <c r="M52" s="822"/>
      <c r="P52" s="576"/>
      <c r="Q52" s="41"/>
      <c r="R52" s="41"/>
      <c r="S52" s="41"/>
      <c r="T52" s="41"/>
      <c r="U52" s="576"/>
      <c r="V52" s="41"/>
      <c r="W52" s="41"/>
      <c r="X52" s="41"/>
    </row>
    <row r="53" spans="1:25" s="328" customFormat="1" ht="16.5" customHeight="1">
      <c r="A53" s="4"/>
      <c r="B53" s="566"/>
      <c r="C53" s="135"/>
      <c r="D53" s="135"/>
      <c r="E53" s="813"/>
      <c r="F53" s="2371" t="s">
        <v>767</v>
      </c>
      <c r="G53" s="578">
        <v>4</v>
      </c>
      <c r="H53" s="545" t="s">
        <v>771</v>
      </c>
      <c r="I53" s="790"/>
      <c r="J53" s="790"/>
      <c r="K53" s="790"/>
      <c r="L53" s="790"/>
      <c r="M53" s="791"/>
      <c r="P53" s="576"/>
      <c r="Q53" s="41"/>
      <c r="R53" s="41"/>
      <c r="S53" s="41"/>
      <c r="T53" s="41"/>
      <c r="U53" s="576"/>
      <c r="V53" s="41"/>
      <c r="W53" s="41"/>
      <c r="X53" s="41"/>
    </row>
    <row r="54" spans="1:25" s="328" customFormat="1" ht="16.5" customHeight="1">
      <c r="A54" s="4"/>
      <c r="B54" s="566"/>
      <c r="C54" s="135"/>
      <c r="D54" s="135"/>
      <c r="E54" s="741" t="s">
        <v>763</v>
      </c>
      <c r="F54" s="2400"/>
      <c r="G54" s="580">
        <v>5</v>
      </c>
      <c r="H54" s="820" t="s">
        <v>772</v>
      </c>
      <c r="I54" s="821"/>
      <c r="J54" s="821"/>
      <c r="K54" s="821"/>
      <c r="L54" s="821"/>
      <c r="M54" s="822"/>
      <c r="P54" s="576"/>
      <c r="Q54" s="41"/>
      <c r="R54" s="41"/>
      <c r="S54" s="41"/>
      <c r="T54" s="41"/>
      <c r="U54" s="576"/>
      <c r="V54" s="41"/>
      <c r="W54" s="41"/>
      <c r="X54" s="41"/>
    </row>
    <row r="55" spans="1:25" s="328" customFormat="1" ht="16.5" customHeight="1" thickBot="1">
      <c r="A55" s="4"/>
      <c r="B55" s="566"/>
      <c r="C55" s="135"/>
      <c r="D55" s="135"/>
      <c r="E55" s="823"/>
      <c r="F55" s="824" t="s">
        <v>949</v>
      </c>
      <c r="G55" s="374">
        <v>6</v>
      </c>
      <c r="H55" s="805" t="s">
        <v>162</v>
      </c>
      <c r="I55" s="825"/>
      <c r="J55" s="825"/>
      <c r="K55" s="825"/>
      <c r="L55" s="825"/>
      <c r="M55" s="826"/>
      <c r="P55" s="576"/>
      <c r="Q55" s="41"/>
      <c r="R55" s="41"/>
      <c r="S55" s="41"/>
      <c r="T55" s="41"/>
      <c r="U55" s="576"/>
      <c r="V55" s="41"/>
      <c r="W55" s="41"/>
      <c r="X55" s="41"/>
    </row>
    <row r="56" spans="1:25" ht="16.5" customHeight="1">
      <c r="A56" s="2"/>
      <c r="B56" s="1068"/>
      <c r="C56" s="1069"/>
      <c r="D56" s="1069"/>
      <c r="E56" s="600" t="s">
        <v>535</v>
      </c>
      <c r="F56" s="1045">
        <f>COUNTIF(E50:E55,"○")</f>
        <v>1</v>
      </c>
      <c r="G56" s="1054"/>
      <c r="H56" s="1054"/>
      <c r="I56" s="143"/>
      <c r="J56" s="143"/>
      <c r="K56" s="143"/>
      <c r="L56" s="481"/>
      <c r="M56" s="544"/>
      <c r="N56" s="5"/>
      <c r="O56" s="5"/>
      <c r="P56" s="1100"/>
      <c r="Q56" s="41"/>
      <c r="R56" s="41"/>
      <c r="S56" s="41"/>
      <c r="T56" s="41"/>
      <c r="U56" s="1100"/>
      <c r="V56" s="41"/>
      <c r="W56" s="41"/>
      <c r="X56" s="41"/>
    </row>
    <row r="57" spans="1:25" s="148" customFormat="1" ht="8.25" customHeight="1">
      <c r="A57" s="55"/>
      <c r="B57" s="168"/>
      <c r="C57" s="611"/>
      <c r="D57" s="313"/>
      <c r="E57" s="313"/>
      <c r="F57" s="2"/>
      <c r="G57" s="2"/>
      <c r="H57" s="2"/>
      <c r="I57" s="2"/>
      <c r="J57" s="2"/>
      <c r="K57" s="2"/>
      <c r="L57" s="2"/>
      <c r="M57" s="2"/>
      <c r="N57" s="154"/>
      <c r="P57" s="588" t="s">
        <v>75</v>
      </c>
      <c r="Q57" s="328" t="s">
        <v>99</v>
      </c>
      <c r="R57" s="5"/>
      <c r="S57" s="5"/>
      <c r="T57" s="136"/>
    </row>
    <row r="58" spans="1:25" s="148" customFormat="1" ht="21" customHeight="1">
      <c r="A58" s="55"/>
      <c r="B58" s="168"/>
      <c r="C58" s="611"/>
      <c r="E58" s="786" t="s">
        <v>3</v>
      </c>
      <c r="F58" s="787"/>
      <c r="G58" s="1242"/>
      <c r="H58" s="1242"/>
      <c r="I58" s="1241"/>
      <c r="J58" s="1243"/>
      <c r="K58" s="1243"/>
      <c r="L58" s="1243"/>
      <c r="M58" s="1244"/>
      <c r="N58" s="154"/>
      <c r="P58" s="619"/>
      <c r="Q58" s="328"/>
      <c r="R58" s="5"/>
      <c r="S58" s="5"/>
      <c r="T58" s="136"/>
      <c r="U58" s="619"/>
      <c r="V58" s="136"/>
      <c r="W58" s="136"/>
      <c r="X58" s="136"/>
      <c r="Y58" s="136"/>
    </row>
    <row r="59" spans="1:25" s="328" customFormat="1">
      <c r="A59" s="4"/>
      <c r="B59" s="566"/>
      <c r="C59" s="135"/>
      <c r="D59" s="135"/>
      <c r="E59" s="135"/>
      <c r="F59" s="135"/>
      <c r="G59" s="135"/>
      <c r="H59" s="135"/>
      <c r="I59" s="135"/>
      <c r="J59" s="135"/>
      <c r="K59" s="135"/>
      <c r="L59" s="135"/>
      <c r="M59" s="135"/>
      <c r="N59" s="135"/>
      <c r="O59" s="330"/>
      <c r="P59" s="330"/>
    </row>
    <row r="60" spans="1:25" s="328" customFormat="1">
      <c r="A60" s="4"/>
      <c r="B60" s="1090">
        <v>2.2000000000000002</v>
      </c>
      <c r="C60" s="40" t="s">
        <v>86</v>
      </c>
      <c r="D60" s="40"/>
      <c r="E60" s="135"/>
      <c r="F60" s="135"/>
      <c r="G60" s="135"/>
      <c r="H60" s="135"/>
      <c r="I60" s="135"/>
      <c r="J60" s="135"/>
      <c r="K60" s="135"/>
      <c r="L60" s="135"/>
      <c r="M60" s="135"/>
      <c r="N60" s="135"/>
      <c r="O60" s="330"/>
      <c r="P60" s="330"/>
    </row>
    <row r="61" spans="1:25" s="328" customFormat="1" ht="16.5" customHeight="1" thickBot="1">
      <c r="A61" s="24"/>
      <c r="E61" s="55"/>
      <c r="F61" s="154"/>
      <c r="G61" s="154"/>
      <c r="H61" s="154"/>
      <c r="I61" s="154"/>
      <c r="J61" s="154"/>
      <c r="K61" s="154"/>
      <c r="L61" s="180" t="s">
        <v>2</v>
      </c>
      <c r="M61" s="377">
        <f>重み!M84</f>
        <v>0.5</v>
      </c>
      <c r="N61" s="4"/>
      <c r="O61" s="328">
        <f t="shared" ref="O61:V61" si="2">C61</f>
        <v>0</v>
      </c>
      <c r="P61" s="328">
        <f t="shared" si="2"/>
        <v>0</v>
      </c>
      <c r="Q61" s="328">
        <f t="shared" si="2"/>
        <v>0</v>
      </c>
      <c r="R61" s="328">
        <f t="shared" si="2"/>
        <v>0</v>
      </c>
      <c r="S61" s="328">
        <f t="shared" si="2"/>
        <v>0</v>
      </c>
      <c r="T61" s="328">
        <f t="shared" si="2"/>
        <v>0</v>
      </c>
      <c r="U61" s="328">
        <f t="shared" si="2"/>
        <v>0</v>
      </c>
      <c r="V61" s="328">
        <f t="shared" si="2"/>
        <v>0</v>
      </c>
      <c r="W61" s="328" t="str">
        <f>L61</f>
        <v>重み係数＝</v>
      </c>
      <c r="X61" s="328">
        <f>M61</f>
        <v>0.5</v>
      </c>
    </row>
    <row r="62" spans="1:25" s="331" customFormat="1" ht="16.5" customHeight="1" thickBot="1">
      <c r="A62" s="2"/>
      <c r="B62" s="566"/>
      <c r="C62" s="135"/>
      <c r="D62" s="1078">
        <f>ROUND(IF(F76=0,1,IF(F76&lt;3,3,IF(F76&lt;=4,4,5))),0)</f>
        <v>3</v>
      </c>
      <c r="E62" s="2349" t="s">
        <v>467</v>
      </c>
      <c r="F62" s="2350"/>
      <c r="G62" s="2350"/>
      <c r="H62" s="2350"/>
      <c r="I62" s="2350"/>
      <c r="J62" s="2350"/>
      <c r="K62" s="2350"/>
      <c r="L62" s="2350"/>
      <c r="M62" s="2351"/>
      <c r="N62" s="4"/>
      <c r="O62" s="328"/>
      <c r="P62" s="328"/>
      <c r="Q62" s="5"/>
      <c r="R62" s="5"/>
      <c r="S62" s="5"/>
      <c r="T62" s="5"/>
      <c r="U62" s="5"/>
      <c r="V62" s="136"/>
      <c r="W62" s="136"/>
      <c r="X62" s="136"/>
    </row>
    <row r="63" spans="1:25" ht="16.5" customHeight="1">
      <c r="A63" s="2"/>
      <c r="B63" s="566"/>
      <c r="C63" s="135"/>
      <c r="D63" s="39" t="str">
        <f>IF(D62=$Q$89,$R$84,IF(ROUNDDOWN(D62,0)=$Q$84,$S$84,$R$84))</f>
        <v>　レベル　1</v>
      </c>
      <c r="E63" s="526" t="s">
        <v>765</v>
      </c>
      <c r="F63" s="524"/>
      <c r="G63" s="524"/>
      <c r="H63" s="524"/>
      <c r="I63" s="524"/>
      <c r="J63" s="524"/>
      <c r="K63" s="524"/>
      <c r="L63" s="524"/>
      <c r="M63" s="525"/>
      <c r="N63" s="4"/>
      <c r="O63" s="328"/>
      <c r="P63" s="386">
        <f>$Q$84</f>
        <v>1</v>
      </c>
      <c r="Q63" s="41"/>
      <c r="R63" s="41"/>
      <c r="S63" s="41"/>
      <c r="T63" s="41"/>
      <c r="U63" s="386">
        <f>$Q$84</f>
        <v>1</v>
      </c>
      <c r="V63" s="41"/>
      <c r="W63" s="41"/>
      <c r="X63" s="41"/>
    </row>
    <row r="64" spans="1:25" ht="16.5" customHeight="1">
      <c r="A64" s="2"/>
      <c r="B64" s="566"/>
      <c r="C64" s="135"/>
      <c r="D64" s="39" t="str">
        <f>IF(D62=$Q$89,$R$85,IF(ROUNDDOWN(D62,0)=$Q$85,$S$85,$R$85))</f>
        <v>　レベル　2</v>
      </c>
      <c r="E64" s="527" t="s">
        <v>459</v>
      </c>
      <c r="F64" s="517"/>
      <c r="G64" s="517"/>
      <c r="H64" s="517"/>
      <c r="I64" s="517"/>
      <c r="J64" s="517"/>
      <c r="K64" s="517"/>
      <c r="L64" s="517"/>
      <c r="M64" s="518"/>
      <c r="N64" s="4"/>
      <c r="O64" s="328"/>
      <c r="P64" s="386" t="s">
        <v>62</v>
      </c>
      <c r="Q64" s="41"/>
      <c r="R64" s="41"/>
      <c r="S64" s="41"/>
      <c r="T64" s="41"/>
      <c r="U64" s="386">
        <f>$Q$85</f>
        <v>2</v>
      </c>
      <c r="V64" s="41"/>
      <c r="W64" s="41"/>
      <c r="X64" s="41"/>
    </row>
    <row r="65" spans="1:25" ht="16.5" customHeight="1">
      <c r="A65" s="2"/>
      <c r="B65" s="566"/>
      <c r="C65" s="135"/>
      <c r="D65" s="39" t="str">
        <f>IF(D62=$Q$89,$R$86,IF(ROUNDDOWN(D62,0)=$Q$86,$S$86,$R$86))</f>
        <v>■レベル　3</v>
      </c>
      <c r="E65" s="527" t="s">
        <v>175</v>
      </c>
      <c r="F65" s="517"/>
      <c r="G65" s="517"/>
      <c r="H65" s="517"/>
      <c r="I65" s="517"/>
      <c r="J65" s="517"/>
      <c r="K65" s="517"/>
      <c r="L65" s="517"/>
      <c r="M65" s="518"/>
      <c r="N65" s="4"/>
      <c r="O65" s="328"/>
      <c r="P65" s="386">
        <f>$Q$86</f>
        <v>3</v>
      </c>
      <c r="Q65" s="41"/>
      <c r="R65" s="41"/>
      <c r="S65" s="41"/>
      <c r="T65" s="41"/>
      <c r="U65" s="386">
        <f>$Q$86</f>
        <v>3</v>
      </c>
      <c r="V65" s="41"/>
      <c r="W65" s="41"/>
      <c r="X65" s="41"/>
    </row>
    <row r="66" spans="1:25" ht="16.5" customHeight="1">
      <c r="A66" s="2"/>
      <c r="B66" s="566"/>
      <c r="C66" s="135"/>
      <c r="D66" s="39" t="str">
        <f>IF(D62=$Q$89,$R$87,IF(ROUNDDOWN(D62,0)=$Q$87,$S$87,$R$87))</f>
        <v>　レベル　4</v>
      </c>
      <c r="E66" s="539" t="s">
        <v>176</v>
      </c>
      <c r="F66" s="517"/>
      <c r="G66" s="517"/>
      <c r="H66" s="517"/>
      <c r="I66" s="517"/>
      <c r="J66" s="517"/>
      <c r="K66" s="517"/>
      <c r="L66" s="517"/>
      <c r="M66" s="518"/>
      <c r="N66" s="4"/>
      <c r="O66" s="328"/>
      <c r="P66" s="386">
        <f>$Q$87</f>
        <v>4</v>
      </c>
      <c r="Q66" s="41"/>
      <c r="R66" s="41"/>
      <c r="S66" s="41"/>
      <c r="T66" s="41"/>
      <c r="U66" s="386">
        <f>$Q$87</f>
        <v>4</v>
      </c>
      <c r="V66" s="41"/>
      <c r="W66" s="41"/>
      <c r="X66" s="41"/>
    </row>
    <row r="67" spans="1:25" ht="16.5" customHeight="1">
      <c r="A67" s="2"/>
      <c r="B67" s="566"/>
      <c r="C67" s="135"/>
      <c r="D67" s="37" t="str">
        <f>IF(D62=$Q$89,$R$88,IF(ROUNDDOWN(D62,0)=$Q$88,$S$88,$R$88))</f>
        <v>　レベル　5</v>
      </c>
      <c r="E67" s="2368" t="s">
        <v>177</v>
      </c>
      <c r="F67" s="2380"/>
      <c r="G67" s="2380"/>
      <c r="H67" s="2380"/>
      <c r="I67" s="2380"/>
      <c r="J67" s="2380"/>
      <c r="K67" s="2380"/>
      <c r="L67" s="2380"/>
      <c r="M67" s="2381"/>
      <c r="N67" s="4"/>
      <c r="O67" s="328"/>
      <c r="P67" s="386">
        <f>$Q$88</f>
        <v>5</v>
      </c>
      <c r="Q67" s="41"/>
      <c r="R67" s="41"/>
      <c r="S67" s="41"/>
      <c r="T67" s="41"/>
      <c r="U67" s="386">
        <f>$Q$88</f>
        <v>5</v>
      </c>
      <c r="V67" s="41"/>
      <c r="W67" s="41"/>
      <c r="X67" s="41"/>
    </row>
    <row r="68" spans="1:25" ht="16.5" customHeight="1">
      <c r="A68" s="2"/>
      <c r="B68" s="566"/>
      <c r="C68" s="135"/>
      <c r="D68" s="135"/>
      <c r="E68" s="156" t="s">
        <v>41</v>
      </c>
      <c r="F68" s="55"/>
      <c r="G68" s="155"/>
      <c r="H68" s="44"/>
      <c r="I68" s="44"/>
      <c r="J68" s="44"/>
      <c r="K68" s="44"/>
      <c r="L68" s="44"/>
      <c r="M68" s="44"/>
      <c r="N68" s="4"/>
      <c r="O68" s="328"/>
      <c r="P68" s="386" t="s">
        <v>75</v>
      </c>
      <c r="Q68" s="41"/>
      <c r="R68" s="41"/>
      <c r="S68" s="41"/>
      <c r="T68" s="41"/>
      <c r="U68" s="386" t="str">
        <f>$Q$89</f>
        <v>対象外</v>
      </c>
      <c r="V68" s="41"/>
      <c r="W68" s="41"/>
      <c r="X68" s="41"/>
    </row>
    <row r="69" spans="1:25" ht="16.5" customHeight="1" thickBot="1">
      <c r="A69" s="2"/>
      <c r="B69" s="566"/>
      <c r="C69" s="138"/>
      <c r="D69" s="135"/>
      <c r="E69" s="144" t="s">
        <v>394</v>
      </c>
      <c r="F69" s="578" t="s">
        <v>85</v>
      </c>
      <c r="G69" s="550" t="s">
        <v>91</v>
      </c>
      <c r="H69" s="550"/>
      <c r="I69" s="550"/>
      <c r="J69" s="550"/>
      <c r="K69" s="550"/>
      <c r="L69" s="551"/>
      <c r="M69" s="581" t="s">
        <v>87</v>
      </c>
      <c r="N69" s="4"/>
      <c r="O69" s="328"/>
      <c r="P69" s="5"/>
    </row>
    <row r="70" spans="1:25" ht="24" customHeight="1">
      <c r="A70" s="2"/>
      <c r="B70" s="566"/>
      <c r="C70" s="135"/>
      <c r="D70" s="135"/>
      <c r="E70" s="1388"/>
      <c r="F70" s="578">
        <v>1</v>
      </c>
      <c r="G70" s="2455" t="s">
        <v>88</v>
      </c>
      <c r="H70" s="2456"/>
      <c r="I70" s="2456"/>
      <c r="J70" s="2456"/>
      <c r="K70" s="2456"/>
      <c r="L70" s="2457"/>
      <c r="M70" s="1393">
        <v>2</v>
      </c>
      <c r="N70" s="4"/>
      <c r="O70" s="328"/>
      <c r="P70" s="582"/>
      <c r="Q70" s="1392">
        <f t="shared" ref="Q70:Q75" si="3">IF(E70="○",M70,0)</f>
        <v>0</v>
      </c>
    </row>
    <row r="71" spans="1:25" ht="34.5" customHeight="1">
      <c r="A71" s="2"/>
      <c r="B71" s="566"/>
      <c r="C71" s="135"/>
      <c r="D71" s="135"/>
      <c r="E71" s="1389"/>
      <c r="F71" s="579">
        <v>2</v>
      </c>
      <c r="G71" s="2464" t="s">
        <v>90</v>
      </c>
      <c r="H71" s="2465"/>
      <c r="I71" s="2465"/>
      <c r="J71" s="2465"/>
      <c r="K71" s="2465"/>
      <c r="L71" s="2466"/>
      <c r="M71" s="1394">
        <v>1</v>
      </c>
      <c r="N71" s="4"/>
      <c r="O71" s="328"/>
      <c r="P71" s="582"/>
      <c r="Q71" s="1392">
        <f t="shared" si="3"/>
        <v>0</v>
      </c>
    </row>
    <row r="72" spans="1:25" ht="24" customHeight="1">
      <c r="A72" s="2"/>
      <c r="B72" s="566"/>
      <c r="C72" s="135"/>
      <c r="D72" s="135"/>
      <c r="E72" s="1389"/>
      <c r="F72" s="2426">
        <v>3</v>
      </c>
      <c r="G72" s="2458" t="s">
        <v>184</v>
      </c>
      <c r="H72" s="2459"/>
      <c r="I72" s="2459"/>
      <c r="J72" s="2459"/>
      <c r="K72" s="2459"/>
      <c r="L72" s="2460"/>
      <c r="M72" s="1395">
        <v>2</v>
      </c>
      <c r="N72" s="4"/>
      <c r="O72" s="328"/>
      <c r="P72" s="582"/>
      <c r="Q72" s="1392">
        <f t="shared" si="3"/>
        <v>0</v>
      </c>
    </row>
    <row r="73" spans="1:25" ht="24" customHeight="1">
      <c r="A73" s="2"/>
      <c r="B73" s="566"/>
      <c r="C73" s="135"/>
      <c r="D73" s="135"/>
      <c r="E73" s="1389" t="s">
        <v>763</v>
      </c>
      <c r="F73" s="2428"/>
      <c r="G73" s="2458" t="s">
        <v>185</v>
      </c>
      <c r="H73" s="2459"/>
      <c r="I73" s="2459"/>
      <c r="J73" s="2459"/>
      <c r="K73" s="2459"/>
      <c r="L73" s="2460"/>
      <c r="M73" s="1396">
        <v>1</v>
      </c>
      <c r="N73" s="4"/>
      <c r="O73" s="328"/>
      <c r="P73" s="582"/>
      <c r="Q73" s="1392">
        <f t="shared" si="3"/>
        <v>1</v>
      </c>
    </row>
    <row r="74" spans="1:25" ht="24" customHeight="1">
      <c r="A74" s="2"/>
      <c r="B74" s="566"/>
      <c r="C74" s="135"/>
      <c r="D74" s="135"/>
      <c r="E74" s="1389"/>
      <c r="F74" s="2426">
        <v>4</v>
      </c>
      <c r="G74" s="2461" t="s">
        <v>186</v>
      </c>
      <c r="H74" s="2462"/>
      <c r="I74" s="2462"/>
      <c r="J74" s="2462"/>
      <c r="K74" s="2462"/>
      <c r="L74" s="2463"/>
      <c r="M74" s="1397">
        <v>2</v>
      </c>
      <c r="N74" s="4"/>
      <c r="O74" s="328"/>
      <c r="P74" s="582"/>
      <c r="Q74" s="1392">
        <f t="shared" si="3"/>
        <v>0</v>
      </c>
    </row>
    <row r="75" spans="1:25" ht="24" customHeight="1" thickBot="1">
      <c r="A75" s="2"/>
      <c r="B75" s="566"/>
      <c r="C75" s="135"/>
      <c r="D75" s="135"/>
      <c r="E75" s="1390"/>
      <c r="F75" s="2467"/>
      <c r="G75" s="2452" t="s">
        <v>187</v>
      </c>
      <c r="H75" s="2453"/>
      <c r="I75" s="2453"/>
      <c r="J75" s="2453"/>
      <c r="K75" s="2453"/>
      <c r="L75" s="2454"/>
      <c r="M75" s="1398">
        <v>1</v>
      </c>
      <c r="N75" s="4"/>
      <c r="O75" s="328"/>
      <c r="P75" s="582"/>
      <c r="Q75" s="1392">
        <f t="shared" si="3"/>
        <v>0</v>
      </c>
    </row>
    <row r="76" spans="1:25" ht="16.5" customHeight="1">
      <c r="A76" s="2"/>
      <c r="B76" s="566"/>
      <c r="C76" s="135"/>
      <c r="D76" s="135"/>
      <c r="E76" s="378" t="s">
        <v>535</v>
      </c>
      <c r="F76" s="1391">
        <f>SUM(Q70:Q75)</f>
        <v>1</v>
      </c>
      <c r="G76" s="559"/>
      <c r="H76" s="559"/>
      <c r="I76" s="374"/>
      <c r="J76" s="560"/>
      <c r="K76" s="561"/>
      <c r="L76" s="561"/>
      <c r="M76" s="562"/>
      <c r="N76" s="4"/>
      <c r="O76" s="328"/>
      <c r="P76" s="5"/>
    </row>
    <row r="77" spans="1:25" s="148" customFormat="1" ht="8.25" customHeight="1">
      <c r="A77" s="55"/>
      <c r="B77" s="168"/>
      <c r="C77" s="611"/>
      <c r="D77" s="313"/>
      <c r="E77" s="313"/>
      <c r="F77" s="2"/>
      <c r="G77" s="2"/>
      <c r="H77" s="2"/>
      <c r="I77" s="2"/>
      <c r="J77" s="2"/>
      <c r="K77" s="2"/>
      <c r="L77" s="2"/>
      <c r="M77" s="2"/>
      <c r="N77" s="154"/>
      <c r="P77" s="588" t="s">
        <v>75</v>
      </c>
      <c r="Q77" s="328" t="s">
        <v>99</v>
      </c>
      <c r="R77" s="5"/>
      <c r="S77" s="5"/>
      <c r="T77" s="136"/>
    </row>
    <row r="78" spans="1:25" s="148" customFormat="1" ht="21" customHeight="1">
      <c r="A78" s="55"/>
      <c r="B78" s="168"/>
      <c r="C78" s="611"/>
      <c r="E78" s="786" t="s">
        <v>3</v>
      </c>
      <c r="F78" s="787"/>
      <c r="G78" s="1242"/>
      <c r="H78" s="1242"/>
      <c r="I78" s="1241"/>
      <c r="J78" s="1243"/>
      <c r="K78" s="1243"/>
      <c r="L78" s="1243"/>
      <c r="M78" s="1244"/>
      <c r="N78" s="154"/>
      <c r="P78" s="619"/>
      <c r="Q78" s="328"/>
      <c r="R78" s="5"/>
      <c r="S78" s="5"/>
      <c r="T78" s="136"/>
      <c r="U78" s="619"/>
      <c r="V78" s="136"/>
      <c r="W78" s="136"/>
      <c r="X78" s="136"/>
      <c r="Y78" s="136"/>
    </row>
    <row r="79" spans="1:25">
      <c r="O79" s="328"/>
      <c r="P79" s="5"/>
    </row>
    <row r="80" spans="1:25" s="329" customFormat="1">
      <c r="A80" s="25"/>
      <c r="B80" s="622">
        <v>3</v>
      </c>
      <c r="C80" s="329" t="s">
        <v>778</v>
      </c>
      <c r="N80" s="328"/>
      <c r="O80" s="328"/>
      <c r="P80" s="328"/>
      <c r="Q80" s="41"/>
      <c r="R80" s="817"/>
      <c r="S80" s="305"/>
      <c r="T80" s="305"/>
      <c r="U80" s="305"/>
      <c r="V80" s="480"/>
      <c r="W80" s="305"/>
      <c r="X80" s="305"/>
    </row>
    <row r="81" spans="1:25">
      <c r="A81" s="2"/>
      <c r="B81" s="1090">
        <v>3.1</v>
      </c>
      <c r="C81" s="151" t="s">
        <v>887</v>
      </c>
      <c r="D81" s="157"/>
      <c r="E81" s="5"/>
      <c r="F81" s="5"/>
      <c r="G81" s="5"/>
      <c r="H81" s="5"/>
      <c r="I81" s="5"/>
      <c r="J81" s="5"/>
      <c r="K81" s="5"/>
      <c r="L81" s="5"/>
      <c r="M81" s="5"/>
      <c r="N81" s="328"/>
      <c r="O81" s="328"/>
      <c r="P81" s="328"/>
      <c r="Q81" s="41"/>
      <c r="S81" s="305"/>
      <c r="T81" s="136"/>
      <c r="U81" s="136"/>
      <c r="V81" s="136"/>
      <c r="W81" s="136"/>
      <c r="X81" s="136"/>
      <c r="Y81" s="136"/>
    </row>
    <row r="82" spans="1:25" ht="16.5" customHeight="1" thickBot="1">
      <c r="A82" s="2"/>
      <c r="B82" s="569"/>
      <c r="C82" s="5"/>
      <c r="D82" s="159"/>
      <c r="E82" s="159"/>
      <c r="F82" s="55"/>
      <c r="G82" s="529"/>
      <c r="H82" s="55"/>
      <c r="I82" s="55"/>
      <c r="J82" s="55"/>
      <c r="K82" s="154"/>
      <c r="L82" s="180" t="s">
        <v>2</v>
      </c>
      <c r="M82" s="377">
        <f>重み!M86</f>
        <v>0.5</v>
      </c>
      <c r="N82" s="328"/>
      <c r="O82" s="328">
        <f t="shared" ref="O82:V82" si="4">C82</f>
        <v>0</v>
      </c>
      <c r="P82" s="328">
        <f t="shared" si="4"/>
        <v>0</v>
      </c>
      <c r="Q82" s="328">
        <f t="shared" si="4"/>
        <v>0</v>
      </c>
      <c r="R82" s="328">
        <f t="shared" si="4"/>
        <v>0</v>
      </c>
      <c r="S82" s="328">
        <f t="shared" si="4"/>
        <v>0</v>
      </c>
      <c r="T82" s="328">
        <f t="shared" si="4"/>
        <v>0</v>
      </c>
      <c r="U82" s="328">
        <f t="shared" si="4"/>
        <v>0</v>
      </c>
      <c r="V82" s="328">
        <f t="shared" si="4"/>
        <v>0</v>
      </c>
      <c r="W82" s="328" t="str">
        <f>L82</f>
        <v>重み係数＝</v>
      </c>
      <c r="X82" s="328">
        <f>M82</f>
        <v>0.5</v>
      </c>
      <c r="Y82" s="136"/>
    </row>
    <row r="83" spans="1:25" ht="16.5" customHeight="1" thickBot="1">
      <c r="A83" s="2"/>
      <c r="B83" s="566"/>
      <c r="C83" s="135"/>
      <c r="D83" s="1078">
        <f>IF(E91="",1,IF(COUNTIF(E92:E93,U4)&gt;1,5,IF(COUNTIF(E92:E93,U4)&gt;0,4,3)))</f>
        <v>3</v>
      </c>
      <c r="E83" s="2349" t="s">
        <v>467</v>
      </c>
      <c r="F83" s="2350"/>
      <c r="G83" s="2350"/>
      <c r="H83" s="2350"/>
      <c r="I83" s="2350"/>
      <c r="J83" s="2350"/>
      <c r="K83" s="2350"/>
      <c r="L83" s="2350"/>
      <c r="M83" s="2351"/>
      <c r="N83" s="328"/>
      <c r="O83" s="328"/>
      <c r="P83" s="328"/>
      <c r="Q83" s="328"/>
      <c r="R83" s="328"/>
      <c r="S83" s="328"/>
      <c r="T83" s="136"/>
      <c r="U83" s="136"/>
      <c r="V83" s="136"/>
      <c r="W83" s="136"/>
      <c r="X83" s="136"/>
      <c r="Y83" s="136"/>
    </row>
    <row r="84" spans="1:25" ht="16.5" customHeight="1">
      <c r="A84" s="2"/>
      <c r="B84" s="566"/>
      <c r="C84" s="168"/>
      <c r="D84" s="36" t="str">
        <f>IF(D83=$Q$89,$R$84,IF(ROUNDDOWN(D83,0)=$Q$84,$S$84,$R$84))</f>
        <v>　レベル　1</v>
      </c>
      <c r="E84" s="526" t="s">
        <v>365</v>
      </c>
      <c r="F84" s="524"/>
      <c r="G84" s="524"/>
      <c r="H84" s="524"/>
      <c r="I84" s="524"/>
      <c r="J84" s="524"/>
      <c r="K84" s="524"/>
      <c r="L84" s="524"/>
      <c r="M84" s="525"/>
      <c r="N84" s="328"/>
      <c r="O84" s="328"/>
      <c r="P84" s="386">
        <f>$Q$84</f>
        <v>1</v>
      </c>
      <c r="Q84" s="320">
        <v>1</v>
      </c>
      <c r="R84" s="323" t="s">
        <v>538</v>
      </c>
      <c r="S84" s="321" t="s">
        <v>94</v>
      </c>
      <c r="T84" s="136"/>
      <c r="U84" s="386">
        <f>$Q$84</f>
        <v>1</v>
      </c>
      <c r="V84" s="136"/>
      <c r="W84" s="136"/>
      <c r="X84" s="136"/>
      <c r="Y84" s="136"/>
    </row>
    <row r="85" spans="1:25" ht="16.5" customHeight="1">
      <c r="A85" s="2"/>
      <c r="B85" s="566"/>
      <c r="C85" s="168"/>
      <c r="D85" s="39" t="str">
        <f>IF(D83=$Q$89,$R$85,IF(ROUNDDOWN(D83,0)=$Q$85,$S$85,$R$85))</f>
        <v>　レベル　2</v>
      </c>
      <c r="E85" s="527" t="s">
        <v>459</v>
      </c>
      <c r="F85" s="517"/>
      <c r="G85" s="517"/>
      <c r="H85" s="517"/>
      <c r="I85" s="517"/>
      <c r="J85" s="517"/>
      <c r="K85" s="517"/>
      <c r="L85" s="517"/>
      <c r="M85" s="518"/>
      <c r="N85" s="328"/>
      <c r="O85" s="328"/>
      <c r="P85" s="386" t="s">
        <v>62</v>
      </c>
      <c r="Q85" s="320">
        <v>2</v>
      </c>
      <c r="R85" s="323" t="s">
        <v>539</v>
      </c>
      <c r="S85" s="321" t="s">
        <v>95</v>
      </c>
      <c r="T85" s="136"/>
      <c r="U85" s="386">
        <f>$Q$85</f>
        <v>2</v>
      </c>
      <c r="V85" s="136"/>
      <c r="W85" s="136"/>
      <c r="X85" s="136"/>
      <c r="Y85" s="136"/>
    </row>
    <row r="86" spans="1:25" ht="16.5" customHeight="1">
      <c r="A86" s="2"/>
      <c r="B86" s="566"/>
      <c r="C86" s="168"/>
      <c r="D86" s="39" t="str">
        <f>IF(D83=$Q$89,$R$86,IF(ROUNDDOWN(D83,0)=$Q$86,$S$86,$R$86))</f>
        <v>■レベル　3</v>
      </c>
      <c r="E86" s="1857" t="s">
        <v>1095</v>
      </c>
      <c r="F86" s="517"/>
      <c r="G86" s="517"/>
      <c r="H86" s="517"/>
      <c r="I86" s="517"/>
      <c r="J86" s="517"/>
      <c r="K86" s="517"/>
      <c r="L86" s="517"/>
      <c r="M86" s="518"/>
      <c r="N86" s="328"/>
      <c r="O86" s="328"/>
      <c r="P86" s="386">
        <f>$Q$86</f>
        <v>3</v>
      </c>
      <c r="Q86" s="320">
        <v>3</v>
      </c>
      <c r="R86" s="323" t="s">
        <v>540</v>
      </c>
      <c r="S86" s="321" t="s">
        <v>96</v>
      </c>
      <c r="T86" s="136"/>
      <c r="U86" s="386">
        <f>$Q$86</f>
        <v>3</v>
      </c>
      <c r="V86" s="136"/>
      <c r="W86" s="136"/>
      <c r="X86" s="136"/>
      <c r="Y86" s="136"/>
    </row>
    <row r="87" spans="1:25" ht="16.5" customHeight="1">
      <c r="A87" s="2"/>
      <c r="B87" s="566"/>
      <c r="C87" s="168"/>
      <c r="D87" s="39" t="str">
        <f>IF(D83=$Q$89,$R$87,IF(ROUNDDOWN(D83,0)=$Q$87,$S$87,$R$87))</f>
        <v>　レベル　4</v>
      </c>
      <c r="E87" s="539" t="s">
        <v>1096</v>
      </c>
      <c r="F87" s="538"/>
      <c r="G87" s="538"/>
      <c r="H87" s="538"/>
      <c r="I87" s="538"/>
      <c r="J87" s="538"/>
      <c r="K87" s="538"/>
      <c r="L87" s="538"/>
      <c r="M87" s="542"/>
      <c r="N87" s="328"/>
      <c r="O87" s="328"/>
      <c r="P87" s="386">
        <f>$Q$87</f>
        <v>4</v>
      </c>
      <c r="Q87" s="320">
        <v>4</v>
      </c>
      <c r="R87" s="323" t="s">
        <v>541</v>
      </c>
      <c r="S87" s="321" t="s">
        <v>97</v>
      </c>
      <c r="T87" s="136"/>
      <c r="U87" s="386">
        <f>$Q$87</f>
        <v>4</v>
      </c>
      <c r="V87" s="136"/>
      <c r="W87" s="136"/>
      <c r="X87" s="136"/>
      <c r="Y87" s="136"/>
    </row>
    <row r="88" spans="1:25" ht="16.5" customHeight="1">
      <c r="A88" s="2"/>
      <c r="B88" s="566"/>
      <c r="C88" s="168"/>
      <c r="D88" s="37" t="str">
        <f>IF(D83=$Q$89,$R$88,IF(ROUNDDOWN(D83,0)=$Q$88,$S$88,$R$88))</f>
        <v>　レベル　5</v>
      </c>
      <c r="E88" s="565" t="s">
        <v>1097</v>
      </c>
      <c r="F88" s="547"/>
      <c r="G88" s="547"/>
      <c r="H88" s="547"/>
      <c r="I88" s="547"/>
      <c r="J88" s="547"/>
      <c r="K88" s="547"/>
      <c r="L88" s="547"/>
      <c r="M88" s="794"/>
      <c r="N88" s="328"/>
      <c r="O88" s="328"/>
      <c r="P88" s="386">
        <f>$Q$88</f>
        <v>5</v>
      </c>
      <c r="Q88" s="320">
        <v>5</v>
      </c>
      <c r="R88" s="323" t="s">
        <v>542</v>
      </c>
      <c r="S88" s="321" t="s">
        <v>98</v>
      </c>
      <c r="T88" s="136"/>
      <c r="U88" s="386">
        <f>$Q$88</f>
        <v>5</v>
      </c>
      <c r="V88" s="136"/>
      <c r="W88" s="136"/>
      <c r="X88" s="136"/>
      <c r="Y88" s="136"/>
    </row>
    <row r="89" spans="1:25" ht="16.5" customHeight="1">
      <c r="A89" s="2"/>
      <c r="B89" s="566"/>
      <c r="C89" s="135"/>
      <c r="D89" s="49"/>
      <c r="E89" s="156" t="s">
        <v>41</v>
      </c>
      <c r="F89" s="55"/>
      <c r="G89" s="155"/>
      <c r="H89" s="44"/>
      <c r="I89" s="44"/>
      <c r="J89" s="55"/>
      <c r="K89" s="55"/>
      <c r="L89" s="55"/>
      <c r="M89" s="55"/>
      <c r="N89" s="328"/>
      <c r="O89" s="328"/>
      <c r="P89" s="386" t="s">
        <v>75</v>
      </c>
      <c r="Q89" s="328" t="s">
        <v>99</v>
      </c>
      <c r="T89" s="136"/>
      <c r="U89" s="386" t="str">
        <f>$Q$89</f>
        <v>対象外</v>
      </c>
      <c r="V89" s="136"/>
      <c r="W89" s="136"/>
      <c r="X89" s="136"/>
      <c r="Y89" s="136"/>
    </row>
    <row r="90" spans="1:25" ht="16.5" customHeight="1" thickBot="1">
      <c r="A90" s="2"/>
      <c r="B90" s="566"/>
      <c r="C90" s="135"/>
      <c r="D90" s="5"/>
      <c r="E90" s="549" t="s">
        <v>394</v>
      </c>
      <c r="F90" s="515" t="s">
        <v>85</v>
      </c>
      <c r="G90" s="2375" t="s">
        <v>762</v>
      </c>
      <c r="H90" s="2376"/>
      <c r="I90" s="2376"/>
      <c r="J90" s="2376"/>
      <c r="K90" s="2376"/>
      <c r="L90" s="2376"/>
      <c r="M90" s="2377"/>
      <c r="N90" s="328"/>
      <c r="O90" s="328"/>
      <c r="P90" s="328"/>
      <c r="R90" s="328"/>
      <c r="S90" s="328"/>
      <c r="T90" s="328"/>
      <c r="U90" s="328"/>
      <c r="V90" s="328"/>
      <c r="W90" s="136"/>
      <c r="X90" s="136"/>
      <c r="Y90" s="136"/>
    </row>
    <row r="91" spans="1:25" ht="57" customHeight="1">
      <c r="A91" s="2"/>
      <c r="B91" s="566"/>
      <c r="C91" s="135"/>
      <c r="D91" s="5"/>
      <c r="E91" s="828" t="s">
        <v>763</v>
      </c>
      <c r="F91" s="515" t="s">
        <v>235</v>
      </c>
      <c r="G91" s="2391" t="s">
        <v>1098</v>
      </c>
      <c r="H91" s="2392"/>
      <c r="I91" s="2392"/>
      <c r="J91" s="2392"/>
      <c r="K91" s="2392"/>
      <c r="L91" s="2392"/>
      <c r="M91" s="2393"/>
      <c r="N91" s="328"/>
      <c r="O91" s="328"/>
      <c r="P91" s="328"/>
      <c r="R91" s="328"/>
      <c r="S91" s="328"/>
      <c r="T91" s="328"/>
      <c r="U91" s="328"/>
      <c r="V91" s="328"/>
      <c r="W91" s="136"/>
      <c r="X91" s="136"/>
      <c r="Y91" s="136"/>
    </row>
    <row r="92" spans="1:25" ht="63" customHeight="1">
      <c r="A92" s="2"/>
      <c r="B92" s="566"/>
      <c r="C92" s="168"/>
      <c r="D92" s="5"/>
      <c r="E92" s="774"/>
      <c r="F92" s="515">
        <v>1</v>
      </c>
      <c r="G92" s="2355" t="s">
        <v>34</v>
      </c>
      <c r="H92" s="2357"/>
      <c r="I92" s="2355" t="s">
        <v>188</v>
      </c>
      <c r="J92" s="2356"/>
      <c r="K92" s="2356"/>
      <c r="L92" s="2356"/>
      <c r="M92" s="2357"/>
      <c r="N92" s="328"/>
      <c r="O92" s="328"/>
      <c r="P92" s="328"/>
      <c r="R92" s="328"/>
      <c r="S92" s="328"/>
      <c r="T92" s="328"/>
      <c r="U92" s="328"/>
      <c r="V92" s="328"/>
      <c r="W92" s="136"/>
      <c r="X92" s="136"/>
      <c r="Y92" s="136"/>
    </row>
    <row r="93" spans="1:25" ht="63" customHeight="1" thickBot="1">
      <c r="A93" s="2"/>
      <c r="B93" s="566"/>
      <c r="C93" s="168"/>
      <c r="D93" s="5"/>
      <c r="E93" s="380"/>
      <c r="F93" s="564">
        <v>2</v>
      </c>
      <c r="G93" s="2358" t="s">
        <v>35</v>
      </c>
      <c r="H93" s="2360"/>
      <c r="I93" s="2358" t="s">
        <v>749</v>
      </c>
      <c r="J93" s="2359"/>
      <c r="K93" s="2359"/>
      <c r="L93" s="2359"/>
      <c r="M93" s="2360"/>
      <c r="N93" s="328"/>
      <c r="O93" s="328"/>
      <c r="P93" s="328"/>
      <c r="Q93" s="328"/>
      <c r="R93" s="328"/>
      <c r="S93" s="328"/>
      <c r="T93" s="328"/>
      <c r="U93" s="328"/>
      <c r="V93" s="328"/>
      <c r="W93" s="136"/>
      <c r="X93" s="136"/>
      <c r="Y93" s="136"/>
    </row>
    <row r="94" spans="1:25" s="148" customFormat="1" ht="8.25" customHeight="1">
      <c r="A94" s="55"/>
      <c r="B94" s="168"/>
      <c r="C94" s="611"/>
      <c r="D94" s="313"/>
      <c r="E94" s="313"/>
      <c r="F94" s="2"/>
      <c r="G94" s="2"/>
      <c r="H94" s="2"/>
      <c r="I94" s="2"/>
      <c r="J94" s="2"/>
      <c r="K94" s="2"/>
      <c r="L94" s="2"/>
      <c r="M94" s="2"/>
      <c r="N94" s="154"/>
      <c r="P94" s="588" t="s">
        <v>75</v>
      </c>
      <c r="Q94" s="328" t="s">
        <v>99</v>
      </c>
      <c r="R94" s="5"/>
      <c r="S94" s="5"/>
      <c r="T94" s="136"/>
    </row>
    <row r="95" spans="1:25" s="148" customFormat="1" ht="21" customHeight="1">
      <c r="A95" s="55"/>
      <c r="B95" s="168"/>
      <c r="C95" s="611"/>
      <c r="E95" s="786" t="s">
        <v>3</v>
      </c>
      <c r="F95" s="787"/>
      <c r="G95" s="1242"/>
      <c r="H95" s="1242"/>
      <c r="I95" s="1241"/>
      <c r="J95" s="1243"/>
      <c r="K95" s="1243"/>
      <c r="L95" s="1243"/>
      <c r="M95" s="1244"/>
      <c r="N95" s="154"/>
      <c r="P95" s="619"/>
      <c r="Q95" s="328"/>
      <c r="R95" s="5"/>
      <c r="S95" s="5"/>
      <c r="T95" s="136"/>
      <c r="U95" s="619"/>
      <c r="V95" s="136"/>
      <c r="W95" s="136"/>
      <c r="X95" s="136"/>
      <c r="Y95" s="136"/>
    </row>
    <row r="96" spans="1:25">
      <c r="A96" s="2"/>
      <c r="B96" s="566"/>
      <c r="C96" s="135"/>
      <c r="D96" s="135"/>
      <c r="E96" s="135"/>
      <c r="F96" s="135"/>
      <c r="G96" s="135"/>
      <c r="H96" s="135"/>
      <c r="I96" s="499"/>
      <c r="J96" s="135"/>
      <c r="K96" s="135"/>
      <c r="L96" s="135"/>
      <c r="M96" s="135"/>
      <c r="N96" s="328"/>
      <c r="O96" s="328"/>
      <c r="P96" s="328"/>
      <c r="Q96" s="492"/>
      <c r="R96" s="493"/>
      <c r="S96" s="478"/>
      <c r="T96" s="136"/>
      <c r="U96" s="494"/>
      <c r="V96" s="136"/>
      <c r="W96" s="136"/>
      <c r="X96" s="136"/>
      <c r="Y96" s="136"/>
    </row>
    <row r="97" spans="1:251">
      <c r="A97" s="2"/>
      <c r="B97" s="1090">
        <v>3.2</v>
      </c>
      <c r="C97" s="151" t="s">
        <v>83</v>
      </c>
      <c r="D97" s="151"/>
      <c r="E97" s="135"/>
      <c r="F97" s="135"/>
      <c r="G97" s="135"/>
      <c r="H97" s="135"/>
      <c r="I97" s="499"/>
      <c r="J97" s="135"/>
      <c r="K97" s="135"/>
      <c r="L97" s="135"/>
      <c r="M97" s="135"/>
      <c r="N97" s="328"/>
      <c r="O97" s="328"/>
      <c r="P97" s="328"/>
      <c r="Q97" s="492"/>
      <c r="R97" s="493"/>
      <c r="S97" s="478"/>
      <c r="T97" s="136"/>
      <c r="U97" s="494"/>
      <c r="V97" s="136"/>
      <c r="W97" s="136"/>
      <c r="X97" s="136"/>
      <c r="Y97" s="136"/>
    </row>
    <row r="98" spans="1:251" ht="16.5" customHeight="1" thickBot="1">
      <c r="A98" s="2"/>
      <c r="B98" s="569"/>
      <c r="C98" s="5"/>
      <c r="D98" s="5"/>
      <c r="E98" s="135"/>
      <c r="F98" s="135"/>
      <c r="G98" s="135"/>
      <c r="H98" s="135"/>
      <c r="I98" s="135"/>
      <c r="J98" s="135"/>
      <c r="K98" s="154"/>
      <c r="L98" s="180" t="s">
        <v>2</v>
      </c>
      <c r="M98" s="377">
        <f>重み!M87</f>
        <v>0.5</v>
      </c>
      <c r="N98" s="328"/>
      <c r="O98" s="328">
        <f>C98</f>
        <v>0</v>
      </c>
      <c r="P98" s="328">
        <f t="shared" ref="P98:V98" si="5">D98</f>
        <v>0</v>
      </c>
      <c r="Q98" s="328">
        <f t="shared" si="5"/>
        <v>0</v>
      </c>
      <c r="R98" s="328">
        <f t="shared" si="5"/>
        <v>0</v>
      </c>
      <c r="S98" s="328">
        <f t="shared" si="5"/>
        <v>0</v>
      </c>
      <c r="T98" s="328">
        <f t="shared" si="5"/>
        <v>0</v>
      </c>
      <c r="U98" s="328">
        <f t="shared" si="5"/>
        <v>0</v>
      </c>
      <c r="V98" s="328">
        <f t="shared" si="5"/>
        <v>0</v>
      </c>
      <c r="W98" s="328" t="str">
        <f>L98</f>
        <v>重み係数＝</v>
      </c>
      <c r="X98" s="328">
        <f>M98</f>
        <v>0.5</v>
      </c>
      <c r="Y98" s="328">
        <f>N98</f>
        <v>0</v>
      </c>
    </row>
    <row r="99" spans="1:251" ht="16.5" customHeight="1" thickBot="1">
      <c r="A99" s="30"/>
      <c r="B99" s="566"/>
      <c r="C99" s="168"/>
      <c r="D99" s="1078">
        <f>ROUND(IF(F113=0,3,IF(F113&lt;=1,4,5)),0)</f>
        <v>3</v>
      </c>
      <c r="E99" s="2349" t="s">
        <v>467</v>
      </c>
      <c r="F99" s="2350"/>
      <c r="G99" s="2350"/>
      <c r="H99" s="2350"/>
      <c r="I99" s="2350"/>
      <c r="J99" s="2350"/>
      <c r="K99" s="2350"/>
      <c r="L99" s="2350"/>
      <c r="M99" s="2351"/>
      <c r="N99" s="328"/>
      <c r="O99" s="328"/>
      <c r="P99" s="328"/>
      <c r="V99" s="136"/>
      <c r="W99" s="136"/>
      <c r="X99" s="136"/>
      <c r="Y99" s="136"/>
      <c r="Z99" s="330"/>
      <c r="AA99" s="330"/>
      <c r="AB99" s="330"/>
      <c r="AC99" s="330"/>
      <c r="AD99" s="330"/>
      <c r="AE99" s="330"/>
      <c r="AF99" s="330"/>
      <c r="AG99" s="330"/>
      <c r="AH99" s="330"/>
      <c r="AI99" s="330"/>
      <c r="AJ99" s="330"/>
      <c r="AK99" s="330"/>
      <c r="AL99" s="330"/>
      <c r="AM99" s="330"/>
      <c r="AN99" s="330"/>
      <c r="AO99" s="330"/>
      <c r="AP99" s="330"/>
      <c r="AQ99" s="330"/>
      <c r="AR99" s="330"/>
      <c r="AS99" s="330"/>
      <c r="AT99" s="330"/>
      <c r="AU99" s="330"/>
      <c r="AV99" s="330"/>
      <c r="AW99" s="330"/>
      <c r="AX99" s="330"/>
      <c r="AY99" s="330"/>
      <c r="AZ99" s="330"/>
      <c r="BA99" s="330"/>
      <c r="BB99" s="330"/>
      <c r="BC99" s="330"/>
      <c r="BD99" s="330"/>
      <c r="BE99" s="330"/>
      <c r="BF99" s="330"/>
      <c r="BG99" s="330"/>
      <c r="BH99" s="330"/>
      <c r="BI99" s="330"/>
      <c r="BJ99" s="330"/>
      <c r="BK99" s="330"/>
      <c r="BL99" s="330"/>
      <c r="BM99" s="330"/>
      <c r="BN99" s="330"/>
      <c r="BO99" s="330"/>
      <c r="BP99" s="330"/>
      <c r="BQ99" s="330"/>
      <c r="BR99" s="330"/>
      <c r="BS99" s="330"/>
      <c r="BT99" s="330"/>
      <c r="BU99" s="330"/>
      <c r="BV99" s="330"/>
      <c r="BW99" s="330"/>
      <c r="BX99" s="330"/>
      <c r="BY99" s="330"/>
      <c r="BZ99" s="330"/>
      <c r="CA99" s="330"/>
      <c r="CB99" s="330"/>
      <c r="CC99" s="330"/>
      <c r="CD99" s="330"/>
      <c r="CE99" s="330"/>
      <c r="CF99" s="330"/>
      <c r="CG99" s="330"/>
      <c r="CH99" s="330"/>
      <c r="CI99" s="330"/>
      <c r="CJ99" s="330"/>
      <c r="CK99" s="330"/>
      <c r="CL99" s="330"/>
      <c r="CM99" s="330"/>
      <c r="CN99" s="330"/>
      <c r="CO99" s="330"/>
      <c r="CP99" s="330"/>
      <c r="CQ99" s="330"/>
      <c r="CR99" s="330"/>
      <c r="CS99" s="330"/>
      <c r="CT99" s="330"/>
      <c r="CU99" s="330"/>
      <c r="CV99" s="330"/>
      <c r="CW99" s="330"/>
      <c r="CX99" s="330"/>
      <c r="CY99" s="330"/>
      <c r="CZ99" s="330"/>
      <c r="DA99" s="330"/>
      <c r="DB99" s="330"/>
      <c r="DC99" s="330"/>
      <c r="DD99" s="330"/>
      <c r="DE99" s="330"/>
      <c r="DF99" s="330"/>
      <c r="DG99" s="330"/>
      <c r="DH99" s="330"/>
      <c r="DI99" s="330"/>
      <c r="DJ99" s="330"/>
      <c r="DK99" s="330"/>
      <c r="DL99" s="330"/>
      <c r="DM99" s="330"/>
      <c r="DN99" s="330"/>
      <c r="DO99" s="330"/>
      <c r="DP99" s="330"/>
      <c r="DQ99" s="330"/>
      <c r="DR99" s="330"/>
      <c r="DS99" s="330"/>
      <c r="DT99" s="330"/>
      <c r="DU99" s="330"/>
      <c r="DV99" s="330"/>
      <c r="DW99" s="330"/>
      <c r="DX99" s="330"/>
      <c r="DY99" s="330"/>
      <c r="DZ99" s="330"/>
      <c r="EA99" s="330"/>
      <c r="EB99" s="330"/>
      <c r="EC99" s="330"/>
      <c r="ED99" s="330"/>
      <c r="EE99" s="330"/>
      <c r="EF99" s="330"/>
      <c r="EG99" s="330"/>
      <c r="EH99" s="330"/>
      <c r="EI99" s="330"/>
      <c r="EJ99" s="330"/>
      <c r="EK99" s="330"/>
      <c r="EL99" s="330"/>
      <c r="EM99" s="330"/>
      <c r="EN99" s="330"/>
      <c r="EO99" s="330"/>
      <c r="EP99" s="330"/>
      <c r="EQ99" s="330"/>
      <c r="ER99" s="330"/>
      <c r="ES99" s="330"/>
      <c r="ET99" s="330"/>
      <c r="EU99" s="330"/>
      <c r="EV99" s="330"/>
      <c r="EW99" s="330"/>
      <c r="EX99" s="330"/>
      <c r="EY99" s="330"/>
      <c r="EZ99" s="330"/>
      <c r="FA99" s="330"/>
      <c r="FB99" s="330"/>
      <c r="FC99" s="330"/>
      <c r="FD99" s="330"/>
      <c r="FE99" s="330"/>
      <c r="FF99" s="330"/>
      <c r="FG99" s="330"/>
      <c r="FH99" s="330"/>
      <c r="FI99" s="330"/>
      <c r="FJ99" s="330"/>
      <c r="FK99" s="330"/>
      <c r="FL99" s="330"/>
      <c r="FM99" s="330"/>
      <c r="FN99" s="330"/>
      <c r="FO99" s="330"/>
      <c r="FP99" s="330"/>
      <c r="FQ99" s="330"/>
      <c r="FR99" s="330"/>
      <c r="FS99" s="330"/>
      <c r="FT99" s="330"/>
      <c r="FU99" s="330"/>
      <c r="FV99" s="330"/>
      <c r="FW99" s="330"/>
      <c r="FX99" s="330"/>
      <c r="FY99" s="330"/>
      <c r="FZ99" s="330"/>
      <c r="GA99" s="330"/>
      <c r="GB99" s="330"/>
      <c r="GC99" s="330"/>
      <c r="GD99" s="330"/>
      <c r="GE99" s="330"/>
      <c r="GF99" s="330"/>
      <c r="GG99" s="330"/>
      <c r="GH99" s="330"/>
      <c r="GI99" s="330"/>
      <c r="GJ99" s="330"/>
      <c r="GK99" s="330"/>
      <c r="GL99" s="330"/>
      <c r="GM99" s="330"/>
      <c r="GN99" s="330"/>
      <c r="GO99" s="330"/>
      <c r="GP99" s="330"/>
      <c r="GQ99" s="330"/>
      <c r="GR99" s="330"/>
      <c r="GS99" s="330"/>
      <c r="GT99" s="330"/>
      <c r="GU99" s="330"/>
      <c r="GV99" s="330"/>
      <c r="GW99" s="330"/>
      <c r="GX99" s="330"/>
      <c r="GY99" s="330"/>
      <c r="GZ99" s="330"/>
      <c r="HA99" s="330"/>
      <c r="HB99" s="330"/>
      <c r="HC99" s="330"/>
      <c r="HD99" s="330"/>
      <c r="HE99" s="330"/>
      <c r="HF99" s="330"/>
      <c r="HG99" s="330"/>
      <c r="HH99" s="330"/>
      <c r="HI99" s="330"/>
      <c r="HJ99" s="330"/>
      <c r="HK99" s="330"/>
      <c r="HL99" s="330"/>
      <c r="HM99" s="330"/>
      <c r="HN99" s="330"/>
      <c r="HO99" s="330"/>
      <c r="HP99" s="330"/>
      <c r="HQ99" s="330"/>
      <c r="HR99" s="330"/>
      <c r="HS99" s="330"/>
      <c r="HT99" s="330"/>
      <c r="HU99" s="330"/>
      <c r="HV99" s="330"/>
      <c r="HW99" s="330"/>
      <c r="HX99" s="330"/>
      <c r="HY99" s="330"/>
      <c r="HZ99" s="330"/>
      <c r="IA99" s="330"/>
      <c r="IB99" s="330"/>
      <c r="IC99" s="330"/>
      <c r="ID99" s="330"/>
      <c r="IE99" s="330"/>
      <c r="IF99" s="330"/>
      <c r="IG99" s="330"/>
      <c r="IH99" s="330"/>
      <c r="II99" s="330"/>
      <c r="IJ99" s="330"/>
      <c r="IK99" s="330"/>
      <c r="IL99" s="330"/>
      <c r="IM99" s="330"/>
      <c r="IN99" s="330"/>
      <c r="IO99" s="330"/>
      <c r="IP99" s="330"/>
      <c r="IQ99" s="330"/>
    </row>
    <row r="100" spans="1:251" s="41" customFormat="1" ht="16.5" customHeight="1">
      <c r="A100" s="30"/>
      <c r="B100" s="566"/>
      <c r="C100" s="168"/>
      <c r="D100" s="495" t="str">
        <f>IF(D99=$Q$89,$R$84,IF(ROUNDDOWN(D99,0)=$Q$84,$S$84,$R$84))</f>
        <v>　レベル　1</v>
      </c>
      <c r="E100" s="540" t="s">
        <v>459</v>
      </c>
      <c r="F100" s="524"/>
      <c r="G100" s="524"/>
      <c r="H100" s="524"/>
      <c r="I100" s="524"/>
      <c r="J100" s="524"/>
      <c r="K100" s="524"/>
      <c r="L100" s="524"/>
      <c r="M100" s="525"/>
      <c r="N100" s="328"/>
      <c r="O100" s="328"/>
      <c r="P100" s="386" t="s">
        <v>62</v>
      </c>
      <c r="U100" s="386">
        <f>$Q$84</f>
        <v>1</v>
      </c>
    </row>
    <row r="101" spans="1:251" s="41" customFormat="1" ht="16.5" customHeight="1">
      <c r="A101" s="30"/>
      <c r="B101" s="566"/>
      <c r="C101" s="168"/>
      <c r="D101" s="495" t="str">
        <f>IF(D99=$Q$89,$R$85,IF(ROUNDDOWN(D99,0)=$Q$85,$S$85,$R$85))</f>
        <v>　レベル　2</v>
      </c>
      <c r="E101" s="539" t="s">
        <v>459</v>
      </c>
      <c r="F101" s="517"/>
      <c r="G101" s="517"/>
      <c r="H101" s="517"/>
      <c r="I101" s="517"/>
      <c r="J101" s="517"/>
      <c r="K101" s="517"/>
      <c r="L101" s="517"/>
      <c r="M101" s="518"/>
      <c r="N101" s="328"/>
      <c r="O101" s="328"/>
      <c r="P101" s="386" t="s">
        <v>62</v>
      </c>
      <c r="U101" s="386">
        <f>$Q$85</f>
        <v>2</v>
      </c>
    </row>
    <row r="102" spans="1:251" s="41" customFormat="1" ht="16.5" customHeight="1">
      <c r="A102" s="30"/>
      <c r="B102" s="566"/>
      <c r="C102" s="168"/>
      <c r="D102" s="495" t="str">
        <f>IF(D99=$Q$89,$R$86,IF(ROUNDDOWN(D99,0)=$Q$86,$S$86,$R$86))</f>
        <v>■レベル　3</v>
      </c>
      <c r="E102" s="539" t="s">
        <v>84</v>
      </c>
      <c r="F102" s="517"/>
      <c r="G102" s="517"/>
      <c r="H102" s="517"/>
      <c r="I102" s="517"/>
      <c r="J102" s="517"/>
      <c r="K102" s="517"/>
      <c r="L102" s="517"/>
      <c r="M102" s="518"/>
      <c r="N102" s="328"/>
      <c r="O102" s="328"/>
      <c r="P102" s="386">
        <f>$Q$86</f>
        <v>3</v>
      </c>
      <c r="U102" s="386">
        <f>$Q$86</f>
        <v>3</v>
      </c>
    </row>
    <row r="103" spans="1:251" s="41" customFormat="1" ht="16.5" customHeight="1">
      <c r="A103" s="30"/>
      <c r="B103" s="566"/>
      <c r="C103" s="168"/>
      <c r="D103" s="495" t="str">
        <f>IF(D99=$Q$89,$R$87,IF(ROUNDDOWN(D99,0)=$Q$87,$S$87,$R$87))</f>
        <v>　レベル　4</v>
      </c>
      <c r="E103" s="539" t="s">
        <v>178</v>
      </c>
      <c r="F103" s="573"/>
      <c r="G103" s="573"/>
      <c r="H103" s="573"/>
      <c r="I103" s="573"/>
      <c r="J103" s="573"/>
      <c r="K103" s="573"/>
      <c r="L103" s="573"/>
      <c r="M103" s="574"/>
      <c r="N103" s="328"/>
      <c r="O103" s="328"/>
      <c r="P103" s="386">
        <f>$Q$87</f>
        <v>4</v>
      </c>
      <c r="U103" s="386">
        <f>$Q$87</f>
        <v>4</v>
      </c>
    </row>
    <row r="104" spans="1:251" s="41" customFormat="1" ht="16.5" customHeight="1">
      <c r="A104" s="30"/>
      <c r="B104" s="566"/>
      <c r="C104" s="168"/>
      <c r="D104" s="496" t="str">
        <f>IF(D99=$Q$89,$R$88,IF(ROUNDDOWN(D99,0)=$Q$88,$S$88,$R$88))</f>
        <v>　レベル　5</v>
      </c>
      <c r="E104" s="565" t="s">
        <v>179</v>
      </c>
      <c r="F104" s="792"/>
      <c r="G104" s="792"/>
      <c r="H104" s="792"/>
      <c r="I104" s="792"/>
      <c r="J104" s="792"/>
      <c r="K104" s="792"/>
      <c r="L104" s="792"/>
      <c r="M104" s="793"/>
      <c r="N104" s="328"/>
      <c r="O104" s="328"/>
      <c r="P104" s="386">
        <f>$Q$88</f>
        <v>5</v>
      </c>
      <c r="U104" s="386">
        <f>$Q$88</f>
        <v>5</v>
      </c>
    </row>
    <row r="105" spans="1:251" s="41" customFormat="1" ht="16.5" customHeight="1">
      <c r="A105" s="30"/>
      <c r="B105" s="566"/>
      <c r="C105" s="168"/>
      <c r="D105" s="522"/>
      <c r="E105" s="156" t="s">
        <v>475</v>
      </c>
      <c r="F105" s="55"/>
      <c r="G105" s="155"/>
      <c r="H105" s="44"/>
      <c r="I105" s="44"/>
      <c r="J105" s="55"/>
      <c r="K105" s="55"/>
      <c r="L105" s="55"/>
      <c r="M105" s="55"/>
      <c r="N105" s="148"/>
      <c r="O105" s="328"/>
      <c r="P105" s="386" t="s">
        <v>75</v>
      </c>
      <c r="U105" s="386" t="str">
        <f>$Q$89</f>
        <v>対象外</v>
      </c>
    </row>
    <row r="106" spans="1:251" ht="16.5" customHeight="1" thickBot="1">
      <c r="A106" s="2"/>
      <c r="B106" s="566"/>
      <c r="C106" s="135"/>
      <c r="D106" s="135"/>
      <c r="E106" s="144" t="s">
        <v>394</v>
      </c>
      <c r="F106" s="515" t="s">
        <v>85</v>
      </c>
      <c r="G106" s="511"/>
      <c r="H106" s="535" t="s">
        <v>91</v>
      </c>
      <c r="I106" s="535"/>
      <c r="J106" s="535"/>
      <c r="K106" s="535"/>
      <c r="L106" s="535"/>
      <c r="M106" s="536"/>
      <c r="N106" s="148"/>
      <c r="O106" s="328"/>
      <c r="P106" s="328"/>
      <c r="Q106" s="328"/>
      <c r="R106" s="328"/>
      <c r="S106" s="328"/>
      <c r="T106" s="328"/>
      <c r="U106" s="328"/>
      <c r="V106" s="328"/>
      <c r="W106" s="328"/>
      <c r="X106" s="328"/>
      <c r="Y106" s="328"/>
    </row>
    <row r="107" spans="1:251" ht="23.25" customHeight="1">
      <c r="A107" s="2"/>
      <c r="B107" s="566"/>
      <c r="C107" s="135"/>
      <c r="D107" s="135"/>
      <c r="E107" s="379"/>
      <c r="F107" s="516">
        <v>1</v>
      </c>
      <c r="G107" s="2480" t="s">
        <v>180</v>
      </c>
      <c r="H107" s="2481"/>
      <c r="I107" s="2482" t="s">
        <v>710</v>
      </c>
      <c r="J107" s="2483"/>
      <c r="K107" s="2483"/>
      <c r="L107" s="2483"/>
      <c r="M107" s="2484"/>
      <c r="N107" s="148"/>
      <c r="O107" s="328"/>
      <c r="P107" s="328"/>
      <c r="Q107" s="328"/>
      <c r="R107" s="328"/>
      <c r="S107" s="328"/>
      <c r="T107" s="328"/>
      <c r="U107" s="328"/>
      <c r="V107" s="328"/>
      <c r="W107" s="328"/>
      <c r="X107" s="328"/>
      <c r="Y107" s="328"/>
    </row>
    <row r="108" spans="1:251" ht="23.25" customHeight="1">
      <c r="A108" s="2"/>
      <c r="B108" s="566"/>
      <c r="C108" s="135"/>
      <c r="D108" s="135"/>
      <c r="E108" s="741"/>
      <c r="F108" s="1359">
        <v>2</v>
      </c>
      <c r="G108" s="2492" t="s">
        <v>711</v>
      </c>
      <c r="H108" s="2493"/>
      <c r="I108" s="2494" t="s">
        <v>712</v>
      </c>
      <c r="J108" s="2361"/>
      <c r="K108" s="2361"/>
      <c r="L108" s="2361"/>
      <c r="M108" s="2362"/>
      <c r="N108" s="148"/>
      <c r="O108" s="328"/>
      <c r="P108" s="328"/>
      <c r="Q108" s="328"/>
      <c r="R108" s="328"/>
      <c r="S108" s="328"/>
      <c r="T108" s="328"/>
      <c r="U108" s="328"/>
      <c r="V108" s="328"/>
      <c r="W108" s="328"/>
      <c r="X108" s="328"/>
      <c r="Y108" s="328"/>
    </row>
    <row r="109" spans="1:251" ht="23.25" customHeight="1">
      <c r="A109" s="2"/>
      <c r="B109" s="566"/>
      <c r="C109" s="135"/>
      <c r="D109" s="135"/>
      <c r="E109" s="2478"/>
      <c r="F109" s="2426">
        <v>3</v>
      </c>
      <c r="G109" s="2492" t="s">
        <v>750</v>
      </c>
      <c r="H109" s="2493"/>
      <c r="I109" s="2494" t="s">
        <v>713</v>
      </c>
      <c r="J109" s="2361"/>
      <c r="K109" s="2361"/>
      <c r="L109" s="2361"/>
      <c r="M109" s="2362"/>
      <c r="N109" s="148"/>
      <c r="O109" s="328"/>
      <c r="P109" s="328"/>
      <c r="Q109" s="328"/>
      <c r="R109" s="328"/>
      <c r="S109" s="328"/>
      <c r="T109" s="328"/>
      <c r="U109" s="328"/>
      <c r="V109" s="328"/>
      <c r="W109" s="328"/>
      <c r="X109" s="328"/>
      <c r="Y109" s="328"/>
    </row>
    <row r="110" spans="1:251" ht="23.25" customHeight="1">
      <c r="A110" s="2"/>
      <c r="B110" s="566"/>
      <c r="C110" s="135"/>
      <c r="D110" s="135"/>
      <c r="E110" s="2479"/>
      <c r="F110" s="2428"/>
      <c r="G110" s="2501"/>
      <c r="H110" s="2502"/>
      <c r="I110" s="2494" t="s">
        <v>714</v>
      </c>
      <c r="J110" s="2361"/>
      <c r="K110" s="2361"/>
      <c r="L110" s="2361"/>
      <c r="M110" s="2362"/>
      <c r="N110" s="148"/>
      <c r="O110" s="328"/>
      <c r="P110" s="328"/>
      <c r="Q110" s="328"/>
      <c r="R110" s="328"/>
      <c r="S110" s="328"/>
      <c r="T110" s="328"/>
      <c r="U110" s="328"/>
      <c r="V110" s="328"/>
      <c r="W110" s="328"/>
      <c r="X110" s="328"/>
      <c r="Y110" s="328"/>
    </row>
    <row r="111" spans="1:251" ht="31.5" customHeight="1">
      <c r="A111" s="2"/>
      <c r="B111" s="566"/>
      <c r="C111" s="135"/>
      <c r="D111" s="135"/>
      <c r="E111" s="2478"/>
      <c r="F111" s="2426">
        <v>4</v>
      </c>
      <c r="G111" s="2497" t="s">
        <v>751</v>
      </c>
      <c r="H111" s="2498"/>
      <c r="I111" s="2494" t="s">
        <v>715</v>
      </c>
      <c r="J111" s="2495"/>
      <c r="K111" s="2495"/>
      <c r="L111" s="2495"/>
      <c r="M111" s="2496"/>
      <c r="N111" s="148"/>
      <c r="O111" s="328"/>
      <c r="P111" s="328"/>
      <c r="Q111" s="328"/>
      <c r="R111" s="328"/>
      <c r="S111" s="328"/>
      <c r="T111" s="328"/>
      <c r="U111" s="328"/>
      <c r="V111" s="328"/>
      <c r="W111" s="328"/>
      <c r="X111" s="328"/>
      <c r="Y111" s="328"/>
    </row>
    <row r="112" spans="1:251" ht="23.25" customHeight="1" thickBot="1">
      <c r="A112" s="2"/>
      <c r="B112" s="566"/>
      <c r="C112" s="135"/>
      <c r="D112" s="135"/>
      <c r="E112" s="2491"/>
      <c r="F112" s="2467"/>
      <c r="G112" s="2499"/>
      <c r="H112" s="2500"/>
      <c r="I112" s="2439" t="s">
        <v>716</v>
      </c>
      <c r="J112" s="2363"/>
      <c r="K112" s="2363"/>
      <c r="L112" s="2363"/>
      <c r="M112" s="2364"/>
      <c r="N112" s="148"/>
      <c r="O112" s="328"/>
      <c r="P112" s="328"/>
      <c r="Q112" s="328"/>
      <c r="R112" s="328"/>
      <c r="S112" s="328"/>
      <c r="T112" s="328"/>
      <c r="U112" s="328"/>
      <c r="V112" s="328"/>
      <c r="W112" s="328"/>
      <c r="X112" s="328"/>
      <c r="Y112" s="328"/>
    </row>
    <row r="113" spans="1:25" ht="16.5" customHeight="1">
      <c r="A113" s="2"/>
      <c r="B113" s="1068"/>
      <c r="C113" s="1069"/>
      <c r="D113" s="1069"/>
      <c r="E113" s="600" t="s">
        <v>330</v>
      </c>
      <c r="F113" s="1045">
        <f>COUNTIF(E107:E112,"○")</f>
        <v>0</v>
      </c>
      <c r="G113" s="1054"/>
      <c r="H113" s="1054"/>
      <c r="I113" s="143"/>
      <c r="J113" s="143"/>
      <c r="K113" s="143"/>
      <c r="L113" s="481"/>
      <c r="M113" s="544"/>
      <c r="N113" s="148"/>
      <c r="O113" s="5"/>
      <c r="P113" s="5"/>
    </row>
    <row r="114" spans="1:25" s="148" customFormat="1" ht="8.25" customHeight="1">
      <c r="A114" s="55"/>
      <c r="B114" s="168"/>
      <c r="C114" s="611"/>
      <c r="D114" s="313"/>
      <c r="E114" s="313"/>
      <c r="F114" s="2"/>
      <c r="G114" s="2"/>
      <c r="H114" s="2"/>
      <c r="I114" s="2"/>
      <c r="J114" s="2"/>
      <c r="K114" s="2"/>
      <c r="L114" s="2"/>
      <c r="M114" s="2"/>
      <c r="N114" s="154"/>
      <c r="P114" s="588" t="s">
        <v>75</v>
      </c>
      <c r="Q114" s="328" t="s">
        <v>99</v>
      </c>
      <c r="R114" s="5"/>
      <c r="S114" s="5"/>
      <c r="T114" s="136"/>
    </row>
    <row r="115" spans="1:25" s="148" customFormat="1" ht="21" customHeight="1">
      <c r="A115" s="55"/>
      <c r="B115" s="168"/>
      <c r="C115" s="611"/>
      <c r="E115" s="786" t="s">
        <v>3</v>
      </c>
      <c r="F115" s="787"/>
      <c r="G115" s="1242"/>
      <c r="H115" s="1242"/>
      <c r="I115" s="1241"/>
      <c r="J115" s="1243"/>
      <c r="K115" s="1243"/>
      <c r="L115" s="1243"/>
      <c r="M115" s="1244"/>
      <c r="N115" s="154"/>
      <c r="P115" s="619"/>
      <c r="Q115" s="328"/>
      <c r="R115" s="5"/>
      <c r="S115" s="5"/>
      <c r="T115" s="136"/>
      <c r="U115" s="619"/>
      <c r="V115" s="136"/>
      <c r="W115" s="136"/>
      <c r="X115" s="136"/>
      <c r="Y115" s="136"/>
    </row>
    <row r="116" spans="1:25">
      <c r="O116" s="328"/>
      <c r="P116" s="5"/>
    </row>
    <row r="117" spans="1:25" ht="15" hidden="1" customHeight="1">
      <c r="O117" s="328"/>
      <c r="P117" s="5"/>
    </row>
    <row r="118" spans="1:25" hidden="1">
      <c r="O118" s="328"/>
      <c r="P118" s="5"/>
    </row>
    <row r="119" spans="1:25" hidden="1">
      <c r="O119" s="328"/>
      <c r="P119" s="5"/>
    </row>
    <row r="120" spans="1:25" hidden="1">
      <c r="O120" s="328"/>
      <c r="P120" s="5"/>
    </row>
    <row r="121" spans="1:25" hidden="1">
      <c r="O121" s="328"/>
      <c r="P121" s="5"/>
    </row>
    <row r="122" spans="1:25" hidden="1">
      <c r="O122" s="328"/>
      <c r="P122" s="5"/>
    </row>
    <row r="123" spans="1:25" hidden="1">
      <c r="O123" s="328"/>
      <c r="P123" s="5"/>
    </row>
    <row r="124" spans="1:25" hidden="1">
      <c r="O124" s="328"/>
      <c r="P124" s="5"/>
    </row>
    <row r="125" spans="1:25" hidden="1">
      <c r="O125" s="328"/>
      <c r="P125" s="5"/>
    </row>
    <row r="126" spans="1:25" hidden="1">
      <c r="O126" s="328"/>
      <c r="P126" s="5"/>
    </row>
    <row r="127" spans="1:25" hidden="1">
      <c r="O127" s="328"/>
      <c r="P127" s="5"/>
    </row>
    <row r="128" spans="1:25" hidden="1">
      <c r="O128" s="328"/>
      <c r="P128" s="5"/>
    </row>
    <row r="129" spans="15:16" hidden="1">
      <c r="O129" s="328"/>
      <c r="P129" s="5"/>
    </row>
    <row r="130" spans="15:16" hidden="1">
      <c r="O130" s="328"/>
      <c r="P130" s="5"/>
    </row>
    <row r="131" spans="15:16" hidden="1">
      <c r="O131" s="328"/>
      <c r="P131" s="5"/>
    </row>
    <row r="132" spans="15:16" hidden="1">
      <c r="O132" s="328"/>
      <c r="P132" s="5"/>
    </row>
    <row r="133" spans="15:16" hidden="1">
      <c r="O133" s="328"/>
      <c r="P133" s="5"/>
    </row>
    <row r="134" spans="15:16" hidden="1">
      <c r="O134" s="328"/>
      <c r="P134" s="5"/>
    </row>
    <row r="135" spans="15:16" hidden="1">
      <c r="O135" s="328"/>
      <c r="P135" s="5"/>
    </row>
    <row r="136" spans="15:16" hidden="1">
      <c r="O136" s="328"/>
      <c r="P136" s="5"/>
    </row>
    <row r="137" spans="15:16" hidden="1">
      <c r="O137" s="328"/>
      <c r="P137" s="5"/>
    </row>
    <row r="138" spans="15:16" hidden="1">
      <c r="O138" s="328"/>
      <c r="P138" s="5"/>
    </row>
    <row r="139" spans="15:16" hidden="1">
      <c r="O139" s="328"/>
      <c r="P139" s="5"/>
    </row>
    <row r="140" spans="15:16" hidden="1">
      <c r="O140" s="328"/>
      <c r="P140" s="5"/>
    </row>
    <row r="141" spans="15:16" hidden="1">
      <c r="O141" s="328"/>
      <c r="P141" s="5"/>
    </row>
    <row r="142" spans="15:16" hidden="1">
      <c r="O142" s="328"/>
      <c r="P142" s="5"/>
    </row>
    <row r="143" spans="15:16" hidden="1">
      <c r="O143" s="328"/>
      <c r="P143" s="5"/>
    </row>
    <row r="144" spans="15:16" hidden="1">
      <c r="O144" s="328"/>
      <c r="P144" s="5"/>
    </row>
    <row r="145" spans="15:16" hidden="1">
      <c r="O145" s="328"/>
      <c r="P145" s="5"/>
    </row>
    <row r="146" spans="15:16" hidden="1">
      <c r="O146" s="328"/>
      <c r="P146" s="5"/>
    </row>
    <row r="147" spans="15:16" hidden="1">
      <c r="O147" s="328"/>
      <c r="P147" s="5"/>
    </row>
    <row r="148" spans="15:16" hidden="1">
      <c r="O148" s="328"/>
      <c r="P148" s="5"/>
    </row>
    <row r="149" spans="15:16" hidden="1">
      <c r="O149" s="328"/>
      <c r="P149" s="5"/>
    </row>
    <row r="150" spans="15:16" hidden="1">
      <c r="O150" s="328"/>
      <c r="P150" s="5"/>
    </row>
    <row r="151" spans="15:16" hidden="1">
      <c r="O151" s="328"/>
      <c r="P151" s="5"/>
    </row>
    <row r="152" spans="15:16" hidden="1">
      <c r="O152" s="328"/>
      <c r="P152" s="5"/>
    </row>
    <row r="153" spans="15:16" hidden="1">
      <c r="O153" s="328"/>
      <c r="P153" s="5"/>
    </row>
    <row r="154" spans="15:16" hidden="1">
      <c r="O154" s="328"/>
      <c r="P154" s="5"/>
    </row>
    <row r="155" spans="15:16" hidden="1">
      <c r="O155" s="328"/>
      <c r="P155" s="5"/>
    </row>
    <row r="156" spans="15:16" hidden="1">
      <c r="O156" s="328"/>
      <c r="P156" s="5"/>
    </row>
    <row r="157" spans="15:16" hidden="1">
      <c r="O157" s="328"/>
      <c r="P157" s="5"/>
    </row>
    <row r="158" spans="15:16" hidden="1">
      <c r="O158" s="328"/>
      <c r="P158" s="5"/>
    </row>
    <row r="159" spans="15:16" hidden="1">
      <c r="O159" s="328"/>
      <c r="P159" s="5"/>
    </row>
    <row r="160" spans="15:16" hidden="1">
      <c r="O160" s="328"/>
      <c r="P160" s="5"/>
    </row>
    <row r="161" spans="15:16" hidden="1">
      <c r="O161" s="328"/>
      <c r="P161" s="5"/>
    </row>
    <row r="162" spans="15:16" hidden="1">
      <c r="O162" s="328"/>
      <c r="P162" s="5"/>
    </row>
    <row r="163" spans="15:16" hidden="1">
      <c r="O163" s="328"/>
      <c r="P163" s="5"/>
    </row>
    <row r="164" spans="15:16" hidden="1">
      <c r="O164" s="328"/>
      <c r="P164" s="5"/>
    </row>
    <row r="165" spans="15:16" hidden="1">
      <c r="O165" s="328"/>
      <c r="P165" s="5"/>
    </row>
    <row r="166" spans="15:16" hidden="1">
      <c r="O166" s="328"/>
      <c r="P166" s="5"/>
    </row>
    <row r="167" spans="15:16" hidden="1">
      <c r="O167" s="328"/>
      <c r="P167" s="5"/>
    </row>
    <row r="168" spans="15:16" hidden="1">
      <c r="O168" s="328"/>
      <c r="P168" s="5"/>
    </row>
    <row r="169" spans="15:16" hidden="1">
      <c r="O169" s="328"/>
      <c r="P169" s="5"/>
    </row>
    <row r="170" spans="15:16" hidden="1">
      <c r="O170" s="328"/>
      <c r="P170" s="5"/>
    </row>
    <row r="171" spans="15:16" hidden="1">
      <c r="O171" s="328"/>
      <c r="P171" s="5"/>
    </row>
    <row r="172" spans="15:16" hidden="1">
      <c r="O172" s="328"/>
      <c r="P172" s="5"/>
    </row>
    <row r="173" spans="15:16" hidden="1">
      <c r="O173" s="328"/>
      <c r="P173" s="5"/>
    </row>
    <row r="174" spans="15:16" hidden="1">
      <c r="O174" s="328"/>
      <c r="P174" s="5"/>
    </row>
    <row r="175" spans="15:16" hidden="1">
      <c r="O175" s="328"/>
      <c r="P175" s="5"/>
    </row>
    <row r="176" spans="15:16" hidden="1">
      <c r="O176" s="328"/>
      <c r="P176" s="5"/>
    </row>
    <row r="177" spans="15:16" hidden="1">
      <c r="O177" s="328"/>
      <c r="P177" s="5"/>
    </row>
    <row r="178" spans="15:16" hidden="1">
      <c r="O178" s="328"/>
      <c r="P178" s="5"/>
    </row>
    <row r="179" spans="15:16" hidden="1">
      <c r="O179" s="328"/>
      <c r="P179" s="5"/>
    </row>
    <row r="180" spans="15:16" hidden="1">
      <c r="O180" s="328"/>
      <c r="P180" s="5"/>
    </row>
    <row r="181" spans="15:16" hidden="1">
      <c r="O181" s="328"/>
      <c r="P181" s="5"/>
    </row>
    <row r="182" spans="15:16" hidden="1">
      <c r="O182" s="328"/>
      <c r="P182" s="5"/>
    </row>
    <row r="183" spans="15:16" hidden="1">
      <c r="O183" s="328"/>
      <c r="P183" s="5"/>
    </row>
    <row r="184" spans="15:16" hidden="1">
      <c r="O184" s="328"/>
      <c r="P184" s="5"/>
    </row>
    <row r="185" spans="15:16" hidden="1">
      <c r="O185" s="328"/>
      <c r="P185" s="5"/>
    </row>
    <row r="186" spans="15:16" hidden="1">
      <c r="O186" s="328"/>
      <c r="P186" s="5"/>
    </row>
    <row r="187" spans="15:16" hidden="1">
      <c r="O187" s="328"/>
      <c r="P187" s="5"/>
    </row>
    <row r="188" spans="15:16" hidden="1">
      <c r="O188" s="328"/>
      <c r="P188" s="5"/>
    </row>
    <row r="189" spans="15:16" hidden="1">
      <c r="O189" s="328"/>
      <c r="P189" s="5"/>
    </row>
    <row r="190" spans="15:16" hidden="1">
      <c r="O190" s="328"/>
      <c r="P190" s="5"/>
    </row>
    <row r="191" spans="15:16" hidden="1">
      <c r="O191" s="328"/>
      <c r="P191" s="5"/>
    </row>
    <row r="192" spans="15:16" hidden="1">
      <c r="O192" s="328"/>
      <c r="P192" s="5"/>
    </row>
    <row r="193" spans="15:16" hidden="1">
      <c r="O193" s="328"/>
      <c r="P193" s="5"/>
    </row>
    <row r="194" spans="15:16" hidden="1">
      <c r="O194" s="328"/>
      <c r="P194" s="5"/>
    </row>
    <row r="195" spans="15:16" hidden="1">
      <c r="O195" s="328"/>
      <c r="P195" s="5"/>
    </row>
    <row r="196" spans="15:16" hidden="1">
      <c r="O196" s="328"/>
      <c r="P196" s="5"/>
    </row>
    <row r="197" spans="15:16" hidden="1">
      <c r="O197" s="328"/>
      <c r="P197" s="5"/>
    </row>
    <row r="198" spans="15:16" hidden="1">
      <c r="O198" s="328"/>
      <c r="P198" s="5"/>
    </row>
    <row r="199" spans="15:16" hidden="1">
      <c r="O199" s="328"/>
      <c r="P199" s="5"/>
    </row>
    <row r="200" spans="15:16" hidden="1">
      <c r="O200" s="328"/>
      <c r="P200" s="5"/>
    </row>
    <row r="201" spans="15:16" hidden="1">
      <c r="O201" s="328"/>
      <c r="P201" s="5"/>
    </row>
    <row r="202" spans="15:16" hidden="1">
      <c r="O202" s="328"/>
      <c r="P202" s="5"/>
    </row>
    <row r="203" spans="15:16" hidden="1">
      <c r="O203" s="328"/>
      <c r="P203" s="5"/>
    </row>
    <row r="204" spans="15:16" hidden="1">
      <c r="O204" s="328"/>
      <c r="P204" s="5"/>
    </row>
    <row r="205" spans="15:16" hidden="1">
      <c r="O205" s="328"/>
      <c r="P205" s="5"/>
    </row>
    <row r="206" spans="15:16" hidden="1">
      <c r="O206" s="328"/>
      <c r="P206" s="5"/>
    </row>
    <row r="207" spans="15:16" hidden="1">
      <c r="O207" s="328"/>
      <c r="P207" s="5"/>
    </row>
    <row r="208" spans="15:16" hidden="1">
      <c r="O208" s="328"/>
      <c r="P208" s="5"/>
    </row>
    <row r="209" spans="15:16" hidden="1">
      <c r="O209" s="328"/>
      <c r="P209" s="5"/>
    </row>
    <row r="210" spans="15:16" hidden="1">
      <c r="O210" s="328"/>
      <c r="P210" s="5"/>
    </row>
    <row r="211" spans="15:16" hidden="1">
      <c r="O211" s="328"/>
      <c r="P211" s="5"/>
    </row>
    <row r="212" spans="15:16" hidden="1">
      <c r="O212" s="328"/>
      <c r="P212" s="5"/>
    </row>
    <row r="213" spans="15:16" hidden="1">
      <c r="O213" s="328"/>
      <c r="P213" s="5"/>
    </row>
    <row r="214" spans="15:16" hidden="1">
      <c r="O214" s="328"/>
      <c r="P214" s="5"/>
    </row>
    <row r="215" spans="15:16" hidden="1">
      <c r="O215" s="328"/>
      <c r="P215" s="5"/>
    </row>
    <row r="216" spans="15:16" hidden="1">
      <c r="O216" s="328"/>
      <c r="P216" s="5"/>
    </row>
    <row r="217" spans="15:16" hidden="1">
      <c r="O217" s="328"/>
      <c r="P217" s="5"/>
    </row>
    <row r="218" spans="15:16" hidden="1">
      <c r="O218" s="328"/>
      <c r="P218" s="5"/>
    </row>
    <row r="219" spans="15:16" hidden="1">
      <c r="O219" s="328"/>
      <c r="P219" s="5"/>
    </row>
    <row r="220" spans="15:16" hidden="1">
      <c r="O220" s="328"/>
      <c r="P220" s="5"/>
    </row>
    <row r="221" spans="15:16" hidden="1">
      <c r="O221" s="328"/>
      <c r="P221" s="5"/>
    </row>
    <row r="222" spans="15:16" hidden="1">
      <c r="O222" s="328"/>
      <c r="P222" s="5"/>
    </row>
    <row r="223" spans="15:16" hidden="1">
      <c r="O223" s="328"/>
      <c r="P223" s="5"/>
    </row>
    <row r="224" spans="15:16" hidden="1">
      <c r="O224" s="328"/>
      <c r="P224" s="5"/>
    </row>
    <row r="225" spans="15:16" hidden="1">
      <c r="O225" s="328"/>
      <c r="P225" s="5"/>
    </row>
    <row r="226" spans="15:16" hidden="1">
      <c r="O226" s="328"/>
      <c r="P226" s="5"/>
    </row>
    <row r="227" spans="15:16" hidden="1">
      <c r="O227" s="328"/>
      <c r="P227" s="5"/>
    </row>
    <row r="228" spans="15:16" hidden="1">
      <c r="O228" s="328"/>
      <c r="P228" s="5"/>
    </row>
    <row r="229" spans="15:16" hidden="1">
      <c r="O229" s="328"/>
      <c r="P229" s="5"/>
    </row>
    <row r="230" spans="15:16" hidden="1">
      <c r="O230" s="328"/>
      <c r="P230" s="5"/>
    </row>
    <row r="231" spans="15:16" hidden="1">
      <c r="O231" s="328"/>
      <c r="P231" s="5"/>
    </row>
    <row r="232" spans="15:16" hidden="1">
      <c r="O232" s="328"/>
      <c r="P232" s="5"/>
    </row>
    <row r="233" spans="15:16" hidden="1">
      <c r="O233" s="328"/>
      <c r="P233" s="5"/>
    </row>
    <row r="234" spans="15:16" hidden="1">
      <c r="O234" s="328"/>
      <c r="P234" s="5"/>
    </row>
    <row r="235" spans="15:16" hidden="1">
      <c r="O235" s="328"/>
      <c r="P235" s="5"/>
    </row>
    <row r="236" spans="15:16" hidden="1">
      <c r="O236" s="328"/>
      <c r="P236" s="5"/>
    </row>
    <row r="237" spans="15:16" hidden="1">
      <c r="O237" s="328"/>
      <c r="P237" s="5"/>
    </row>
    <row r="238" spans="15:16" hidden="1">
      <c r="O238" s="328"/>
      <c r="P238" s="5"/>
    </row>
    <row r="239" spans="15:16" hidden="1">
      <c r="O239" s="328"/>
      <c r="P239" s="5"/>
    </row>
    <row r="240" spans="15:16" hidden="1">
      <c r="O240" s="328"/>
      <c r="P240" s="5"/>
    </row>
    <row r="241" spans="15:16" hidden="1">
      <c r="O241" s="328"/>
      <c r="P241" s="5"/>
    </row>
    <row r="242" spans="15:16" hidden="1">
      <c r="O242" s="328"/>
      <c r="P242" s="5"/>
    </row>
    <row r="243" spans="15:16" hidden="1">
      <c r="O243" s="328"/>
      <c r="P243" s="5"/>
    </row>
    <row r="244" spans="15:16" hidden="1">
      <c r="O244" s="328"/>
      <c r="P244" s="5"/>
    </row>
    <row r="245" spans="15:16" hidden="1">
      <c r="O245" s="328"/>
      <c r="P245" s="5"/>
    </row>
    <row r="246" spans="15:16" hidden="1">
      <c r="O246" s="328"/>
      <c r="P246" s="5"/>
    </row>
    <row r="247" spans="15:16" hidden="1">
      <c r="O247" s="328"/>
      <c r="P247" s="5"/>
    </row>
    <row r="248" spans="15:16" hidden="1">
      <c r="O248" s="328"/>
      <c r="P248" s="5"/>
    </row>
    <row r="249" spans="15:16" hidden="1">
      <c r="O249" s="328"/>
      <c r="P249" s="5"/>
    </row>
    <row r="250" spans="15:16" hidden="1">
      <c r="O250" s="328"/>
      <c r="P250" s="5"/>
    </row>
    <row r="251" spans="15:16" hidden="1">
      <c r="O251" s="328"/>
      <c r="P251" s="5"/>
    </row>
    <row r="252" spans="15:16" hidden="1">
      <c r="O252" s="328"/>
      <c r="P252" s="5"/>
    </row>
    <row r="253" spans="15:16" hidden="1">
      <c r="O253" s="328"/>
      <c r="P253" s="5"/>
    </row>
    <row r="254" spans="15:16" hidden="1">
      <c r="O254" s="328"/>
      <c r="P254" s="5"/>
    </row>
    <row r="255" spans="15:16" hidden="1">
      <c r="O255" s="328"/>
      <c r="P255" s="5"/>
    </row>
    <row r="256" spans="15:16" hidden="1">
      <c r="O256" s="328"/>
      <c r="P256" s="5"/>
    </row>
    <row r="257" spans="15:16" hidden="1">
      <c r="O257" s="328"/>
      <c r="P257" s="5"/>
    </row>
    <row r="258" spans="15:16" hidden="1">
      <c r="O258" s="328"/>
      <c r="P258" s="5"/>
    </row>
    <row r="259" spans="15:16" hidden="1">
      <c r="O259" s="328"/>
      <c r="P259" s="5"/>
    </row>
    <row r="260" spans="15:16" hidden="1">
      <c r="O260" s="328"/>
      <c r="P260" s="5"/>
    </row>
    <row r="261" spans="15:16" hidden="1">
      <c r="O261" s="328"/>
      <c r="P261" s="5"/>
    </row>
    <row r="262" spans="15:16" hidden="1">
      <c r="O262" s="328"/>
      <c r="P262" s="5"/>
    </row>
    <row r="263" spans="15:16" hidden="1">
      <c r="O263" s="328"/>
      <c r="P263" s="5"/>
    </row>
    <row r="264" spans="15:16" hidden="1">
      <c r="O264" s="328"/>
      <c r="P264" s="5"/>
    </row>
    <row r="265" spans="15:16" hidden="1">
      <c r="O265" s="328"/>
      <c r="P265" s="5"/>
    </row>
    <row r="266" spans="15:16" hidden="1">
      <c r="O266" s="328"/>
      <c r="P266" s="5"/>
    </row>
    <row r="267" spans="15:16" hidden="1">
      <c r="O267" s="328"/>
      <c r="P267" s="5"/>
    </row>
    <row r="268" spans="15:16" hidden="1">
      <c r="O268" s="328"/>
      <c r="P268" s="5"/>
    </row>
    <row r="269" spans="15:16" hidden="1">
      <c r="O269" s="328"/>
      <c r="P269" s="5"/>
    </row>
    <row r="270" spans="15:16" hidden="1">
      <c r="O270" s="328"/>
      <c r="P270" s="5"/>
    </row>
    <row r="271" spans="15:16" hidden="1">
      <c r="O271" s="328"/>
      <c r="P271" s="5"/>
    </row>
    <row r="272" spans="15:16" hidden="1">
      <c r="O272" s="328"/>
      <c r="P272" s="5"/>
    </row>
    <row r="273" spans="15:16" hidden="1">
      <c r="O273" s="328"/>
      <c r="P273" s="5"/>
    </row>
    <row r="274" spans="15:16" hidden="1">
      <c r="O274" s="328"/>
      <c r="P274" s="5"/>
    </row>
    <row r="275" spans="15:16" hidden="1">
      <c r="O275" s="328"/>
      <c r="P275" s="5"/>
    </row>
    <row r="276" spans="15:16" hidden="1">
      <c r="O276" s="328"/>
      <c r="P276" s="5"/>
    </row>
    <row r="277" spans="15:16" hidden="1">
      <c r="O277" s="328"/>
      <c r="P277" s="5"/>
    </row>
    <row r="278" spans="15:16" hidden="1">
      <c r="O278" s="328"/>
      <c r="P278" s="5"/>
    </row>
    <row r="279" spans="15:16" hidden="1">
      <c r="O279" s="328"/>
      <c r="P279" s="5"/>
    </row>
    <row r="280" spans="15:16" hidden="1">
      <c r="O280" s="328"/>
      <c r="P280" s="5"/>
    </row>
    <row r="281" spans="15:16" hidden="1">
      <c r="O281" s="328"/>
      <c r="P281" s="5"/>
    </row>
    <row r="282" spans="15:16" hidden="1">
      <c r="O282" s="328"/>
      <c r="P282" s="5"/>
    </row>
    <row r="283" spans="15:16" hidden="1">
      <c r="O283" s="328"/>
      <c r="P283" s="5"/>
    </row>
    <row r="284" spans="15:16" hidden="1">
      <c r="O284" s="328"/>
      <c r="P284" s="5"/>
    </row>
    <row r="285" spans="15:16" hidden="1">
      <c r="O285" s="328"/>
      <c r="P285" s="5"/>
    </row>
    <row r="286" spans="15:16" hidden="1">
      <c r="O286" s="328"/>
      <c r="P286" s="5"/>
    </row>
    <row r="287" spans="15:16" hidden="1">
      <c r="O287" s="328"/>
      <c r="P287" s="5"/>
    </row>
    <row r="288" spans="15:16" hidden="1">
      <c r="O288" s="328"/>
      <c r="P288" s="5"/>
    </row>
    <row r="289" spans="15:16" hidden="1">
      <c r="O289" s="328"/>
      <c r="P289" s="5"/>
    </row>
    <row r="290" spans="15:16" hidden="1">
      <c r="O290" s="328"/>
      <c r="P290" s="5"/>
    </row>
    <row r="291" spans="15:16" hidden="1">
      <c r="O291" s="328"/>
      <c r="P291" s="5"/>
    </row>
    <row r="292" spans="15:16" hidden="1">
      <c r="O292" s="328"/>
      <c r="P292" s="5"/>
    </row>
    <row r="293" spans="15:16" hidden="1">
      <c r="O293" s="328"/>
      <c r="P293" s="5"/>
    </row>
    <row r="294" spans="15:16" hidden="1">
      <c r="O294" s="328"/>
      <c r="P294" s="5"/>
    </row>
    <row r="295" spans="15:16" hidden="1">
      <c r="O295" s="328"/>
      <c r="P295" s="5"/>
    </row>
    <row r="296" spans="15:16" hidden="1">
      <c r="O296" s="328"/>
      <c r="P296" s="5"/>
    </row>
    <row r="297" spans="15:16" hidden="1">
      <c r="O297" s="328"/>
      <c r="P297" s="5"/>
    </row>
    <row r="298" spans="15:16" hidden="1">
      <c r="O298" s="328"/>
      <c r="P298" s="5"/>
    </row>
    <row r="299" spans="15:16" hidden="1">
      <c r="O299" s="328"/>
      <c r="P299" s="5"/>
    </row>
    <row r="300" spans="15:16" hidden="1">
      <c r="O300" s="328"/>
      <c r="P300" s="5"/>
    </row>
    <row r="301" spans="15:16" hidden="1">
      <c r="O301" s="328"/>
      <c r="P301" s="5"/>
    </row>
    <row r="302" spans="15:16" hidden="1">
      <c r="O302" s="328"/>
      <c r="P302" s="5"/>
    </row>
    <row r="303" spans="15:16" hidden="1">
      <c r="O303" s="328"/>
      <c r="P303" s="5"/>
    </row>
    <row r="304" spans="15:16" hidden="1">
      <c r="O304" s="328"/>
      <c r="P304" s="5"/>
    </row>
    <row r="305" spans="15:16" hidden="1">
      <c r="O305" s="328"/>
      <c r="P305" s="5"/>
    </row>
    <row r="306" spans="15:16" hidden="1">
      <c r="O306" s="328"/>
      <c r="P306" s="5"/>
    </row>
    <row r="307" spans="15:16" hidden="1">
      <c r="O307" s="328"/>
      <c r="P307" s="5"/>
    </row>
    <row r="308" spans="15:16" hidden="1">
      <c r="O308" s="328"/>
      <c r="P308" s="5"/>
    </row>
    <row r="309" spans="15:16" hidden="1">
      <c r="O309" s="328"/>
      <c r="P309" s="5"/>
    </row>
    <row r="310" spans="15:16" hidden="1">
      <c r="O310" s="328"/>
      <c r="P310" s="5"/>
    </row>
    <row r="311" spans="15:16" hidden="1">
      <c r="O311" s="328"/>
      <c r="P311" s="5"/>
    </row>
    <row r="312" spans="15:16" hidden="1">
      <c r="O312" s="328"/>
      <c r="P312" s="5"/>
    </row>
    <row r="313" spans="15:16" hidden="1">
      <c r="O313" s="328"/>
      <c r="P313" s="5"/>
    </row>
    <row r="314" spans="15:16" hidden="1">
      <c r="O314" s="328"/>
      <c r="P314" s="5"/>
    </row>
    <row r="315" spans="15:16" hidden="1">
      <c r="O315" s="328"/>
      <c r="P315" s="5"/>
    </row>
    <row r="316" spans="15:16" hidden="1">
      <c r="O316" s="328"/>
      <c r="P316" s="5"/>
    </row>
    <row r="317" spans="15:16" hidden="1">
      <c r="O317" s="328"/>
      <c r="P317" s="5"/>
    </row>
    <row r="318" spans="15:16" hidden="1">
      <c r="O318" s="328"/>
      <c r="P318" s="5"/>
    </row>
    <row r="319" spans="15:16" hidden="1">
      <c r="O319" s="328"/>
      <c r="P319" s="5"/>
    </row>
    <row r="320" spans="15:16" hidden="1">
      <c r="O320" s="328"/>
      <c r="P320" s="5"/>
    </row>
    <row r="321" spans="15:16" hidden="1">
      <c r="O321" s="328"/>
      <c r="P321" s="5"/>
    </row>
    <row r="322" spans="15:16" hidden="1">
      <c r="O322" s="328"/>
      <c r="P322" s="5"/>
    </row>
    <row r="323" spans="15:16" hidden="1">
      <c r="O323" s="328"/>
      <c r="P323" s="5"/>
    </row>
    <row r="324" spans="15:16" hidden="1">
      <c r="O324" s="328"/>
      <c r="P324" s="5"/>
    </row>
    <row r="325" spans="15:16" hidden="1">
      <c r="O325" s="328"/>
      <c r="P325" s="5"/>
    </row>
    <row r="326" spans="15:16" hidden="1">
      <c r="O326" s="328"/>
      <c r="P326" s="5"/>
    </row>
    <row r="327" spans="15:16" hidden="1">
      <c r="O327" s="328"/>
      <c r="P327" s="5"/>
    </row>
    <row r="328" spans="15:16" hidden="1">
      <c r="O328" s="328"/>
      <c r="P328" s="5"/>
    </row>
    <row r="329" spans="15:16" hidden="1">
      <c r="O329" s="328"/>
      <c r="P329" s="5"/>
    </row>
    <row r="330" spans="15:16" hidden="1">
      <c r="O330" s="328"/>
      <c r="P330" s="5"/>
    </row>
    <row r="331" spans="15:16" hidden="1">
      <c r="O331" s="328"/>
      <c r="P331" s="5"/>
    </row>
    <row r="332" spans="15:16" hidden="1">
      <c r="O332" s="328"/>
      <c r="P332" s="5"/>
    </row>
    <row r="333" spans="15:16" hidden="1">
      <c r="O333" s="328"/>
      <c r="P333" s="5"/>
    </row>
    <row r="334" spans="15:16" hidden="1">
      <c r="O334" s="328"/>
      <c r="P334" s="5"/>
    </row>
    <row r="335" spans="15:16" hidden="1">
      <c r="O335" s="328"/>
      <c r="P335" s="5"/>
    </row>
    <row r="336" spans="15:16" hidden="1">
      <c r="O336" s="328"/>
      <c r="P336" s="5"/>
    </row>
    <row r="337" spans="15:16" hidden="1">
      <c r="O337" s="328"/>
      <c r="P337" s="5"/>
    </row>
    <row r="338" spans="15:16" hidden="1">
      <c r="O338" s="328"/>
      <c r="P338" s="5"/>
    </row>
    <row r="339" spans="15:16" hidden="1">
      <c r="O339" s="328"/>
      <c r="P339" s="5"/>
    </row>
    <row r="340" spans="15:16" hidden="1">
      <c r="O340" s="328"/>
      <c r="P340" s="5"/>
    </row>
    <row r="341" spans="15:16" hidden="1">
      <c r="O341" s="328"/>
      <c r="P341" s="5"/>
    </row>
    <row r="342" spans="15:16" hidden="1">
      <c r="O342" s="328"/>
      <c r="P342" s="5"/>
    </row>
    <row r="343" spans="15:16" hidden="1">
      <c r="O343" s="328"/>
      <c r="P343" s="5"/>
    </row>
    <row r="344" spans="15:16" hidden="1">
      <c r="O344" s="328"/>
      <c r="P344" s="5"/>
    </row>
    <row r="345" spans="15:16" hidden="1">
      <c r="O345" s="328"/>
      <c r="P345" s="5"/>
    </row>
    <row r="346" spans="15:16" hidden="1">
      <c r="O346" s="328"/>
      <c r="P346" s="5"/>
    </row>
    <row r="347" spans="15:16" hidden="1">
      <c r="O347" s="328"/>
      <c r="P347" s="5"/>
    </row>
    <row r="348" spans="15:16" hidden="1">
      <c r="O348" s="328"/>
      <c r="P348" s="5"/>
    </row>
    <row r="349" spans="15:16" hidden="1">
      <c r="O349" s="328"/>
      <c r="P349" s="5"/>
    </row>
    <row r="350" spans="15:16" hidden="1">
      <c r="O350" s="328"/>
      <c r="P350" s="5"/>
    </row>
    <row r="351" spans="15:16" hidden="1">
      <c r="O351" s="328"/>
      <c r="P351" s="5"/>
    </row>
    <row r="352" spans="15:16" hidden="1">
      <c r="O352" s="328"/>
      <c r="P352" s="5"/>
    </row>
    <row r="353" spans="15:16" hidden="1">
      <c r="O353" s="328"/>
      <c r="P353" s="5"/>
    </row>
    <row r="354" spans="15:16" hidden="1">
      <c r="O354" s="328"/>
      <c r="P354" s="5"/>
    </row>
    <row r="355" spans="15:16" hidden="1">
      <c r="O355" s="328"/>
      <c r="P355" s="5"/>
    </row>
    <row r="356" spans="15:16" hidden="1">
      <c r="O356" s="328"/>
      <c r="P356" s="5"/>
    </row>
    <row r="357" spans="15:16" hidden="1">
      <c r="O357" s="328"/>
      <c r="P357" s="5"/>
    </row>
    <row r="358" spans="15:16" hidden="1">
      <c r="O358" s="328"/>
      <c r="P358" s="5"/>
    </row>
    <row r="359" spans="15:16" hidden="1">
      <c r="O359" s="328"/>
      <c r="P359" s="5"/>
    </row>
    <row r="360" spans="15:16" hidden="1">
      <c r="O360" s="328"/>
      <c r="P360" s="5"/>
    </row>
    <row r="361" spans="15:16" hidden="1">
      <c r="O361" s="328"/>
      <c r="P361" s="5"/>
    </row>
    <row r="362" spans="15:16" hidden="1">
      <c r="O362" s="328"/>
      <c r="P362" s="5"/>
    </row>
    <row r="363" spans="15:16" hidden="1">
      <c r="O363" s="328"/>
      <c r="P363" s="5"/>
    </row>
    <row r="364" spans="15:16" hidden="1">
      <c r="O364" s="328"/>
      <c r="P364" s="5"/>
    </row>
    <row r="365" spans="15:16" hidden="1">
      <c r="O365" s="328"/>
      <c r="P365" s="5"/>
    </row>
    <row r="366" spans="15:16" hidden="1">
      <c r="O366" s="328"/>
      <c r="P366" s="5"/>
    </row>
    <row r="367" spans="15:16" hidden="1">
      <c r="O367" s="328"/>
      <c r="P367" s="5"/>
    </row>
    <row r="368" spans="15:16" hidden="1">
      <c r="O368" s="328"/>
      <c r="P368" s="5"/>
    </row>
    <row r="369" spans="15:16" hidden="1">
      <c r="O369" s="328"/>
      <c r="P369" s="5"/>
    </row>
    <row r="370" spans="15:16" hidden="1">
      <c r="O370" s="328"/>
      <c r="P370" s="5"/>
    </row>
    <row r="371" spans="15:16" hidden="1">
      <c r="O371" s="328"/>
      <c r="P371" s="5"/>
    </row>
    <row r="372" spans="15:16" hidden="1">
      <c r="O372" s="328"/>
      <c r="P372" s="5"/>
    </row>
    <row r="373" spans="15:16" hidden="1">
      <c r="O373" s="328"/>
      <c r="P373" s="5"/>
    </row>
    <row r="374" spans="15:16" hidden="1">
      <c r="O374" s="328"/>
      <c r="P374" s="5"/>
    </row>
    <row r="375" spans="15:16" hidden="1">
      <c r="O375" s="328"/>
      <c r="P375" s="5"/>
    </row>
    <row r="376" spans="15:16" hidden="1">
      <c r="O376" s="328"/>
      <c r="P376" s="5"/>
    </row>
    <row r="377" spans="15:16" hidden="1">
      <c r="O377" s="328"/>
      <c r="P377" s="5"/>
    </row>
    <row r="378" spans="15:16" hidden="1">
      <c r="O378" s="328"/>
      <c r="P378" s="5"/>
    </row>
    <row r="379" spans="15:16" hidden="1">
      <c r="O379" s="328"/>
      <c r="P379" s="5"/>
    </row>
    <row r="380" spans="15:16" hidden="1">
      <c r="O380" s="328"/>
      <c r="P380" s="5"/>
    </row>
    <row r="381" spans="15:16" hidden="1">
      <c r="O381" s="328"/>
      <c r="P381" s="5"/>
    </row>
    <row r="382" spans="15:16" hidden="1">
      <c r="O382" s="328"/>
      <c r="P382" s="5"/>
    </row>
    <row r="383" spans="15:16" hidden="1">
      <c r="O383" s="328"/>
      <c r="P383" s="5"/>
    </row>
    <row r="384" spans="15:16" hidden="1">
      <c r="O384" s="328"/>
      <c r="P384" s="5"/>
    </row>
    <row r="385" spans="15:16" hidden="1">
      <c r="O385" s="328"/>
      <c r="P385" s="5"/>
    </row>
    <row r="386" spans="15:16" hidden="1">
      <c r="O386" s="328"/>
      <c r="P386" s="5"/>
    </row>
    <row r="387" spans="15:16" hidden="1">
      <c r="O387" s="328"/>
      <c r="P387" s="5"/>
    </row>
    <row r="388" spans="15:16" hidden="1">
      <c r="O388" s="328"/>
      <c r="P388" s="5"/>
    </row>
    <row r="389" spans="15:16" hidden="1">
      <c r="O389" s="328"/>
      <c r="P389" s="5"/>
    </row>
    <row r="390" spans="15:16" hidden="1">
      <c r="O390" s="328"/>
      <c r="P390" s="5"/>
    </row>
    <row r="391" spans="15:16" hidden="1">
      <c r="O391" s="328"/>
      <c r="P391" s="5"/>
    </row>
    <row r="392" spans="15:16" hidden="1">
      <c r="O392" s="328"/>
      <c r="P392" s="5"/>
    </row>
    <row r="393" spans="15:16" hidden="1">
      <c r="O393" s="328"/>
      <c r="P393" s="5"/>
    </row>
    <row r="394" spans="15:16" hidden="1">
      <c r="O394" s="328"/>
      <c r="P394" s="5"/>
    </row>
    <row r="395" spans="15:16" hidden="1">
      <c r="O395" s="328"/>
      <c r="P395" s="5"/>
    </row>
    <row r="396" spans="15:16" hidden="1">
      <c r="O396" s="328"/>
      <c r="P396" s="5"/>
    </row>
    <row r="397" spans="15:16" hidden="1">
      <c r="O397" s="328"/>
      <c r="P397" s="5"/>
    </row>
    <row r="398" spans="15:16" hidden="1">
      <c r="O398" s="328"/>
      <c r="P398" s="5"/>
    </row>
    <row r="399" spans="15:16" hidden="1">
      <c r="O399" s="328"/>
      <c r="P399" s="5"/>
    </row>
    <row r="400" spans="15:16" hidden="1">
      <c r="O400" s="328"/>
      <c r="P400" s="5"/>
    </row>
    <row r="401" spans="15:16" hidden="1">
      <c r="O401" s="328"/>
      <c r="P401" s="5"/>
    </row>
    <row r="402" spans="15:16" hidden="1">
      <c r="O402" s="328"/>
      <c r="P402" s="5"/>
    </row>
    <row r="403" spans="15:16" hidden="1">
      <c r="O403" s="328"/>
      <c r="P403" s="5"/>
    </row>
    <row r="404" spans="15:16" hidden="1">
      <c r="O404" s="328"/>
      <c r="P404" s="5"/>
    </row>
    <row r="405" spans="15:16" hidden="1">
      <c r="O405" s="328"/>
      <c r="P405" s="5"/>
    </row>
    <row r="406" spans="15:16" hidden="1">
      <c r="O406" s="328"/>
      <c r="P406" s="5"/>
    </row>
    <row r="407" spans="15:16" hidden="1">
      <c r="O407" s="328"/>
      <c r="P407" s="5"/>
    </row>
    <row r="408" spans="15:16" hidden="1">
      <c r="O408" s="328"/>
      <c r="P408" s="5"/>
    </row>
    <row r="409" spans="15:16" hidden="1">
      <c r="O409" s="328"/>
      <c r="P409" s="5"/>
    </row>
    <row r="410" spans="15:16" hidden="1">
      <c r="O410" s="328"/>
      <c r="P410" s="5"/>
    </row>
    <row r="411" spans="15:16" hidden="1">
      <c r="O411" s="328"/>
      <c r="P411" s="5"/>
    </row>
    <row r="412" spans="15:16" hidden="1">
      <c r="O412" s="328"/>
      <c r="P412" s="5"/>
    </row>
    <row r="413" spans="15:16" hidden="1">
      <c r="O413" s="328"/>
      <c r="P413" s="5"/>
    </row>
    <row r="414" spans="15:16" hidden="1">
      <c r="O414" s="328"/>
      <c r="P414" s="5"/>
    </row>
    <row r="415" spans="15:16" hidden="1">
      <c r="O415" s="328"/>
      <c r="P415" s="5"/>
    </row>
    <row r="416" spans="15:16" hidden="1">
      <c r="O416" s="328"/>
      <c r="P416" s="5"/>
    </row>
    <row r="417" spans="15:16" hidden="1">
      <c r="O417" s="328"/>
      <c r="P417" s="5"/>
    </row>
    <row r="418" spans="15:16" hidden="1">
      <c r="O418" s="328"/>
      <c r="P418" s="5"/>
    </row>
    <row r="419" spans="15:16" hidden="1">
      <c r="O419" s="328"/>
      <c r="P419" s="5"/>
    </row>
    <row r="420" spans="15:16" hidden="1">
      <c r="O420" s="328"/>
      <c r="P420" s="5"/>
    </row>
    <row r="421" spans="15:16" hidden="1">
      <c r="O421" s="328"/>
      <c r="P421" s="5"/>
    </row>
    <row r="422" spans="15:16" hidden="1">
      <c r="O422" s="328"/>
      <c r="P422" s="5"/>
    </row>
    <row r="423" spans="15:16" hidden="1">
      <c r="O423" s="328"/>
      <c r="P423" s="5"/>
    </row>
    <row r="424" spans="15:16" hidden="1">
      <c r="O424" s="328"/>
      <c r="P424" s="5"/>
    </row>
    <row r="425" spans="15:16" hidden="1">
      <c r="O425" s="328"/>
      <c r="P425" s="5"/>
    </row>
    <row r="426" spans="15:16" hidden="1">
      <c r="O426" s="328"/>
      <c r="P426" s="5"/>
    </row>
    <row r="427" spans="15:16" hidden="1">
      <c r="O427" s="328"/>
      <c r="P427" s="5"/>
    </row>
    <row r="428" spans="15:16" hidden="1">
      <c r="O428" s="328"/>
      <c r="P428" s="5"/>
    </row>
    <row r="429" spans="15:16" hidden="1">
      <c r="O429" s="328"/>
      <c r="P429" s="5"/>
    </row>
    <row r="430" spans="15:16" hidden="1">
      <c r="O430" s="328"/>
      <c r="P430" s="5"/>
    </row>
    <row r="431" spans="15:16" hidden="1">
      <c r="O431" s="328"/>
      <c r="P431" s="5"/>
    </row>
    <row r="432" spans="15:16" hidden="1">
      <c r="O432" s="328"/>
      <c r="P432" s="5"/>
    </row>
    <row r="433" spans="15:16" hidden="1">
      <c r="O433" s="328"/>
      <c r="P433" s="5"/>
    </row>
    <row r="434" spans="15:16" hidden="1">
      <c r="O434" s="328"/>
      <c r="P434" s="5"/>
    </row>
    <row r="435" spans="15:16" hidden="1">
      <c r="O435" s="328"/>
      <c r="P435" s="5"/>
    </row>
    <row r="436" spans="15:16" hidden="1">
      <c r="O436" s="328"/>
      <c r="P436" s="5"/>
    </row>
    <row r="437" spans="15:16" hidden="1"/>
    <row r="438" spans="15:16" hidden="1"/>
    <row r="439" spans="15:16" hidden="1"/>
    <row r="440" spans="15:16" hidden="1"/>
    <row r="441" spans="15:16" hidden="1"/>
    <row r="442" spans="15:16" hidden="1"/>
    <row r="443" spans="15:16" hidden="1"/>
    <row r="444" spans="15:16" hidden="1"/>
    <row r="445" spans="15:16" hidden="1"/>
    <row r="446" spans="15:16" hidden="1"/>
    <row r="447" spans="15:16" hidden="1"/>
    <row r="448" spans="15:16"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sheetData>
  <sheetProtection algorithmName="SHA-512" hashValue="fqTSRez30ImEN0qoS0oy+TUkluS1E2BnsdCNUDmE+Qi+Z01+ZMsy3Yck0z+3uY0uYc3yIk2eUU968BHtCuZIiA==" saltValue="yfJ30Whl4D4enKwQBXmGlA==" spinCount="100000" sheet="1" objects="1" scenarios="1"/>
  <mergeCells count="41">
    <mergeCell ref="E111:E112"/>
    <mergeCell ref="G108:H108"/>
    <mergeCell ref="I111:M111"/>
    <mergeCell ref="G111:H112"/>
    <mergeCell ref="I112:M112"/>
    <mergeCell ref="I108:M108"/>
    <mergeCell ref="I110:M110"/>
    <mergeCell ref="I109:M109"/>
    <mergeCell ref="F109:F110"/>
    <mergeCell ref="F111:F112"/>
    <mergeCell ref="G109:H110"/>
    <mergeCell ref="D9:D13"/>
    <mergeCell ref="E9:M13"/>
    <mergeCell ref="E109:E110"/>
    <mergeCell ref="H50:M50"/>
    <mergeCell ref="F50:F52"/>
    <mergeCell ref="G107:H107"/>
    <mergeCell ref="I107:M107"/>
    <mergeCell ref="G92:H92"/>
    <mergeCell ref="G93:H93"/>
    <mergeCell ref="I92:M92"/>
    <mergeCell ref="I93:M93"/>
    <mergeCell ref="E99:M99"/>
    <mergeCell ref="F21:I21"/>
    <mergeCell ref="F22:I22"/>
    <mergeCell ref="G91:M91"/>
    <mergeCell ref="E8:M8"/>
    <mergeCell ref="E83:M83"/>
    <mergeCell ref="E42:M42"/>
    <mergeCell ref="G90:M90"/>
    <mergeCell ref="G75:L75"/>
    <mergeCell ref="G70:L70"/>
    <mergeCell ref="E62:M62"/>
    <mergeCell ref="G72:L72"/>
    <mergeCell ref="G73:L73"/>
    <mergeCell ref="G74:L74"/>
    <mergeCell ref="G71:L71"/>
    <mergeCell ref="F74:F75"/>
    <mergeCell ref="F53:F54"/>
    <mergeCell ref="F72:F73"/>
    <mergeCell ref="E67:M67"/>
  </mergeCells>
  <phoneticPr fontId="4"/>
  <conditionalFormatting sqref="I78">
    <cfRule type="expression" dxfId="50" priority="9" stopIfTrue="1">
      <formula>M70&gt;0</formula>
    </cfRule>
  </conditionalFormatting>
  <conditionalFormatting sqref="J78">
    <cfRule type="expression" dxfId="49" priority="10" stopIfTrue="1">
      <formula>M70&gt;0</formula>
    </cfRule>
  </conditionalFormatting>
  <conditionalFormatting sqref="K78">
    <cfRule type="expression" dxfId="48" priority="11" stopIfTrue="1">
      <formula>M70&gt;0</formula>
    </cfRule>
  </conditionalFormatting>
  <conditionalFormatting sqref="L78">
    <cfRule type="expression" dxfId="47" priority="12" stopIfTrue="1">
      <formula>M70&gt;0</formula>
    </cfRule>
  </conditionalFormatting>
  <conditionalFormatting sqref="M78">
    <cfRule type="expression" dxfId="46" priority="13" stopIfTrue="1">
      <formula>M70&gt;0</formula>
    </cfRule>
  </conditionalFormatting>
  <conditionalFormatting sqref="I115:M115 E107:E111">
    <cfRule type="expression" dxfId="45" priority="14" stopIfTrue="1">
      <formula>$M$98&gt;0</formula>
    </cfRule>
  </conditionalFormatting>
  <conditionalFormatting sqref="E91:E93 I95:M95">
    <cfRule type="expression" dxfId="44" priority="15" stopIfTrue="1">
      <formula>$M$82&gt;0</formula>
    </cfRule>
  </conditionalFormatting>
  <conditionalFormatting sqref="E50:E55 I58:M58">
    <cfRule type="expression" dxfId="43" priority="16" stopIfTrue="1">
      <formula>$M$41&gt;0</formula>
    </cfRule>
  </conditionalFormatting>
  <conditionalFormatting sqref="E70:E75">
    <cfRule type="expression" dxfId="42" priority="17" stopIfTrue="1">
      <formula>$M$61&gt;0</formula>
    </cfRule>
  </conditionalFormatting>
  <conditionalFormatting sqref="E19">
    <cfRule type="expression" dxfId="41" priority="6" stopIfTrue="1">
      <formula>$M$61&gt;0</formula>
    </cfRule>
  </conditionalFormatting>
  <conditionalFormatting sqref="E27">
    <cfRule type="expression" dxfId="40" priority="5" stopIfTrue="1">
      <formula>$M$61&gt;0</formula>
    </cfRule>
  </conditionalFormatting>
  <conditionalFormatting sqref="E33">
    <cfRule type="expression" dxfId="39" priority="4" stopIfTrue="1">
      <formula>$M$61&gt;0</formula>
    </cfRule>
  </conditionalFormatting>
  <dataValidations xWindow="203" yWindow="331" count="7">
    <dataValidation type="list" allowBlank="1" showInputMessage="1" showErrorMessage="1" sqref="E70:E75 E50:E55 E91:E93 E107:E111">
      <formula1>$U$3:$U$4</formula1>
    </dataValidation>
    <dataValidation type="textLength" operator="lessThanOrEqual" allowBlank="1" showInputMessage="1" showErrorMessage="1" sqref="F115:H115 F95:H95 F78:H78 F58:H58">
      <formula1>30</formula1>
    </dataValidation>
    <dataValidation type="textLength" operator="lessThanOrEqual" allowBlank="1" showInputMessage="1" showErrorMessage="1" sqref="I115 I95 I78 I58">
      <formula1>35</formula1>
    </dataValidation>
    <dataValidation allowBlank="1" showInputMessage="1" sqref="F90:F91"/>
    <dataValidation type="list" allowBlank="1" showInputMessage="1" showErrorMessage="1" sqref="E19">
      <formula1>$E$20:$E$25</formula1>
    </dataValidation>
    <dataValidation type="list" allowBlank="1" showInputMessage="1" showErrorMessage="1" sqref="E27">
      <formula1>$E$28:$E$31</formula1>
    </dataValidation>
    <dataValidation type="list" allowBlank="1" showInputMessage="1" showErrorMessage="1" sqref="E33">
      <formula1>$E$34:$E$37</formula1>
    </dataValidation>
  </dataValidations>
  <printOptions horizontalCentered="1"/>
  <pageMargins left="0.78740157480314965" right="0.78740157480314965" top="0.78740157480314965" bottom="0.78740157480314965" header="0.51181102362204722" footer="0.51181102362204722"/>
  <pageSetup paperSize="9" scale="70" fitToHeight="0" orientation="portrait" horizontalDpi="4294967293" verticalDpi="4294967293" r:id="rId1"/>
  <headerFooter alignWithMargins="0">
    <oddHeader>&amp;L&amp;F&amp;R&amp;A</oddHeader>
    <oddFooter>&amp;C&amp;P/&amp;N</oddFooter>
  </headerFooter>
  <rowBreaks count="1" manualBreakCount="1">
    <brk id="78" max="13" man="1"/>
  </rowBreaks>
  <drawing r:id="rId2"/>
  <extLst>
    <ext xmlns:x14="http://schemas.microsoft.com/office/spreadsheetml/2009/9/main" uri="{78C0D931-6437-407d-A8EE-F0AAD7539E65}">
      <x14:conditionalFormattings>
        <x14:conditionalFormatting xmlns:xm="http://schemas.microsoft.com/office/excel/2006/main">
          <x14:cfRule type="expression" priority="3" id="{37776243-37A3-4853-BBDA-899FB133067C}">
            <xm:f>採点LR2!$G$8=0</xm:f>
            <x14:dxf>
              <fill>
                <patternFill>
                  <bgColor theme="0" tint="-0.24994659260841701"/>
                </patternFill>
              </fill>
            </x14:dxf>
          </x14:cfRule>
          <xm:sqref>E19</xm:sqref>
        </x14:conditionalFormatting>
        <x14:conditionalFormatting xmlns:xm="http://schemas.microsoft.com/office/excel/2006/main">
          <x14:cfRule type="expression" priority="2" id="{D49C9DC5-72A5-4C2D-9588-FD7B62E9485D}">
            <xm:f>採点LR2!$H$8=0</xm:f>
            <x14:dxf>
              <fill>
                <patternFill>
                  <bgColor theme="0" tint="-0.24994659260841701"/>
                </patternFill>
              </fill>
            </x14:dxf>
          </x14:cfRule>
          <xm:sqref>E27</xm:sqref>
        </x14:conditionalFormatting>
        <x14:conditionalFormatting xmlns:xm="http://schemas.microsoft.com/office/excel/2006/main">
          <x14:cfRule type="expression" priority="1" id="{0FB9EF7B-BC92-462A-8512-DBE438E7ACF1}">
            <xm:f>採点LR2!$I$8=0</xm:f>
            <x14:dxf>
              <fill>
                <patternFill>
                  <bgColor theme="0" tint="-0.24994659260841701"/>
                </patternFill>
              </fill>
            </x14:dxf>
          </x14:cfRule>
          <xm:sqref>E33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C145"/>
  <sheetViews>
    <sheetView showGridLines="0" zoomScaleNormal="75" zoomScaleSheetLayoutView="100" workbookViewId="0">
      <selection activeCell="O18" sqref="O18"/>
    </sheetView>
  </sheetViews>
  <sheetFormatPr defaultColWidth="0" defaultRowHeight="18" customHeight="1" zeroHeight="1"/>
  <cols>
    <col min="1" max="1" width="2.25" style="988" customWidth="1"/>
    <col min="2" max="2" width="3.625" style="1008" customWidth="1"/>
    <col min="3" max="3" width="5.75" style="994" customWidth="1"/>
    <col min="4" max="4" width="4.625" style="993" customWidth="1"/>
    <col min="5" max="5" width="17.375" style="994" customWidth="1"/>
    <col min="6" max="6" width="9.75" style="994" customWidth="1"/>
    <col min="7" max="7" width="9.75" style="990" customWidth="1"/>
    <col min="8" max="8" width="0.5" style="990" customWidth="1"/>
    <col min="9" max="11" width="9.75" style="990" customWidth="1"/>
    <col min="12" max="12" width="9.75" style="989" customWidth="1"/>
    <col min="13" max="13" width="9.75" style="988" customWidth="1"/>
    <col min="14" max="14" width="3.125" style="988" customWidth="1"/>
    <col min="15" max="15" width="11.75" style="988" customWidth="1"/>
    <col min="16" max="16" width="9.5" style="988" customWidth="1"/>
    <col min="17" max="17" width="2" style="988" customWidth="1"/>
    <col min="18" max="18" width="4" style="988" hidden="1" customWidth="1"/>
    <col min="19" max="19" width="9.25" style="988" hidden="1" customWidth="1"/>
    <col min="20" max="255" width="9" style="988" hidden="1"/>
    <col min="256" max="16383" width="1.875" style="988" hidden="1"/>
    <col min="16384" max="16384" width="0" style="988" hidden="1"/>
  </cols>
  <sheetData>
    <row r="1" spans="1:28" s="458" customFormat="1" ht="12.6" customHeight="1" thickBot="1">
      <c r="A1" s="1151"/>
      <c r="B1" s="1151"/>
      <c r="C1" s="1151"/>
      <c r="D1" s="1152"/>
      <c r="E1" s="5"/>
      <c r="F1" s="1151"/>
      <c r="G1" s="1151"/>
      <c r="H1" s="1151"/>
      <c r="I1" s="1153"/>
      <c r="J1" s="1153"/>
      <c r="K1" s="1153"/>
      <c r="L1" s="1153"/>
      <c r="M1" s="1153"/>
      <c r="N1" s="1153"/>
      <c r="O1" s="1154"/>
      <c r="P1" s="1155"/>
      <c r="R1" s="508"/>
      <c r="S1" s="508"/>
      <c r="T1" s="701"/>
      <c r="U1" s="508"/>
      <c r="V1" s="701"/>
      <c r="W1" s="508"/>
      <c r="X1" s="508"/>
      <c r="Y1" s="508"/>
      <c r="Z1" s="457"/>
      <c r="AA1" s="457"/>
      <c r="AB1" s="457"/>
    </row>
    <row r="2" spans="1:28" s="458" customFormat="1" ht="17.25">
      <c r="A2" s="1151"/>
      <c r="B2" s="1156" t="str">
        <f>判定!M2</f>
        <v>CASBEE-戸建（新築）2018年版</v>
      </c>
      <c r="C2" s="1157"/>
      <c r="D2" s="1158"/>
      <c r="E2" s="1159"/>
      <c r="F2" s="1160"/>
      <c r="G2" s="1151"/>
      <c r="H2" s="1151"/>
      <c r="I2" s="1153"/>
      <c r="J2" s="1153"/>
      <c r="K2" s="1153"/>
      <c r="L2" s="2203" t="s">
        <v>107</v>
      </c>
      <c r="M2" s="2203"/>
      <c r="N2" s="1161" t="str">
        <f>メイン!C6</f>
        <v>CASBEE-戸建（新築）2018年版</v>
      </c>
      <c r="O2" s="1162"/>
      <c r="P2" s="1155"/>
      <c r="R2" s="508"/>
      <c r="S2" s="508"/>
      <c r="T2" s="701"/>
      <c r="U2" s="508"/>
      <c r="V2" s="701"/>
      <c r="W2" s="508"/>
      <c r="X2" s="508"/>
      <c r="Y2" s="508"/>
      <c r="Z2" s="457"/>
      <c r="AA2" s="457"/>
      <c r="AB2" s="457"/>
    </row>
    <row r="3" spans="1:28" s="458" customFormat="1" ht="15.75" customHeight="1" thickBot="1">
      <c r="A3" s="1151"/>
      <c r="B3" s="1163" t="str">
        <f>メイン!C10</f>
        <v>〇〇邸</v>
      </c>
      <c r="C3" s="1164"/>
      <c r="D3" s="1165"/>
      <c r="E3" s="1166"/>
      <c r="F3" s="1167"/>
      <c r="G3" s="1151"/>
      <c r="H3" s="1151"/>
      <c r="I3" s="1153"/>
      <c r="J3" s="1153"/>
      <c r="K3" s="1153"/>
      <c r="L3" s="2204" t="s">
        <v>54</v>
      </c>
      <c r="M3" s="2204"/>
      <c r="N3" s="1168" t="str">
        <f>メイン!C5</f>
        <v>CASBEE-DH_NC_2018v1.0</v>
      </c>
      <c r="O3" s="1169"/>
      <c r="P3" s="1155"/>
      <c r="R3" s="508"/>
      <c r="S3" s="508"/>
      <c r="T3" s="701"/>
      <c r="U3" s="508"/>
      <c r="V3" s="701"/>
      <c r="W3" s="508"/>
      <c r="X3" s="508"/>
      <c r="Y3" s="508"/>
      <c r="Z3" s="457"/>
      <c r="AA3" s="457"/>
      <c r="AB3" s="457"/>
    </row>
    <row r="4" spans="1:28" ht="15" customHeight="1" thickBot="1">
      <c r="A4" s="1170"/>
      <c r="B4" s="1171"/>
      <c r="C4" s="1170"/>
      <c r="D4" s="1172"/>
      <c r="E4" s="1170"/>
      <c r="F4" s="1170"/>
      <c r="G4" s="1171"/>
      <c r="H4" s="1171"/>
      <c r="I4" s="1171"/>
      <c r="J4" s="1171"/>
      <c r="K4" s="1171"/>
      <c r="L4" s="1173"/>
      <c r="M4" s="1170"/>
      <c r="N4" s="1170"/>
      <c r="O4" s="1170"/>
      <c r="P4" s="2164" t="str">
        <f>IF(判定!M1="","",判定!M1)</f>
        <v/>
      </c>
    </row>
    <row r="5" spans="1:28" ht="21" customHeight="1">
      <c r="A5" s="1170"/>
      <c r="B5" s="1827" t="s">
        <v>1040</v>
      </c>
      <c r="C5" s="1174"/>
      <c r="D5" s="1175"/>
      <c r="E5" s="1174"/>
      <c r="F5" s="1176"/>
      <c r="G5" s="1177"/>
      <c r="H5" s="1177"/>
      <c r="I5" s="1177"/>
      <c r="J5" s="1177"/>
      <c r="K5" s="1177"/>
      <c r="L5" s="1174"/>
      <c r="M5" s="1140"/>
      <c r="N5" s="1141"/>
      <c r="O5" s="1178"/>
      <c r="P5" s="1179"/>
    </row>
    <row r="6" spans="1:28" ht="7.5" customHeight="1">
      <c r="A6" s="1170"/>
      <c r="B6" s="1295"/>
      <c r="C6" s="1180"/>
      <c r="D6" s="1181"/>
      <c r="E6" s="1182"/>
      <c r="F6" s="1182"/>
      <c r="G6" s="1183"/>
      <c r="H6" s="1183"/>
      <c r="I6" s="1183"/>
      <c r="J6" s="1183"/>
      <c r="K6" s="1183"/>
      <c r="L6" s="1184"/>
      <c r="M6" s="1182"/>
      <c r="N6" s="1182"/>
      <c r="O6" s="1182"/>
      <c r="P6" s="1296"/>
    </row>
    <row r="7" spans="1:28" ht="18" customHeight="1">
      <c r="A7" s="1170"/>
      <c r="B7" s="1695" t="s">
        <v>1041</v>
      </c>
      <c r="C7" s="1182"/>
      <c r="D7" s="1181"/>
      <c r="E7" s="1182"/>
      <c r="F7" s="1182"/>
      <c r="G7" s="1199"/>
      <c r="H7" s="1199"/>
      <c r="I7" s="1182"/>
      <c r="J7" s="1199"/>
      <c r="K7" s="1199"/>
      <c r="L7" s="1199"/>
      <c r="M7" s="1182"/>
      <c r="N7" s="1199"/>
      <c r="O7" s="1199"/>
      <c r="P7" s="1298"/>
    </row>
    <row r="8" spans="1:28" ht="18" customHeight="1" thickBot="1">
      <c r="A8" s="1170"/>
      <c r="B8" s="1295"/>
      <c r="C8" s="1365" t="s">
        <v>1042</v>
      </c>
      <c r="D8" s="1181"/>
      <c r="E8" s="1182"/>
      <c r="F8" s="1182"/>
      <c r="G8" s="1199"/>
      <c r="H8" s="1199"/>
      <c r="I8" s="1189"/>
      <c r="J8" s="1189"/>
      <c r="K8" s="1189"/>
      <c r="L8" s="1187"/>
      <c r="M8" s="1202" t="s">
        <v>774</v>
      </c>
      <c r="N8" s="1182"/>
      <c r="O8" s="1187"/>
      <c r="P8" s="1298" t="s">
        <v>774</v>
      </c>
    </row>
    <row r="9" spans="1:28" ht="18" customHeight="1">
      <c r="A9" s="1170"/>
      <c r="B9" s="1295"/>
      <c r="C9" s="1182" t="s">
        <v>788</v>
      </c>
      <c r="D9" s="1181" t="s">
        <v>566</v>
      </c>
      <c r="E9" s="1182"/>
      <c r="F9" s="1182"/>
      <c r="G9" s="1199"/>
      <c r="H9" s="1199"/>
      <c r="I9" s="1182"/>
      <c r="J9" s="1199"/>
      <c r="K9" s="1202" t="s">
        <v>774</v>
      </c>
      <c r="L9" s="2199" t="s">
        <v>472</v>
      </c>
      <c r="M9" s="2200"/>
      <c r="N9" s="1199"/>
      <c r="O9" s="2201" t="s">
        <v>258</v>
      </c>
      <c r="P9" s="2202"/>
      <c r="Q9" s="990"/>
    </row>
    <row r="10" spans="1:28" ht="18" customHeight="1">
      <c r="A10" s="1170"/>
      <c r="B10" s="1295"/>
      <c r="C10" s="1193">
        <v>1</v>
      </c>
      <c r="D10" s="1213" t="s">
        <v>51</v>
      </c>
      <c r="E10" s="1214"/>
      <c r="F10" s="2178" t="s">
        <v>331</v>
      </c>
      <c r="G10" s="2179" t="s">
        <v>1320</v>
      </c>
      <c r="H10" s="1199"/>
      <c r="I10" s="1190" t="s">
        <v>255</v>
      </c>
      <c r="J10" s="1190" t="s">
        <v>256</v>
      </c>
      <c r="K10" s="1191" t="s">
        <v>257</v>
      </c>
      <c r="L10" s="1288" t="s">
        <v>259</v>
      </c>
      <c r="M10" s="1289" t="s">
        <v>775</v>
      </c>
      <c r="N10" s="1182"/>
      <c r="O10" s="1288" t="s">
        <v>259</v>
      </c>
      <c r="P10" s="1289" t="s">
        <v>775</v>
      </c>
      <c r="Q10" s="990"/>
    </row>
    <row r="11" spans="1:28" ht="18" customHeight="1">
      <c r="A11" s="1170"/>
      <c r="B11" s="1295"/>
      <c r="C11" s="1197"/>
      <c r="D11" s="1215">
        <v>1.1000000000000001</v>
      </c>
      <c r="E11" s="1214" t="s">
        <v>1205</v>
      </c>
      <c r="F11" s="2177">
        <f>判定!E25</f>
        <v>1</v>
      </c>
      <c r="G11" s="2082">
        <f>判定!G25</f>
        <v>0</v>
      </c>
      <c r="H11" s="2068"/>
      <c r="I11" s="2082">
        <f>VLOOKUP($R11,CO2データ!$H$6:$Q$53,2)</f>
        <v>6.13</v>
      </c>
      <c r="J11" s="2082">
        <f>VLOOKUP($R11,CO2データ!$H$6:$Q$53,3)</f>
        <v>3.06</v>
      </c>
      <c r="K11" s="2083">
        <f>VLOOKUP($R11,CO2データ!$H$6:$Q$53,4)</f>
        <v>2.04</v>
      </c>
      <c r="L11" s="1195">
        <f>L38</f>
        <v>3</v>
      </c>
      <c r="M11" s="2173">
        <f>IF(L11&gt;=4.5,$K11,IF(L11&gt;=3.5,$J11,IF(L11&gt;=2.5,$I11,IF(L11&gt;=1.5,$H11,$F11))))*(1-G11)</f>
        <v>6.13</v>
      </c>
      <c r="N11" s="1182"/>
      <c r="O11" s="1195">
        <v>3</v>
      </c>
      <c r="P11" s="2173">
        <f>CO2データ!I36</f>
        <v>6.13</v>
      </c>
      <c r="R11" s="988">
        <f>R38</f>
        <v>333</v>
      </c>
    </row>
    <row r="12" spans="1:28" ht="18" customHeight="1">
      <c r="A12" s="1170"/>
      <c r="B12" s="1295"/>
      <c r="C12" s="1197"/>
      <c r="D12" s="1220"/>
      <c r="E12" s="1221" t="s">
        <v>354</v>
      </c>
      <c r="F12" s="2177">
        <f>判定!E26</f>
        <v>0</v>
      </c>
      <c r="G12" s="2082">
        <f>判定!G26</f>
        <v>0</v>
      </c>
      <c r="H12" s="2068"/>
      <c r="I12" s="2082">
        <f>VLOOKUP($R12,CO2データ!$H$6:$Q$53,5)</f>
        <v>13.56</v>
      </c>
      <c r="J12" s="2082">
        <f>VLOOKUP($R12,CO2データ!$H$6:$Q$53,6)</f>
        <v>6.78</v>
      </c>
      <c r="K12" s="2083">
        <f>VLOOKUP($R12,CO2データ!$H$6:$Q$53,7)</f>
        <v>4.5199999999999996</v>
      </c>
      <c r="L12" s="1195">
        <f>L11</f>
        <v>3</v>
      </c>
      <c r="M12" s="2173">
        <f>IF(L12&gt;=4.5,$K12,IF(L12&gt;=3.5,$J12,IF(L12&gt;=2.5,$I12,IF(L12&gt;=1.5,$H12,$F12))))*(1-G12)</f>
        <v>13.56</v>
      </c>
      <c r="N12" s="1182"/>
      <c r="O12" s="1195">
        <v>3</v>
      </c>
      <c r="P12" s="2173">
        <f>CO2データ!L36</f>
        <v>13.56</v>
      </c>
      <c r="R12" s="988">
        <f>R11</f>
        <v>333</v>
      </c>
    </row>
    <row r="13" spans="1:28" ht="18" customHeight="1" thickBot="1">
      <c r="A13" s="1170"/>
      <c r="B13" s="1295"/>
      <c r="C13" s="1197"/>
      <c r="D13" s="1222"/>
      <c r="E13" s="1224" t="s">
        <v>355</v>
      </c>
      <c r="F13" s="2177">
        <f>判定!E27</f>
        <v>0</v>
      </c>
      <c r="G13" s="2082">
        <f>判定!G27</f>
        <v>0</v>
      </c>
      <c r="H13" s="2068"/>
      <c r="I13" s="2082">
        <f>VLOOKUP($R13,CO2データ!$H$6:$Q$53,8)</f>
        <v>13.28</v>
      </c>
      <c r="J13" s="2082">
        <f>VLOOKUP($R13,CO2データ!$H$6:$Q$53,9)</f>
        <v>6.64</v>
      </c>
      <c r="K13" s="2083">
        <f>VLOOKUP($R13,CO2データ!$H$6:$Q$53,10)</f>
        <v>4.43</v>
      </c>
      <c r="L13" s="1195">
        <f>L11</f>
        <v>3</v>
      </c>
      <c r="M13" s="2174">
        <f>IF(L13&gt;=4.5,$K13,IF(L13&gt;=3.5,$J13,IF(L13&gt;=2.5,$I13,IF(L13&gt;=1.5,$H13,$F13))))*(1-G13)</f>
        <v>13.28</v>
      </c>
      <c r="N13" s="1182"/>
      <c r="O13" s="1195">
        <v>3</v>
      </c>
      <c r="P13" s="2174">
        <f>CO2データ!O36</f>
        <v>13.28</v>
      </c>
      <c r="R13" s="988">
        <f>R11</f>
        <v>333</v>
      </c>
    </row>
    <row r="14" spans="1:28" ht="18" customHeight="1">
      <c r="A14" s="1170"/>
      <c r="B14" s="1295"/>
      <c r="C14" s="1197"/>
      <c r="D14" s="1225">
        <v>1.2</v>
      </c>
      <c r="E14" s="1203" t="s">
        <v>52</v>
      </c>
      <c r="F14" s="1203"/>
      <c r="G14" s="2084"/>
      <c r="H14" s="2068"/>
      <c r="I14" s="2068"/>
      <c r="J14" s="2068"/>
      <c r="K14" s="2068"/>
      <c r="L14" s="1282">
        <f>判定!M46</f>
        <v>3</v>
      </c>
      <c r="M14" s="1182"/>
      <c r="N14" s="1182"/>
      <c r="O14" s="1284">
        <v>3</v>
      </c>
      <c r="P14" s="1299"/>
    </row>
    <row r="15" spans="1:28" ht="18" customHeight="1" thickBot="1">
      <c r="A15" s="1170"/>
      <c r="B15" s="1295"/>
      <c r="C15" s="1198"/>
      <c r="D15" s="1225">
        <v>1.3</v>
      </c>
      <c r="E15" s="1203" t="s">
        <v>334</v>
      </c>
      <c r="F15" s="1203"/>
      <c r="G15" s="2084"/>
      <c r="H15" s="2068"/>
      <c r="I15" s="2068"/>
      <c r="J15" s="2068"/>
      <c r="K15" s="2068"/>
      <c r="L15" s="1283">
        <f>判定!M49</f>
        <v>3</v>
      </c>
      <c r="M15" s="1182"/>
      <c r="N15" s="1182"/>
      <c r="O15" s="1285">
        <v>3</v>
      </c>
      <c r="P15" s="1300"/>
    </row>
    <row r="16" spans="1:28" ht="18" customHeight="1" thickBot="1">
      <c r="A16" s="1170"/>
      <c r="B16" s="1295"/>
      <c r="C16" s="1193">
        <v>2</v>
      </c>
      <c r="D16" s="1213" t="s">
        <v>571</v>
      </c>
      <c r="E16" s="1214"/>
      <c r="F16" s="1214"/>
      <c r="G16" s="2085"/>
      <c r="H16" s="2068"/>
      <c r="I16" s="2068"/>
      <c r="J16" s="2068"/>
      <c r="K16" s="2068"/>
      <c r="L16" s="2086"/>
      <c r="M16" s="1182"/>
      <c r="N16" s="1182"/>
      <c r="O16" s="1228"/>
      <c r="P16" s="1296"/>
    </row>
    <row r="17" spans="1:16" ht="17.100000000000001" customHeight="1" thickBot="1">
      <c r="A17" s="1170"/>
      <c r="B17" s="1295"/>
      <c r="C17" s="1198"/>
      <c r="D17" s="1225">
        <v>2.2000000000000002</v>
      </c>
      <c r="E17" s="1203" t="s">
        <v>300</v>
      </c>
      <c r="F17" s="1203"/>
      <c r="G17" s="2084"/>
      <c r="H17" s="2068"/>
      <c r="I17" s="2068"/>
      <c r="J17" s="2068"/>
      <c r="K17" s="2068"/>
      <c r="L17" s="1287">
        <f>判定!M54</f>
        <v>3</v>
      </c>
      <c r="M17" s="1182"/>
      <c r="N17" s="1182"/>
      <c r="O17" s="1287">
        <v>3</v>
      </c>
      <c r="P17" s="1296"/>
    </row>
    <row r="18" spans="1:16" ht="13.5">
      <c r="A18" s="1170"/>
      <c r="B18" s="1295"/>
      <c r="C18" s="1182" t="s">
        <v>1321</v>
      </c>
      <c r="D18" s="1181"/>
      <c r="E18" s="1182"/>
      <c r="F18" s="1182"/>
      <c r="G18" s="2068"/>
      <c r="H18" s="2068"/>
      <c r="I18" s="2068"/>
      <c r="J18" s="2068"/>
      <c r="K18" s="2068"/>
      <c r="L18" s="2068"/>
      <c r="M18" s="2068"/>
      <c r="N18" s="1182"/>
      <c r="O18" s="1182"/>
      <c r="P18" s="1296"/>
    </row>
    <row r="19" spans="1:16" ht="13.5">
      <c r="A19" s="1170"/>
      <c r="B19" s="1295"/>
      <c r="C19" s="1182"/>
      <c r="D19" s="1181"/>
      <c r="E19" s="1182"/>
      <c r="F19" s="1182"/>
      <c r="G19" s="2068"/>
      <c r="H19" s="2068"/>
      <c r="I19" s="2068"/>
      <c r="J19" s="2068"/>
      <c r="K19" s="2068"/>
      <c r="L19" s="2068"/>
      <c r="M19" s="2068"/>
      <c r="N19" s="1182"/>
      <c r="O19" s="1182"/>
      <c r="P19" s="1296"/>
    </row>
    <row r="20" spans="1:16" ht="13.5">
      <c r="A20" s="1170"/>
      <c r="B20" s="1295"/>
      <c r="C20" s="1365" t="s">
        <v>1309</v>
      </c>
      <c r="D20" s="1181"/>
      <c r="E20" s="1182"/>
      <c r="F20" s="1182"/>
      <c r="G20" s="1182"/>
      <c r="H20" s="2068"/>
      <c r="I20" s="2068"/>
      <c r="J20" s="2068"/>
      <c r="K20" s="2068"/>
      <c r="L20" s="1229"/>
      <c r="M20" s="2069"/>
      <c r="N20" s="1182"/>
      <c r="O20" s="1228"/>
      <c r="P20" s="1296"/>
    </row>
    <row r="21" spans="1:16" ht="14.25" hidden="1">
      <c r="A21" s="1170"/>
      <c r="B21" s="1295"/>
      <c r="C21" s="1188"/>
      <c r="D21" s="1181"/>
      <c r="E21" s="1707" t="s">
        <v>1013</v>
      </c>
      <c r="F21" s="1719">
        <f>G56</f>
        <v>0</v>
      </c>
      <c r="G21" s="1796" t="s">
        <v>1</v>
      </c>
      <c r="H21" s="2068"/>
      <c r="I21" s="1182"/>
      <c r="J21" s="2068"/>
      <c r="K21" s="1202"/>
      <c r="L21" s="2199" t="s">
        <v>472</v>
      </c>
      <c r="M21" s="2200"/>
      <c r="N21" s="1182"/>
      <c r="O21" s="1228"/>
      <c r="P21" s="1296"/>
    </row>
    <row r="22" spans="1:16" ht="14.25" hidden="1">
      <c r="A22" s="1170"/>
      <c r="B22" s="1295"/>
      <c r="C22" s="1188"/>
      <c r="D22" s="1181"/>
      <c r="E22" s="1182"/>
      <c r="F22" s="1182"/>
      <c r="G22" s="2068"/>
      <c r="H22" s="2068"/>
      <c r="I22" s="1190" t="s">
        <v>255</v>
      </c>
      <c r="J22" s="1190" t="s">
        <v>256</v>
      </c>
      <c r="K22" s="1191" t="s">
        <v>257</v>
      </c>
      <c r="L22" s="1288" t="s">
        <v>259</v>
      </c>
      <c r="M22" s="1805" t="s">
        <v>1022</v>
      </c>
      <c r="N22" s="1182"/>
      <c r="O22" s="1228"/>
      <c r="P22" s="1296"/>
    </row>
    <row r="23" spans="1:16" ht="17.25" hidden="1" thickBot="1">
      <c r="A23" s="1170"/>
      <c r="B23" s="1295"/>
      <c r="C23" s="1188"/>
      <c r="D23" s="1181" t="s">
        <v>339</v>
      </c>
      <c r="E23" s="1182"/>
      <c r="F23" s="1182" t="s">
        <v>1295</v>
      </c>
      <c r="G23" s="2068"/>
      <c r="H23" s="2068"/>
      <c r="I23" s="2070">
        <f>CO2データ!I267</f>
        <v>30</v>
      </c>
      <c r="J23" s="2070">
        <f>CO2データ!J267</f>
        <v>60</v>
      </c>
      <c r="K23" s="2070">
        <f>CO2データ!K267</f>
        <v>90</v>
      </c>
      <c r="L23" s="1200">
        <f>L11</f>
        <v>3</v>
      </c>
      <c r="M23" s="2071">
        <f>IF(L23&gt;=4.5,$K23,IF(L23&gt;=3.5,$J23,IF(L23&gt;=2.5,$I23,IF(L23&gt;=1.5,$H23,$G23))))</f>
        <v>30</v>
      </c>
      <c r="N23" s="1182"/>
      <c r="O23" s="1228"/>
      <c r="P23" s="1296"/>
    </row>
    <row r="24" spans="1:16" ht="14.25">
      <c r="A24" s="1170"/>
      <c r="B24" s="1295"/>
      <c r="C24" s="1188"/>
      <c r="D24" s="1188"/>
      <c r="E24" s="1188"/>
      <c r="F24" s="2072" t="s">
        <v>1202</v>
      </c>
      <c r="G24" s="2072" t="s">
        <v>1203</v>
      </c>
      <c r="H24" s="2073"/>
      <c r="I24" s="2072" t="s">
        <v>1136</v>
      </c>
      <c r="J24" s="2072" t="s">
        <v>775</v>
      </c>
      <c r="K24" s="2074" t="s">
        <v>1199</v>
      </c>
      <c r="L24" s="1878"/>
      <c r="M24" s="2075"/>
      <c r="N24" s="1182"/>
      <c r="O24" s="1228"/>
      <c r="P24" s="1296"/>
    </row>
    <row r="25" spans="1:16" ht="14.25">
      <c r="A25" s="1170"/>
      <c r="B25" s="1295"/>
      <c r="C25" s="1188"/>
      <c r="D25" s="1181"/>
      <c r="E25" s="1182"/>
      <c r="F25" s="2076" t="s">
        <v>650</v>
      </c>
      <c r="G25" s="2076" t="s">
        <v>1021</v>
      </c>
      <c r="H25" s="2073"/>
      <c r="I25" s="2076" t="s">
        <v>1296</v>
      </c>
      <c r="J25" s="2076" t="s">
        <v>1297</v>
      </c>
      <c r="K25" s="2077" t="s">
        <v>1200</v>
      </c>
      <c r="L25" s="2073"/>
      <c r="M25" s="1879" t="s">
        <v>774</v>
      </c>
      <c r="N25" s="1182"/>
      <c r="O25" s="1228"/>
      <c r="P25" s="1296"/>
    </row>
    <row r="26" spans="1:16" ht="18.95" customHeight="1">
      <c r="A26" s="1170"/>
      <c r="B26" s="1295"/>
      <c r="C26" s="1188"/>
      <c r="D26" s="1181" t="s">
        <v>973</v>
      </c>
      <c r="E26" s="1182"/>
      <c r="F26" s="1812">
        <f>IF(採点LR1!J29=採点LR1!T28,判定!J64,0)</f>
        <v>32879</v>
      </c>
      <c r="G26" s="2078">
        <v>3</v>
      </c>
      <c r="H26" s="2073"/>
      <c r="I26" s="2079" t="e">
        <f>CO2データ!K236</f>
        <v>#VALUE!</v>
      </c>
      <c r="J26" s="2080" t="e">
        <f>F26*G26*I26</f>
        <v>#VALUE!</v>
      </c>
      <c r="K26" s="2078">
        <f>判定!M20</f>
        <v>30</v>
      </c>
      <c r="L26" s="1881"/>
      <c r="M26" s="2081" t="e">
        <f>J26/K26/$F$21</f>
        <v>#VALUE!</v>
      </c>
      <c r="N26" s="1182"/>
      <c r="O26" s="1228"/>
      <c r="P26" s="1303"/>
    </row>
    <row r="27" spans="1:16" ht="14.25" hidden="1">
      <c r="A27" s="1170"/>
      <c r="B27" s="1295"/>
      <c r="C27" s="1188"/>
      <c r="D27" s="1181" t="s">
        <v>976</v>
      </c>
      <c r="E27" s="1182"/>
      <c r="F27" s="1812"/>
      <c r="G27" s="1877"/>
      <c r="H27" s="2073"/>
      <c r="I27" s="2087"/>
      <c r="J27" s="1880">
        <f>CO2データ!F213</f>
        <v>5.09</v>
      </c>
      <c r="K27" s="2073"/>
      <c r="L27" s="1881"/>
      <c r="M27" s="2081"/>
      <c r="N27" s="1182"/>
      <c r="O27" s="1228"/>
      <c r="P27" s="1303"/>
    </row>
    <row r="28" spans="1:16" ht="14.25" hidden="1">
      <c r="A28" s="1170"/>
      <c r="B28" s="1295"/>
      <c r="C28" s="1188"/>
      <c r="D28" s="1181" t="s">
        <v>977</v>
      </c>
      <c r="E28" s="1182"/>
      <c r="F28" s="1812"/>
      <c r="G28" s="1877"/>
      <c r="H28" s="2073"/>
      <c r="I28" s="2087"/>
      <c r="J28" s="1880">
        <f>CO2データ!F214</f>
        <v>5.09</v>
      </c>
      <c r="K28" s="2073"/>
      <c r="L28" s="1881"/>
      <c r="M28" s="2081"/>
      <c r="N28" s="1182"/>
      <c r="O28" s="1228"/>
      <c r="P28" s="1303"/>
    </row>
    <row r="29" spans="1:16" ht="14.25" hidden="1">
      <c r="A29" s="1170"/>
      <c r="B29" s="1295"/>
      <c r="C29" s="1188"/>
      <c r="D29" s="1181" t="s">
        <v>1019</v>
      </c>
      <c r="E29" s="1182"/>
      <c r="F29" s="1812"/>
      <c r="G29" s="1877"/>
      <c r="H29" s="2073"/>
      <c r="I29" s="2087"/>
      <c r="J29" s="1880">
        <f>CO2データ!F215</f>
        <v>5.09</v>
      </c>
      <c r="K29" s="2073"/>
      <c r="L29" s="1881"/>
      <c r="M29" s="2081"/>
      <c r="N29" s="1182"/>
      <c r="O29" s="1228"/>
      <c r="P29" s="1303"/>
    </row>
    <row r="30" spans="1:16" ht="15" thickBot="1">
      <c r="A30" s="1170"/>
      <c r="B30" s="1295"/>
      <c r="C30" s="1188"/>
      <c r="D30" s="1188"/>
      <c r="E30" s="1188"/>
      <c r="F30" s="1188"/>
      <c r="G30" s="1188"/>
      <c r="H30" s="1188"/>
      <c r="I30" s="2068"/>
      <c r="J30" s="2068"/>
      <c r="K30" s="2068"/>
      <c r="L30" s="2068"/>
      <c r="M30" s="2068"/>
      <c r="N30" s="1182"/>
      <c r="O30" s="1228"/>
      <c r="P30" s="1303"/>
    </row>
    <row r="31" spans="1:16" ht="14.25" thickBot="1">
      <c r="A31" s="1170"/>
      <c r="B31" s="1295"/>
      <c r="C31" s="1365" t="s">
        <v>1204</v>
      </c>
      <c r="D31" s="1181"/>
      <c r="E31" s="1182"/>
      <c r="F31" s="1182"/>
      <c r="G31" s="1182"/>
      <c r="H31" s="2068"/>
      <c r="I31" s="2068"/>
      <c r="J31" s="2068"/>
      <c r="K31" s="2068"/>
      <c r="L31" s="1229"/>
      <c r="M31" s="2088" t="e">
        <f>M11*F11+M12*F12+M13*F13+SUM(M26:M29)</f>
        <v>#VALUE!</v>
      </c>
      <c r="N31" s="1182"/>
      <c r="O31" s="1228"/>
      <c r="P31" s="1230">
        <f>P11*F11+P12*F12+P13*F13</f>
        <v>6.13</v>
      </c>
    </row>
    <row r="32" spans="1:16" ht="13.5">
      <c r="A32" s="1170"/>
      <c r="B32" s="1295"/>
      <c r="C32" s="1182"/>
      <c r="D32" s="1181"/>
      <c r="E32" s="1182"/>
      <c r="F32" s="1182"/>
      <c r="G32" s="1182"/>
      <c r="H32" s="2068"/>
      <c r="I32" s="2172"/>
      <c r="J32" s="2172"/>
      <c r="K32" s="2068"/>
      <c r="L32" s="1229"/>
      <c r="M32" s="1231"/>
      <c r="N32" s="1182"/>
      <c r="O32" s="1228"/>
      <c r="P32" s="1303"/>
    </row>
    <row r="33" spans="1:18" ht="12.95" hidden="1" customHeight="1">
      <c r="A33" s="1170"/>
      <c r="B33" s="1295"/>
      <c r="C33" s="1182"/>
      <c r="D33" s="1181"/>
      <c r="E33" s="1182"/>
      <c r="F33" s="1182" t="s">
        <v>336</v>
      </c>
      <c r="G33" s="1199"/>
      <c r="H33" s="1199"/>
      <c r="I33" s="2171">
        <f>CO2データ!I267</f>
        <v>30</v>
      </c>
      <c r="J33" s="2171">
        <f>CO2データ!J267</f>
        <v>60</v>
      </c>
      <c r="K33" s="1232">
        <f>CO2データ!K267</f>
        <v>90</v>
      </c>
      <c r="L33" s="1219">
        <f>L38</f>
        <v>3</v>
      </c>
      <c r="M33" s="1233">
        <f>IF(L33&gt;=4.5,$K33,IF(L33&gt;=3.5,$J33,IF(L33&gt;=2.5,$I33,IF(L33&gt;=1.5,$H33,$G33))))</f>
        <v>30</v>
      </c>
      <c r="N33" s="1182"/>
      <c r="O33" s="1219">
        <v>3</v>
      </c>
      <c r="P33" s="1302">
        <f>CO2データ!I267</f>
        <v>30</v>
      </c>
    </row>
    <row r="34" spans="1:18" ht="16.5">
      <c r="A34" s="1170"/>
      <c r="B34" s="1695" t="s">
        <v>1043</v>
      </c>
      <c r="C34" s="1182"/>
      <c r="D34" s="1181"/>
      <c r="E34" s="1182"/>
      <c r="F34" s="1182"/>
      <c r="G34" s="1199"/>
      <c r="H34" s="1199"/>
      <c r="I34" s="1199"/>
      <c r="J34" s="1199"/>
      <c r="K34" s="1199"/>
      <c r="L34" s="1196"/>
      <c r="M34" s="1182"/>
      <c r="N34" s="1182"/>
      <c r="O34" s="1196"/>
      <c r="P34" s="1296"/>
    </row>
    <row r="35" spans="1:18" ht="15" thickBot="1">
      <c r="A35" s="1170"/>
      <c r="B35" s="1297"/>
      <c r="C35" s="1365" t="s">
        <v>1044</v>
      </c>
      <c r="D35" s="1181"/>
      <c r="E35" s="1182"/>
      <c r="F35" s="1182"/>
      <c r="G35" s="1199"/>
      <c r="H35" s="1199"/>
      <c r="I35" s="1199"/>
      <c r="J35" s="1199"/>
      <c r="K35" s="1199"/>
      <c r="L35" s="1196"/>
      <c r="M35" s="1202" t="s">
        <v>774</v>
      </c>
      <c r="N35" s="1182"/>
      <c r="O35" s="1196"/>
      <c r="P35" s="1298" t="s">
        <v>774</v>
      </c>
    </row>
    <row r="36" spans="1:18" ht="18" customHeight="1">
      <c r="A36" s="1170"/>
      <c r="B36" s="1295"/>
      <c r="C36" s="1182" t="s">
        <v>788</v>
      </c>
      <c r="D36" s="1181" t="s">
        <v>566</v>
      </c>
      <c r="E36" s="1182"/>
      <c r="F36" s="1182"/>
      <c r="G36" s="1199"/>
      <c r="H36" s="1199"/>
      <c r="I36" s="1182"/>
      <c r="J36" s="1199"/>
      <c r="K36" s="1202" t="s">
        <v>774</v>
      </c>
      <c r="L36" s="2199" t="s">
        <v>472</v>
      </c>
      <c r="M36" s="2200"/>
      <c r="N36" s="1199"/>
      <c r="O36" s="2201" t="s">
        <v>258</v>
      </c>
      <c r="P36" s="2202"/>
      <c r="Q36" s="990"/>
    </row>
    <row r="37" spans="1:18" ht="18" customHeight="1">
      <c r="A37" s="1170"/>
      <c r="B37" s="1295"/>
      <c r="C37" s="1193">
        <v>1</v>
      </c>
      <c r="D37" s="1213" t="s">
        <v>51</v>
      </c>
      <c r="E37" s="1214"/>
      <c r="F37" s="1214"/>
      <c r="G37" s="2178" t="s">
        <v>331</v>
      </c>
      <c r="H37" s="1199"/>
      <c r="I37" s="1190" t="s">
        <v>255</v>
      </c>
      <c r="J37" s="1190" t="s">
        <v>256</v>
      </c>
      <c r="K37" s="1191" t="s">
        <v>257</v>
      </c>
      <c r="L37" s="1288" t="s">
        <v>259</v>
      </c>
      <c r="M37" s="1289" t="s">
        <v>775</v>
      </c>
      <c r="N37" s="1182"/>
      <c r="O37" s="1288" t="s">
        <v>259</v>
      </c>
      <c r="P37" s="1289" t="s">
        <v>775</v>
      </c>
      <c r="Q37" s="990"/>
    </row>
    <row r="38" spans="1:18" ht="18" customHeight="1">
      <c r="A38" s="1170"/>
      <c r="B38" s="1295"/>
      <c r="C38" s="1197"/>
      <c r="D38" s="1215">
        <v>1.1000000000000001</v>
      </c>
      <c r="E38" s="1214" t="s">
        <v>226</v>
      </c>
      <c r="F38" s="1216" t="s">
        <v>353</v>
      </c>
      <c r="G38" s="1813">
        <f>F11</f>
        <v>1</v>
      </c>
      <c r="H38" s="1199"/>
      <c r="I38" s="1218">
        <f>VLOOKUP($R38,CO2データ!$H$58:$Q$105,2)</f>
        <v>2.37</v>
      </c>
      <c r="J38" s="1218">
        <f>VLOOKUP($R38,CO2データ!$H$58:$Q$105,3)</f>
        <v>4.0199999999999996</v>
      </c>
      <c r="K38" s="1278">
        <f>VLOOKUP($R38,CO2データ!$H$58:$Q$105,4)</f>
        <v>4.9400000000000004</v>
      </c>
      <c r="L38" s="1195">
        <f>判定!M18</f>
        <v>3</v>
      </c>
      <c r="M38" s="2175">
        <f>IF(L38&gt;=4.5,$K38,IF(L38&gt;=3.5,$J38,IF(L38&gt;=2.5,$I38,IF(L38&gt;=1.5,$H38,$G38))))</f>
        <v>2.37</v>
      </c>
      <c r="N38" s="1182"/>
      <c r="O38" s="1195">
        <v>3</v>
      </c>
      <c r="P38" s="2175">
        <f>CO2データ!I88</f>
        <v>2.37</v>
      </c>
      <c r="R38" s="1007">
        <f>L14*100+L15*10+L17</f>
        <v>333</v>
      </c>
    </row>
    <row r="39" spans="1:18" ht="18" customHeight="1">
      <c r="A39" s="1170"/>
      <c r="B39" s="1295"/>
      <c r="C39" s="1197"/>
      <c r="D39" s="1220"/>
      <c r="E39" s="1182"/>
      <c r="F39" s="1221" t="s">
        <v>354</v>
      </c>
      <c r="G39" s="1813">
        <f>F12</f>
        <v>0</v>
      </c>
      <c r="H39" s="1199"/>
      <c r="I39" s="1218">
        <f>VLOOKUP($R39,CO2データ!$H$58:$Q$105,5)</f>
        <v>2.7</v>
      </c>
      <c r="J39" s="1218">
        <f>VLOOKUP($R39,CO2データ!$H$58:$Q$105,6)</f>
        <v>4.79</v>
      </c>
      <c r="K39" s="1278">
        <f>VLOOKUP($R39,CO2データ!$H$58:$Q$105,7)</f>
        <v>5.8699999999999992</v>
      </c>
      <c r="L39" s="1195">
        <f>L38</f>
        <v>3</v>
      </c>
      <c r="M39" s="2175">
        <f>IF(L39&gt;=4.5,$K39,IF(L39&gt;=3.5,$J39,IF(L39&gt;=2.5,$I39,IF(L39&gt;=1.5,$H39,$G39))))</f>
        <v>2.7</v>
      </c>
      <c r="N39" s="1182"/>
      <c r="O39" s="1195">
        <v>3</v>
      </c>
      <c r="P39" s="2175">
        <f>CO2データ!L88</f>
        <v>2.7</v>
      </c>
      <c r="R39" s="988">
        <f>R38</f>
        <v>333</v>
      </c>
    </row>
    <row r="40" spans="1:18" ht="18" customHeight="1" thickBot="1">
      <c r="A40" s="1170"/>
      <c r="B40" s="1295"/>
      <c r="C40" s="1198"/>
      <c r="D40" s="1222"/>
      <c r="E40" s="1223"/>
      <c r="F40" s="1224" t="s">
        <v>355</v>
      </c>
      <c r="G40" s="1813">
        <f>F13</f>
        <v>0</v>
      </c>
      <c r="H40" s="1199"/>
      <c r="I40" s="1218">
        <f>VLOOKUP($R40,CO2データ!$H$58:$Q$105,8)</f>
        <v>2.6</v>
      </c>
      <c r="J40" s="1218">
        <f>VLOOKUP($R40,CO2データ!$H$58:$Q$105,9)</f>
        <v>3.6799999999999997</v>
      </c>
      <c r="K40" s="1278">
        <f>VLOOKUP($R40,CO2データ!$H$58:$Q$105,10)</f>
        <v>4.07</v>
      </c>
      <c r="L40" s="1200">
        <f>L38</f>
        <v>3</v>
      </c>
      <c r="M40" s="2176">
        <f>IF(L40&gt;=4.5,$K40,IF(L40&gt;=3.5,$J40,IF(L40&gt;=2.5,$I40,IF(L40&gt;=1.5,$H40,$G40))))</f>
        <v>2.6</v>
      </c>
      <c r="N40" s="1182"/>
      <c r="O40" s="1200">
        <v>3</v>
      </c>
      <c r="P40" s="2176">
        <f>CO2データ!O88</f>
        <v>2.6</v>
      </c>
      <c r="R40" s="988">
        <f>R39</f>
        <v>333</v>
      </c>
    </row>
    <row r="41" spans="1:18" ht="14.25" thickBot="1">
      <c r="A41" s="1170"/>
      <c r="B41" s="1295"/>
      <c r="C41" s="1182"/>
      <c r="D41" s="1181"/>
      <c r="E41" s="1182"/>
      <c r="F41" s="1182"/>
      <c r="G41" s="1199"/>
      <c r="H41" s="1199"/>
      <c r="I41" s="1199"/>
      <c r="J41" s="1199"/>
      <c r="K41" s="1199"/>
      <c r="L41" s="1199"/>
      <c r="M41" s="1201"/>
      <c r="N41" s="1182"/>
      <c r="O41" s="1182"/>
      <c r="P41" s="1303"/>
    </row>
    <row r="42" spans="1:18" ht="15" hidden="1" thickBot="1">
      <c r="A42" s="1170"/>
      <c r="B42" s="1295"/>
      <c r="C42" s="1188" t="s">
        <v>1018</v>
      </c>
      <c r="D42" s="1181"/>
      <c r="E42" s="1182"/>
      <c r="F42" s="1182"/>
      <c r="G42" s="1199"/>
      <c r="H42" s="1199"/>
      <c r="I42" s="1199"/>
      <c r="J42" s="1199"/>
      <c r="K42" s="1199"/>
      <c r="L42" s="1199"/>
      <c r="M42" s="1201"/>
      <c r="N42" s="1182"/>
      <c r="O42" s="1182"/>
      <c r="P42" s="1303"/>
    </row>
    <row r="43" spans="1:18" ht="15" hidden="1" thickBot="1">
      <c r="A43" s="1170"/>
      <c r="B43" s="1295"/>
      <c r="C43" s="1188"/>
      <c r="D43" s="1181" t="s">
        <v>1025</v>
      </c>
      <c r="E43" s="1182"/>
      <c r="F43" s="1802">
        <f>CO2データ!L212</f>
        <v>20</v>
      </c>
      <c r="G43" s="1804" t="s">
        <v>1021</v>
      </c>
      <c r="H43" s="1199"/>
      <c r="I43" s="1199"/>
      <c r="J43" s="1199"/>
      <c r="K43" s="1199"/>
      <c r="L43" s="1199"/>
      <c r="M43" s="1201"/>
      <c r="N43" s="1182"/>
      <c r="O43" s="1182"/>
      <c r="P43" s="1303"/>
    </row>
    <row r="44" spans="1:18" ht="15" hidden="1" thickBot="1">
      <c r="A44" s="1170"/>
      <c r="B44" s="1295"/>
      <c r="C44" s="1182"/>
      <c r="D44" s="1181"/>
      <c r="E44" s="1182"/>
      <c r="F44" s="1182" t="s">
        <v>1030</v>
      </c>
      <c r="G44" s="1199"/>
      <c r="H44" s="1199"/>
      <c r="I44" s="1803" t="s">
        <v>1020</v>
      </c>
      <c r="J44" s="1803" t="s">
        <v>971</v>
      </c>
      <c r="K44" s="1803" t="s">
        <v>972</v>
      </c>
      <c r="L44" s="1199"/>
      <c r="M44" s="1202" t="s">
        <v>774</v>
      </c>
      <c r="N44" s="1182"/>
      <c r="O44" s="1182"/>
      <c r="P44" s="1303"/>
    </row>
    <row r="45" spans="1:18" ht="14.25" hidden="1" thickBot="1">
      <c r="A45" s="1170"/>
      <c r="B45" s="1295"/>
      <c r="C45" s="1182"/>
      <c r="D45" s="1181" t="s">
        <v>973</v>
      </c>
      <c r="E45" s="1182"/>
      <c r="F45" s="1812"/>
      <c r="G45" s="1199"/>
      <c r="H45" s="1199"/>
      <c r="I45" s="1802">
        <f>CO2データ!F212</f>
        <v>10.99</v>
      </c>
      <c r="J45" s="1217">
        <f>ROUNDDOWN($M$23/$F$43,0)</f>
        <v>1</v>
      </c>
      <c r="K45" s="1232">
        <f>F45*I45*J45</f>
        <v>0</v>
      </c>
      <c r="L45" s="1803" t="s">
        <v>1032</v>
      </c>
      <c r="M45" s="1813" t="e">
        <f>K45/$M$23/$F$21</f>
        <v>#DIV/0!</v>
      </c>
      <c r="N45" s="1182"/>
      <c r="O45" s="1182"/>
      <c r="P45" s="1303"/>
    </row>
    <row r="46" spans="1:18" ht="14.25" hidden="1" thickBot="1">
      <c r="A46" s="1170"/>
      <c r="B46" s="1295"/>
      <c r="C46" s="1182"/>
      <c r="D46" s="1181" t="s">
        <v>976</v>
      </c>
      <c r="E46" s="1182"/>
      <c r="F46" s="1812"/>
      <c r="G46" s="1199"/>
      <c r="H46" s="1199"/>
      <c r="I46" s="1802">
        <f>CO2データ!F213</f>
        <v>5.09</v>
      </c>
      <c r="J46" s="1217">
        <f>ROUNDDOWN($M$23/$F$43,0)</f>
        <v>1</v>
      </c>
      <c r="K46" s="1232">
        <f t="shared" ref="K46:K48" si="0">F46*I46*J46</f>
        <v>0</v>
      </c>
      <c r="L46" s="1803" t="s">
        <v>1032</v>
      </c>
      <c r="M46" s="1813" t="e">
        <f>K46/$M$23/$F$21</f>
        <v>#DIV/0!</v>
      </c>
      <c r="N46" s="1182"/>
      <c r="O46" s="1182"/>
      <c r="P46" s="1303"/>
    </row>
    <row r="47" spans="1:18" ht="14.25" hidden="1" thickBot="1">
      <c r="A47" s="1170"/>
      <c r="B47" s="1295"/>
      <c r="C47" s="1182"/>
      <c r="D47" s="1181" t="s">
        <v>977</v>
      </c>
      <c r="E47" s="1182"/>
      <c r="F47" s="1812"/>
      <c r="G47" s="1199"/>
      <c r="H47" s="1199"/>
      <c r="I47" s="1802">
        <f>CO2データ!F214</f>
        <v>5.09</v>
      </c>
      <c r="J47" s="1217">
        <f>ROUNDDOWN($M$23/$F$43,0)</f>
        <v>1</v>
      </c>
      <c r="K47" s="1232">
        <f t="shared" si="0"/>
        <v>0</v>
      </c>
      <c r="L47" s="1803" t="s">
        <v>1032</v>
      </c>
      <c r="M47" s="1813" t="e">
        <f>K47/$M$23/$F$21</f>
        <v>#DIV/0!</v>
      </c>
      <c r="N47" s="1182"/>
      <c r="O47" s="1182"/>
      <c r="P47" s="1303"/>
    </row>
    <row r="48" spans="1:18" ht="14.25" hidden="1" thickBot="1">
      <c r="A48" s="1170"/>
      <c r="B48" s="1295"/>
      <c r="C48" s="1182"/>
      <c r="D48" s="1181" t="s">
        <v>1019</v>
      </c>
      <c r="E48" s="1182"/>
      <c r="F48" s="1812"/>
      <c r="G48" s="1199"/>
      <c r="H48" s="1199"/>
      <c r="I48" s="1802">
        <f>CO2データ!F215</f>
        <v>5.09</v>
      </c>
      <c r="J48" s="1217">
        <f>ROUNDDOWN($M$23/$F$43,0)</f>
        <v>1</v>
      </c>
      <c r="K48" s="1232">
        <f t="shared" si="0"/>
        <v>0</v>
      </c>
      <c r="L48" s="1803" t="s">
        <v>1032</v>
      </c>
      <c r="M48" s="1813" t="e">
        <f>K48/$M$23/$F$21</f>
        <v>#DIV/0!</v>
      </c>
      <c r="N48" s="1182"/>
      <c r="O48" s="1182"/>
      <c r="P48" s="1303"/>
    </row>
    <row r="49" spans="1:256" ht="14.25" hidden="1" thickBot="1">
      <c r="A49" s="1170"/>
      <c r="B49" s="1295"/>
      <c r="C49" s="1182"/>
      <c r="D49" s="1181"/>
      <c r="E49" s="1182"/>
      <c r="F49" s="1182"/>
      <c r="G49" s="1199"/>
      <c r="H49" s="1199"/>
      <c r="I49" s="1199"/>
      <c r="J49" s="1199"/>
      <c r="K49" s="1199"/>
      <c r="L49" s="1199"/>
      <c r="M49" s="1201"/>
      <c r="N49" s="1182"/>
      <c r="O49" s="1182"/>
      <c r="P49" s="1301"/>
    </row>
    <row r="50" spans="1:256" ht="17.100000000000001" customHeight="1" thickBot="1">
      <c r="A50" s="1170"/>
      <c r="B50" s="1295"/>
      <c r="C50" s="1365" t="s">
        <v>1035</v>
      </c>
      <c r="D50" s="1181"/>
      <c r="E50" s="1182"/>
      <c r="F50" s="1182"/>
      <c r="G50" s="1182"/>
      <c r="H50" s="1199"/>
      <c r="I50" s="1199"/>
      <c r="J50" s="1199"/>
      <c r="K50" s="1199"/>
      <c r="L50" s="1206"/>
      <c r="M50" s="1230" t="e">
        <f>M38*G38+M39*G39+M40*G40+SUM(M45:M48)</f>
        <v>#DIV/0!</v>
      </c>
      <c r="N50" s="1182"/>
      <c r="O50" s="1182"/>
      <c r="P50" s="1230">
        <f>P38*G38+P39*G39+P40*G40</f>
        <v>2.37</v>
      </c>
    </row>
    <row r="51" spans="1:256" ht="13.5">
      <c r="A51" s="1170"/>
      <c r="B51" s="1295"/>
      <c r="C51" s="1182"/>
      <c r="D51" s="1181"/>
      <c r="E51" s="1182"/>
      <c r="F51" s="1182"/>
      <c r="G51" s="1182"/>
      <c r="H51" s="1199"/>
      <c r="I51" s="1199"/>
      <c r="J51" s="1199"/>
      <c r="K51" s="1199"/>
      <c r="L51" s="1206"/>
      <c r="M51" s="1231"/>
      <c r="N51" s="1182"/>
      <c r="O51" s="1182"/>
      <c r="P51" s="1303"/>
    </row>
    <row r="52" spans="1:256" ht="18" customHeight="1" thickBot="1">
      <c r="A52" s="1170"/>
      <c r="B52" s="1695" t="s">
        <v>1045</v>
      </c>
      <c r="C52" s="1185"/>
      <c r="D52" s="1186"/>
      <c r="E52" s="1185"/>
      <c r="F52" s="1182"/>
      <c r="G52" s="1183"/>
      <c r="H52" s="1183"/>
      <c r="I52" s="1183"/>
      <c r="J52" s="1183"/>
      <c r="K52" s="1183"/>
      <c r="L52" s="1825"/>
      <c r="M52" s="1202" t="s">
        <v>774</v>
      </c>
      <c r="N52" s="1182"/>
      <c r="O52" s="1196"/>
      <c r="P52" s="1298" t="s">
        <v>774</v>
      </c>
    </row>
    <row r="53" spans="1:256" ht="16.5" customHeight="1" thickBot="1">
      <c r="A53"/>
      <c r="B53" s="1695"/>
      <c r="C53" s="1365" t="s">
        <v>668</v>
      </c>
      <c r="D53" s="1696"/>
      <c r="E53" s="1696"/>
      <c r="F53" s="1697"/>
      <c r="G53" s="1696"/>
      <c r="H53" s="1696"/>
      <c r="I53" s="1696"/>
      <c r="J53" s="1696"/>
      <c r="K53" s="1696"/>
      <c r="L53" s="1698" t="s">
        <v>669</v>
      </c>
      <c r="M53" s="1699" t="e">
        <f>IF(採点LR1!J29=採点LR1!T28,CO2計算!M56,CO2計算!M60)+CO2計算!M65</f>
        <v>#VALUE!</v>
      </c>
      <c r="N53" s="1182"/>
      <c r="O53" s="1366" t="s">
        <v>670</v>
      </c>
      <c r="P53" s="1699" t="e">
        <f>IF(採点LR1!J29=採点LR1!T28,CO2計算!P56,CO2計算!P60)+CO2計算!P65</f>
        <v>#VALUE!</v>
      </c>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customHeight="1">
      <c r="A54"/>
      <c r="B54" s="1695"/>
      <c r="C54" s="1365"/>
      <c r="D54" s="1696"/>
      <c r="E54" s="1696"/>
      <c r="F54" s="1696"/>
      <c r="G54" s="864"/>
      <c r="H54" s="1696"/>
      <c r="I54" s="1696" t="s">
        <v>1009</v>
      </c>
      <c r="J54" s="1696"/>
      <c r="K54" s="1696" t="s">
        <v>1136</v>
      </c>
      <c r="L54" s="1700"/>
      <c r="M54" s="1202"/>
      <c r="N54" s="1182"/>
      <c r="O54" s="1366"/>
      <c r="P54" s="1701"/>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customHeight="1">
      <c r="A55"/>
      <c r="B55" s="1695"/>
      <c r="C55" s="1365"/>
      <c r="D55" s="1696"/>
      <c r="E55" s="1696"/>
      <c r="F55" s="1696"/>
      <c r="G55" s="1202" t="s">
        <v>1134</v>
      </c>
      <c r="H55" s="1696"/>
      <c r="I55" s="1793" t="s">
        <v>1010</v>
      </c>
      <c r="J55" s="1793" t="s">
        <v>1011</v>
      </c>
      <c r="K55" s="1181" t="s">
        <v>1012</v>
      </c>
      <c r="L55" s="1702"/>
      <c r="M55" s="1202" t="s">
        <v>774</v>
      </c>
      <c r="N55" s="1182"/>
      <c r="O55" s="1196"/>
      <c r="P55" s="1298" t="s">
        <v>774</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 customHeight="1">
      <c r="A56"/>
      <c r="B56" s="1695"/>
      <c r="C56" s="1365"/>
      <c r="D56" s="1696" t="s">
        <v>1137</v>
      </c>
      <c r="E56" s="1703"/>
      <c r="F56" s="1707" t="s">
        <v>1013</v>
      </c>
      <c r="G56" s="1719">
        <f>判定!I6</f>
        <v>0</v>
      </c>
      <c r="H56" s="1696"/>
      <c r="I56" s="1858">
        <f>判定!F62</f>
        <v>70782</v>
      </c>
      <c r="J56" s="1859">
        <f>判定!F63-判定!J62-判定!J63</f>
        <v>58811</v>
      </c>
      <c r="K56" s="1704" t="e">
        <f>CO2データ!K236</f>
        <v>#VALUE!</v>
      </c>
      <c r="L56" s="1705"/>
      <c r="M56" s="1719" t="e">
        <f>J56*K56/G56</f>
        <v>#VALUE!</v>
      </c>
      <c r="N56" s="1182"/>
      <c r="O56" s="1366"/>
      <c r="P56" s="1794" t="e">
        <f>I56*K56/G56</f>
        <v>#VALUE!</v>
      </c>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 customHeight="1">
      <c r="A57"/>
      <c r="B57" s="1695"/>
      <c r="C57" s="1365"/>
      <c r="D57" s="1696"/>
      <c r="E57" s="1703"/>
      <c r="F57" s="1703"/>
      <c r="G57" s="1703"/>
      <c r="H57" s="1703"/>
      <c r="I57" s="1703"/>
      <c r="J57" s="1703"/>
      <c r="K57" s="1703"/>
      <c r="L57" s="1709"/>
      <c r="M57" s="1709"/>
      <c r="N57" s="1709"/>
      <c r="O57" s="1366"/>
      <c r="P57" s="1701"/>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8" customHeight="1">
      <c r="A58" s="1747"/>
      <c r="B58" s="1695"/>
      <c r="C58" s="1365"/>
      <c r="D58" s="1696"/>
      <c r="E58" s="1703"/>
      <c r="F58" s="1795"/>
      <c r="G58" s="1703"/>
      <c r="H58" s="864"/>
      <c r="I58" s="1793" t="s">
        <v>1010</v>
      </c>
      <c r="J58" s="1793" t="s">
        <v>1011</v>
      </c>
      <c r="K58" s="1792"/>
      <c r="L58" s="1709"/>
      <c r="M58" s="1709"/>
      <c r="N58" s="1709"/>
      <c r="O58" s="1366"/>
      <c r="P58" s="1701"/>
      <c r="Q58" s="1747"/>
      <c r="R58" s="1747"/>
      <c r="S58" s="1747"/>
      <c r="T58" s="1747"/>
      <c r="U58" s="1747"/>
      <c r="V58" s="1747"/>
      <c r="W58" s="1747"/>
      <c r="X58" s="1747"/>
      <c r="Y58" s="1747"/>
      <c r="Z58" s="1747"/>
      <c r="AA58" s="1747"/>
      <c r="AB58" s="1747"/>
      <c r="AC58" s="1747"/>
      <c r="AD58" s="1747"/>
      <c r="AE58" s="1747"/>
      <c r="AF58" s="1747"/>
      <c r="AG58" s="1747"/>
      <c r="AH58" s="1747"/>
      <c r="AI58" s="1747"/>
      <c r="AJ58" s="1747"/>
      <c r="AK58" s="1747"/>
      <c r="AL58" s="1747"/>
      <c r="AM58" s="1747"/>
      <c r="AN58" s="1747"/>
      <c r="AO58" s="1747"/>
      <c r="AP58" s="1747"/>
      <c r="AQ58" s="1747"/>
      <c r="AR58" s="1747"/>
      <c r="AS58" s="1747"/>
      <c r="AT58" s="1747"/>
      <c r="AU58" s="1747"/>
      <c r="AV58" s="1747"/>
      <c r="AW58" s="1747"/>
      <c r="AX58" s="1747"/>
      <c r="AY58" s="1747"/>
      <c r="AZ58" s="1747"/>
      <c r="BA58" s="1747"/>
      <c r="BB58" s="1747"/>
      <c r="BC58" s="1747"/>
      <c r="BD58" s="1747"/>
      <c r="BE58" s="1747"/>
      <c r="BF58" s="1747"/>
      <c r="BG58" s="1747"/>
      <c r="BH58" s="1747"/>
      <c r="BI58" s="1747"/>
      <c r="BJ58" s="1747"/>
      <c r="BK58" s="1747"/>
      <c r="BL58" s="1747"/>
      <c r="BM58" s="1747"/>
      <c r="BN58" s="1747"/>
      <c r="BO58" s="1747"/>
      <c r="BP58" s="1747"/>
      <c r="BQ58" s="1747"/>
      <c r="BR58" s="1747"/>
      <c r="BS58" s="1747"/>
      <c r="BT58" s="1747"/>
      <c r="BU58" s="1747"/>
      <c r="BV58" s="1747"/>
      <c r="BW58" s="1747"/>
      <c r="BX58" s="1747"/>
      <c r="BY58" s="1747"/>
      <c r="BZ58" s="1747"/>
      <c r="CA58" s="1747"/>
      <c r="CB58" s="1747"/>
      <c r="CC58" s="1747"/>
      <c r="CD58" s="1747"/>
      <c r="CE58" s="1747"/>
      <c r="CF58" s="1747"/>
      <c r="CG58" s="1747"/>
      <c r="CH58" s="1747"/>
      <c r="CI58" s="1747"/>
      <c r="CJ58" s="1747"/>
      <c r="CK58" s="1747"/>
      <c r="CL58" s="1747"/>
      <c r="CM58" s="1747"/>
      <c r="CN58" s="1747"/>
      <c r="CO58" s="1747"/>
      <c r="CP58" s="1747"/>
      <c r="CQ58" s="1747"/>
      <c r="CR58" s="1747"/>
      <c r="CS58" s="1747"/>
      <c r="CT58" s="1747"/>
      <c r="CU58" s="1747"/>
      <c r="CV58" s="1747"/>
      <c r="CW58" s="1747"/>
      <c r="CX58" s="1747"/>
      <c r="CY58" s="1747"/>
      <c r="CZ58" s="1747"/>
      <c r="DA58" s="1747"/>
      <c r="DB58" s="1747"/>
      <c r="DC58" s="1747"/>
      <c r="DD58" s="1747"/>
      <c r="DE58" s="1747"/>
      <c r="DF58" s="1747"/>
      <c r="DG58" s="1747"/>
      <c r="DH58" s="1747"/>
      <c r="DI58" s="1747"/>
      <c r="DJ58" s="1747"/>
      <c r="DK58" s="1747"/>
      <c r="DL58" s="1747"/>
      <c r="DM58" s="1747"/>
      <c r="DN58" s="1747"/>
      <c r="DO58" s="1747"/>
      <c r="DP58" s="1747"/>
      <c r="DQ58" s="1747"/>
      <c r="DR58" s="1747"/>
      <c r="DS58" s="1747"/>
      <c r="DT58" s="1747"/>
      <c r="DU58" s="1747"/>
      <c r="DV58" s="1747"/>
      <c r="DW58" s="1747"/>
      <c r="DX58" s="1747"/>
      <c r="DY58" s="1747"/>
      <c r="DZ58" s="1747"/>
      <c r="EA58" s="1747"/>
      <c r="EB58" s="1747"/>
      <c r="EC58" s="1747"/>
      <c r="ED58" s="1747"/>
      <c r="EE58" s="1747"/>
      <c r="EF58" s="1747"/>
      <c r="EG58" s="1747"/>
      <c r="EH58" s="1747"/>
      <c r="EI58" s="1747"/>
      <c r="EJ58" s="1747"/>
      <c r="EK58" s="1747"/>
      <c r="EL58" s="1747"/>
      <c r="EM58" s="1747"/>
      <c r="EN58" s="1747"/>
      <c r="EO58" s="1747"/>
      <c r="EP58" s="1747"/>
      <c r="EQ58" s="1747"/>
      <c r="ER58" s="1747"/>
      <c r="ES58" s="1747"/>
      <c r="ET58" s="1747"/>
      <c r="EU58" s="1747"/>
      <c r="EV58" s="1747"/>
      <c r="EW58" s="1747"/>
      <c r="EX58" s="1747"/>
      <c r="EY58" s="1747"/>
      <c r="EZ58" s="1747"/>
      <c r="FA58" s="1747"/>
      <c r="FB58" s="1747"/>
      <c r="FC58" s="1747"/>
      <c r="FD58" s="1747"/>
      <c r="FE58" s="1747"/>
      <c r="FF58" s="1747"/>
      <c r="FG58" s="1747"/>
      <c r="FH58" s="1747"/>
      <c r="FI58" s="1747"/>
      <c r="FJ58" s="1747"/>
      <c r="FK58" s="1747"/>
      <c r="FL58" s="1747"/>
      <c r="FM58" s="1747"/>
      <c r="FN58" s="1747"/>
      <c r="FO58" s="1747"/>
      <c r="FP58" s="1747"/>
      <c r="FQ58" s="1747"/>
      <c r="FR58" s="1747"/>
      <c r="FS58" s="1747"/>
      <c r="FT58" s="1747"/>
      <c r="FU58" s="1747"/>
      <c r="FV58" s="1747"/>
      <c r="FW58" s="1747"/>
      <c r="FX58" s="1747"/>
      <c r="FY58" s="1747"/>
      <c r="FZ58" s="1747"/>
      <c r="GA58" s="1747"/>
      <c r="GB58" s="1747"/>
      <c r="GC58" s="1747"/>
      <c r="GD58" s="1747"/>
      <c r="GE58" s="1747"/>
      <c r="GF58" s="1747"/>
      <c r="GG58" s="1747"/>
      <c r="GH58" s="1747"/>
      <c r="GI58" s="1747"/>
      <c r="GJ58" s="1747"/>
      <c r="GK58" s="1747"/>
      <c r="GL58" s="1747"/>
      <c r="GM58" s="1747"/>
      <c r="GN58" s="1747"/>
      <c r="GO58" s="1747"/>
      <c r="GP58" s="1747"/>
      <c r="GQ58" s="1747"/>
      <c r="GR58" s="1747"/>
      <c r="GS58" s="1747"/>
      <c r="GT58" s="1747"/>
      <c r="GU58" s="1747"/>
      <c r="GV58" s="1747"/>
      <c r="GW58" s="1747"/>
      <c r="GX58" s="1747"/>
      <c r="GY58" s="1747"/>
      <c r="GZ58" s="1747"/>
      <c r="HA58" s="1747"/>
      <c r="HB58" s="1747"/>
      <c r="HC58" s="1747"/>
      <c r="HD58" s="1747"/>
      <c r="HE58" s="1747"/>
      <c r="HF58" s="1747"/>
      <c r="HG58" s="1747"/>
      <c r="HH58" s="1747"/>
      <c r="HI58" s="1747"/>
      <c r="HJ58" s="1747"/>
      <c r="HK58" s="1747"/>
      <c r="HL58" s="1747"/>
      <c r="HM58" s="1747"/>
      <c r="HN58" s="1747"/>
      <c r="HO58" s="1747"/>
      <c r="HP58" s="1747"/>
      <c r="HQ58" s="1747"/>
      <c r="HR58" s="1747"/>
      <c r="HS58" s="1747"/>
      <c r="HT58" s="1747"/>
      <c r="HU58" s="1747"/>
      <c r="HV58" s="1747"/>
      <c r="HW58" s="1747"/>
      <c r="HX58" s="1747"/>
      <c r="HY58" s="1747"/>
      <c r="HZ58" s="1747"/>
      <c r="IA58" s="1747"/>
      <c r="IB58" s="1747"/>
      <c r="IC58" s="1747"/>
      <c r="ID58" s="1747"/>
      <c r="IE58" s="1747"/>
      <c r="IF58" s="1747"/>
      <c r="IG58" s="1747"/>
      <c r="IH58" s="1747"/>
      <c r="II58" s="1747"/>
      <c r="IJ58" s="1747"/>
      <c r="IK58" s="1747"/>
      <c r="IL58" s="1747"/>
      <c r="IM58" s="1747"/>
      <c r="IN58" s="1747"/>
      <c r="IO58" s="1747"/>
      <c r="IP58" s="1747"/>
      <c r="IQ58" s="1747"/>
      <c r="IR58" s="1747"/>
      <c r="IS58" s="1747"/>
      <c r="IT58" s="1747"/>
      <c r="IU58" s="1747"/>
      <c r="IV58" s="1747"/>
    </row>
    <row r="59" spans="1:256" ht="14.25">
      <c r="A59" s="1747"/>
      <c r="B59" s="1695"/>
      <c r="C59" s="1365"/>
      <c r="D59" s="1696"/>
      <c r="E59" s="1696"/>
      <c r="F59" s="1795"/>
      <c r="G59" s="1703"/>
      <c r="H59" s="864"/>
      <c r="I59" s="1202" t="s">
        <v>1132</v>
      </c>
      <c r="J59" s="1202" t="s">
        <v>1132</v>
      </c>
      <c r="K59" s="1792"/>
      <c r="L59" s="1709"/>
      <c r="M59" s="1709"/>
      <c r="N59" s="1709"/>
      <c r="O59" s="1366"/>
      <c r="P59" s="1701"/>
      <c r="Q59" s="1747"/>
      <c r="R59" s="1747"/>
      <c r="S59" s="1747"/>
      <c r="T59" s="1747"/>
      <c r="U59" s="1747"/>
      <c r="V59" s="1747"/>
      <c r="W59" s="1747"/>
      <c r="X59" s="1747"/>
      <c r="Y59" s="1747"/>
      <c r="Z59" s="1747"/>
      <c r="AA59" s="1747"/>
      <c r="AB59" s="1747"/>
      <c r="AC59" s="1747"/>
      <c r="AD59" s="1747"/>
      <c r="AE59" s="1747"/>
      <c r="AF59" s="1747"/>
      <c r="AG59" s="1747"/>
      <c r="AH59" s="1747"/>
      <c r="AI59" s="1747"/>
      <c r="AJ59" s="1747"/>
      <c r="AK59" s="1747"/>
      <c r="AL59" s="1747"/>
      <c r="AM59" s="1747"/>
      <c r="AN59" s="1747"/>
      <c r="AO59" s="1747"/>
      <c r="AP59" s="1747"/>
      <c r="AQ59" s="1747"/>
      <c r="AR59" s="1747"/>
      <c r="AS59" s="1747"/>
      <c r="AT59" s="1747"/>
      <c r="AU59" s="1747"/>
      <c r="AV59" s="1747"/>
      <c r="AW59" s="1747"/>
      <c r="AX59" s="1747"/>
      <c r="AY59" s="1747"/>
      <c r="AZ59" s="1747"/>
      <c r="BA59" s="1747"/>
      <c r="BB59" s="1747"/>
      <c r="BC59" s="1747"/>
      <c r="BD59" s="1747"/>
      <c r="BE59" s="1747"/>
      <c r="BF59" s="1747"/>
      <c r="BG59" s="1747"/>
      <c r="BH59" s="1747"/>
      <c r="BI59" s="1747"/>
      <c r="BJ59" s="1747"/>
      <c r="BK59" s="1747"/>
      <c r="BL59" s="1747"/>
      <c r="BM59" s="1747"/>
      <c r="BN59" s="1747"/>
      <c r="BO59" s="1747"/>
      <c r="BP59" s="1747"/>
      <c r="BQ59" s="1747"/>
      <c r="BR59" s="1747"/>
      <c r="BS59" s="1747"/>
      <c r="BT59" s="1747"/>
      <c r="BU59" s="1747"/>
      <c r="BV59" s="1747"/>
      <c r="BW59" s="1747"/>
      <c r="BX59" s="1747"/>
      <c r="BY59" s="1747"/>
      <c r="BZ59" s="1747"/>
      <c r="CA59" s="1747"/>
      <c r="CB59" s="1747"/>
      <c r="CC59" s="1747"/>
      <c r="CD59" s="1747"/>
      <c r="CE59" s="1747"/>
      <c r="CF59" s="1747"/>
      <c r="CG59" s="1747"/>
      <c r="CH59" s="1747"/>
      <c r="CI59" s="1747"/>
      <c r="CJ59" s="1747"/>
      <c r="CK59" s="1747"/>
      <c r="CL59" s="1747"/>
      <c r="CM59" s="1747"/>
      <c r="CN59" s="1747"/>
      <c r="CO59" s="1747"/>
      <c r="CP59" s="1747"/>
      <c r="CQ59" s="1747"/>
      <c r="CR59" s="1747"/>
      <c r="CS59" s="1747"/>
      <c r="CT59" s="1747"/>
      <c r="CU59" s="1747"/>
      <c r="CV59" s="1747"/>
      <c r="CW59" s="1747"/>
      <c r="CX59" s="1747"/>
      <c r="CY59" s="1747"/>
      <c r="CZ59" s="1747"/>
      <c r="DA59" s="1747"/>
      <c r="DB59" s="1747"/>
      <c r="DC59" s="1747"/>
      <c r="DD59" s="1747"/>
      <c r="DE59" s="1747"/>
      <c r="DF59" s="1747"/>
      <c r="DG59" s="1747"/>
      <c r="DH59" s="1747"/>
      <c r="DI59" s="1747"/>
      <c r="DJ59" s="1747"/>
      <c r="DK59" s="1747"/>
      <c r="DL59" s="1747"/>
      <c r="DM59" s="1747"/>
      <c r="DN59" s="1747"/>
      <c r="DO59" s="1747"/>
      <c r="DP59" s="1747"/>
      <c r="DQ59" s="1747"/>
      <c r="DR59" s="1747"/>
      <c r="DS59" s="1747"/>
      <c r="DT59" s="1747"/>
      <c r="DU59" s="1747"/>
      <c r="DV59" s="1747"/>
      <c r="DW59" s="1747"/>
      <c r="DX59" s="1747"/>
      <c r="DY59" s="1747"/>
      <c r="DZ59" s="1747"/>
      <c r="EA59" s="1747"/>
      <c r="EB59" s="1747"/>
      <c r="EC59" s="1747"/>
      <c r="ED59" s="1747"/>
      <c r="EE59" s="1747"/>
      <c r="EF59" s="1747"/>
      <c r="EG59" s="1747"/>
      <c r="EH59" s="1747"/>
      <c r="EI59" s="1747"/>
      <c r="EJ59" s="1747"/>
      <c r="EK59" s="1747"/>
      <c r="EL59" s="1747"/>
      <c r="EM59" s="1747"/>
      <c r="EN59" s="1747"/>
      <c r="EO59" s="1747"/>
      <c r="EP59" s="1747"/>
      <c r="EQ59" s="1747"/>
      <c r="ER59" s="1747"/>
      <c r="ES59" s="1747"/>
      <c r="ET59" s="1747"/>
      <c r="EU59" s="1747"/>
      <c r="EV59" s="1747"/>
      <c r="EW59" s="1747"/>
      <c r="EX59" s="1747"/>
      <c r="EY59" s="1747"/>
      <c r="EZ59" s="1747"/>
      <c r="FA59" s="1747"/>
      <c r="FB59" s="1747"/>
      <c r="FC59" s="1747"/>
      <c r="FD59" s="1747"/>
      <c r="FE59" s="1747"/>
      <c r="FF59" s="1747"/>
      <c r="FG59" s="1747"/>
      <c r="FH59" s="1747"/>
      <c r="FI59" s="1747"/>
      <c r="FJ59" s="1747"/>
      <c r="FK59" s="1747"/>
      <c r="FL59" s="1747"/>
      <c r="FM59" s="1747"/>
      <c r="FN59" s="1747"/>
      <c r="FO59" s="1747"/>
      <c r="FP59" s="1747"/>
      <c r="FQ59" s="1747"/>
      <c r="FR59" s="1747"/>
      <c r="FS59" s="1747"/>
      <c r="FT59" s="1747"/>
      <c r="FU59" s="1747"/>
      <c r="FV59" s="1747"/>
      <c r="FW59" s="1747"/>
      <c r="FX59" s="1747"/>
      <c r="FY59" s="1747"/>
      <c r="FZ59" s="1747"/>
      <c r="GA59" s="1747"/>
      <c r="GB59" s="1747"/>
      <c r="GC59" s="1747"/>
      <c r="GD59" s="1747"/>
      <c r="GE59" s="1747"/>
      <c r="GF59" s="1747"/>
      <c r="GG59" s="1747"/>
      <c r="GH59" s="1747"/>
      <c r="GI59" s="1747"/>
      <c r="GJ59" s="1747"/>
      <c r="GK59" s="1747"/>
      <c r="GL59" s="1747"/>
      <c r="GM59" s="1747"/>
      <c r="GN59" s="1747"/>
      <c r="GO59" s="1747"/>
      <c r="GP59" s="1747"/>
      <c r="GQ59" s="1747"/>
      <c r="GR59" s="1747"/>
      <c r="GS59" s="1747"/>
      <c r="GT59" s="1747"/>
      <c r="GU59" s="1747"/>
      <c r="GV59" s="1747"/>
      <c r="GW59" s="1747"/>
      <c r="GX59" s="1747"/>
      <c r="GY59" s="1747"/>
      <c r="GZ59" s="1747"/>
      <c r="HA59" s="1747"/>
      <c r="HB59" s="1747"/>
      <c r="HC59" s="1747"/>
      <c r="HD59" s="1747"/>
      <c r="HE59" s="1747"/>
      <c r="HF59" s="1747"/>
      <c r="HG59" s="1747"/>
      <c r="HH59" s="1747"/>
      <c r="HI59" s="1747"/>
      <c r="HJ59" s="1747"/>
      <c r="HK59" s="1747"/>
      <c r="HL59" s="1747"/>
      <c r="HM59" s="1747"/>
      <c r="HN59" s="1747"/>
      <c r="HO59" s="1747"/>
      <c r="HP59" s="1747"/>
      <c r="HQ59" s="1747"/>
      <c r="HR59" s="1747"/>
      <c r="HS59" s="1747"/>
      <c r="HT59" s="1747"/>
      <c r="HU59" s="1747"/>
      <c r="HV59" s="1747"/>
      <c r="HW59" s="1747"/>
      <c r="HX59" s="1747"/>
      <c r="HY59" s="1747"/>
      <c r="HZ59" s="1747"/>
      <c r="IA59" s="1747"/>
      <c r="IB59" s="1747"/>
      <c r="IC59" s="1747"/>
      <c r="ID59" s="1747"/>
      <c r="IE59" s="1747"/>
      <c r="IF59" s="1747"/>
      <c r="IG59" s="1747"/>
      <c r="IH59" s="1747"/>
      <c r="II59" s="1747"/>
      <c r="IJ59" s="1747"/>
      <c r="IK59" s="1747"/>
      <c r="IL59" s="1747"/>
      <c r="IM59" s="1747"/>
      <c r="IN59" s="1747"/>
      <c r="IO59" s="1747"/>
      <c r="IP59" s="1747"/>
      <c r="IQ59" s="1747"/>
      <c r="IR59" s="1747"/>
      <c r="IS59" s="1747"/>
      <c r="IT59" s="1747"/>
      <c r="IU59" s="1747"/>
      <c r="IV59" s="1747"/>
    </row>
    <row r="60" spans="1:256" ht="18" customHeight="1">
      <c r="A60" s="1747"/>
      <c r="B60" s="1695"/>
      <c r="C60" s="1365"/>
      <c r="D60" s="1696"/>
      <c r="E60" s="1796" t="s">
        <v>1138</v>
      </c>
      <c r="F60" s="1795"/>
      <c r="G60" s="1703"/>
      <c r="H60" s="1792"/>
      <c r="I60" s="1719" t="e">
        <f>CO2データ!I260</f>
        <v>#N/A</v>
      </c>
      <c r="J60" s="1719" t="e">
        <f>CO2データ!I259</f>
        <v>#N/A</v>
      </c>
      <c r="K60" s="1704" t="e">
        <f>K56</f>
        <v>#VALUE!</v>
      </c>
      <c r="L60" s="1709"/>
      <c r="M60" s="1719" t="e">
        <f>J60*K60</f>
        <v>#N/A</v>
      </c>
      <c r="N60" s="1709"/>
      <c r="O60" s="1366"/>
      <c r="P60" s="1794" t="e">
        <f>I60*K60</f>
        <v>#N/A</v>
      </c>
      <c r="Q60" s="1747"/>
      <c r="R60" s="1747"/>
      <c r="S60" s="1747"/>
      <c r="T60" s="1747"/>
      <c r="U60" s="1747"/>
      <c r="V60" s="1747"/>
      <c r="W60" s="1747"/>
      <c r="X60" s="1747"/>
      <c r="Y60" s="1747"/>
      <c r="Z60" s="1747"/>
      <c r="AA60" s="1747"/>
      <c r="AB60" s="1747"/>
      <c r="AC60" s="1747"/>
      <c r="AD60" s="1747"/>
      <c r="AE60" s="1747"/>
      <c r="AF60" s="1747"/>
      <c r="AG60" s="1747"/>
      <c r="AH60" s="1747"/>
      <c r="AI60" s="1747"/>
      <c r="AJ60" s="1747"/>
      <c r="AK60" s="1747"/>
      <c r="AL60" s="1747"/>
      <c r="AM60" s="1747"/>
      <c r="AN60" s="1747"/>
      <c r="AO60" s="1747"/>
      <c r="AP60" s="1747"/>
      <c r="AQ60" s="1747"/>
      <c r="AR60" s="1747"/>
      <c r="AS60" s="1747"/>
      <c r="AT60" s="1747"/>
      <c r="AU60" s="1747"/>
      <c r="AV60" s="1747"/>
      <c r="AW60" s="1747"/>
      <c r="AX60" s="1747"/>
      <c r="AY60" s="1747"/>
      <c r="AZ60" s="1747"/>
      <c r="BA60" s="1747"/>
      <c r="BB60" s="1747"/>
      <c r="BC60" s="1747"/>
      <c r="BD60" s="1747"/>
      <c r="BE60" s="1747"/>
      <c r="BF60" s="1747"/>
      <c r="BG60" s="1747"/>
      <c r="BH60" s="1747"/>
      <c r="BI60" s="1747"/>
      <c r="BJ60" s="1747"/>
      <c r="BK60" s="1747"/>
      <c r="BL60" s="1747"/>
      <c r="BM60" s="1747"/>
      <c r="BN60" s="1747"/>
      <c r="BO60" s="1747"/>
      <c r="BP60" s="1747"/>
      <c r="BQ60" s="1747"/>
      <c r="BR60" s="1747"/>
      <c r="BS60" s="1747"/>
      <c r="BT60" s="1747"/>
      <c r="BU60" s="1747"/>
      <c r="BV60" s="1747"/>
      <c r="BW60" s="1747"/>
      <c r="BX60" s="1747"/>
      <c r="BY60" s="1747"/>
      <c r="BZ60" s="1747"/>
      <c r="CA60" s="1747"/>
      <c r="CB60" s="1747"/>
      <c r="CC60" s="1747"/>
      <c r="CD60" s="1747"/>
      <c r="CE60" s="1747"/>
      <c r="CF60" s="1747"/>
      <c r="CG60" s="1747"/>
      <c r="CH60" s="1747"/>
      <c r="CI60" s="1747"/>
      <c r="CJ60" s="1747"/>
      <c r="CK60" s="1747"/>
      <c r="CL60" s="1747"/>
      <c r="CM60" s="1747"/>
      <c r="CN60" s="1747"/>
      <c r="CO60" s="1747"/>
      <c r="CP60" s="1747"/>
      <c r="CQ60" s="1747"/>
      <c r="CR60" s="1747"/>
      <c r="CS60" s="1747"/>
      <c r="CT60" s="1747"/>
      <c r="CU60" s="1747"/>
      <c r="CV60" s="1747"/>
      <c r="CW60" s="1747"/>
      <c r="CX60" s="1747"/>
      <c r="CY60" s="1747"/>
      <c r="CZ60" s="1747"/>
      <c r="DA60" s="1747"/>
      <c r="DB60" s="1747"/>
      <c r="DC60" s="1747"/>
      <c r="DD60" s="1747"/>
      <c r="DE60" s="1747"/>
      <c r="DF60" s="1747"/>
      <c r="DG60" s="1747"/>
      <c r="DH60" s="1747"/>
      <c r="DI60" s="1747"/>
      <c r="DJ60" s="1747"/>
      <c r="DK60" s="1747"/>
      <c r="DL60" s="1747"/>
      <c r="DM60" s="1747"/>
      <c r="DN60" s="1747"/>
      <c r="DO60" s="1747"/>
      <c r="DP60" s="1747"/>
      <c r="DQ60" s="1747"/>
      <c r="DR60" s="1747"/>
      <c r="DS60" s="1747"/>
      <c r="DT60" s="1747"/>
      <c r="DU60" s="1747"/>
      <c r="DV60" s="1747"/>
      <c r="DW60" s="1747"/>
      <c r="DX60" s="1747"/>
      <c r="DY60" s="1747"/>
      <c r="DZ60" s="1747"/>
      <c r="EA60" s="1747"/>
      <c r="EB60" s="1747"/>
      <c r="EC60" s="1747"/>
      <c r="ED60" s="1747"/>
      <c r="EE60" s="1747"/>
      <c r="EF60" s="1747"/>
      <c r="EG60" s="1747"/>
      <c r="EH60" s="1747"/>
      <c r="EI60" s="1747"/>
      <c r="EJ60" s="1747"/>
      <c r="EK60" s="1747"/>
      <c r="EL60" s="1747"/>
      <c r="EM60" s="1747"/>
      <c r="EN60" s="1747"/>
      <c r="EO60" s="1747"/>
      <c r="EP60" s="1747"/>
      <c r="EQ60" s="1747"/>
      <c r="ER60" s="1747"/>
      <c r="ES60" s="1747"/>
      <c r="ET60" s="1747"/>
      <c r="EU60" s="1747"/>
      <c r="EV60" s="1747"/>
      <c r="EW60" s="1747"/>
      <c r="EX60" s="1747"/>
      <c r="EY60" s="1747"/>
      <c r="EZ60" s="1747"/>
      <c r="FA60" s="1747"/>
      <c r="FB60" s="1747"/>
      <c r="FC60" s="1747"/>
      <c r="FD60" s="1747"/>
      <c r="FE60" s="1747"/>
      <c r="FF60" s="1747"/>
      <c r="FG60" s="1747"/>
      <c r="FH60" s="1747"/>
      <c r="FI60" s="1747"/>
      <c r="FJ60" s="1747"/>
      <c r="FK60" s="1747"/>
      <c r="FL60" s="1747"/>
      <c r="FM60" s="1747"/>
      <c r="FN60" s="1747"/>
      <c r="FO60" s="1747"/>
      <c r="FP60" s="1747"/>
      <c r="FQ60" s="1747"/>
      <c r="FR60" s="1747"/>
      <c r="FS60" s="1747"/>
      <c r="FT60" s="1747"/>
      <c r="FU60" s="1747"/>
      <c r="FV60" s="1747"/>
      <c r="FW60" s="1747"/>
      <c r="FX60" s="1747"/>
      <c r="FY60" s="1747"/>
      <c r="FZ60" s="1747"/>
      <c r="GA60" s="1747"/>
      <c r="GB60" s="1747"/>
      <c r="GC60" s="1747"/>
      <c r="GD60" s="1747"/>
      <c r="GE60" s="1747"/>
      <c r="GF60" s="1747"/>
      <c r="GG60" s="1747"/>
      <c r="GH60" s="1747"/>
      <c r="GI60" s="1747"/>
      <c r="GJ60" s="1747"/>
      <c r="GK60" s="1747"/>
      <c r="GL60" s="1747"/>
      <c r="GM60" s="1747"/>
      <c r="GN60" s="1747"/>
      <c r="GO60" s="1747"/>
      <c r="GP60" s="1747"/>
      <c r="GQ60" s="1747"/>
      <c r="GR60" s="1747"/>
      <c r="GS60" s="1747"/>
      <c r="GT60" s="1747"/>
      <c r="GU60" s="1747"/>
      <c r="GV60" s="1747"/>
      <c r="GW60" s="1747"/>
      <c r="GX60" s="1747"/>
      <c r="GY60" s="1747"/>
      <c r="GZ60" s="1747"/>
      <c r="HA60" s="1747"/>
      <c r="HB60" s="1747"/>
      <c r="HC60" s="1747"/>
      <c r="HD60" s="1747"/>
      <c r="HE60" s="1747"/>
      <c r="HF60" s="1747"/>
      <c r="HG60" s="1747"/>
      <c r="HH60" s="1747"/>
      <c r="HI60" s="1747"/>
      <c r="HJ60" s="1747"/>
      <c r="HK60" s="1747"/>
      <c r="HL60" s="1747"/>
      <c r="HM60" s="1747"/>
      <c r="HN60" s="1747"/>
      <c r="HO60" s="1747"/>
      <c r="HP60" s="1747"/>
      <c r="HQ60" s="1747"/>
      <c r="HR60" s="1747"/>
      <c r="HS60" s="1747"/>
      <c r="HT60" s="1747"/>
      <c r="HU60" s="1747"/>
      <c r="HV60" s="1747"/>
      <c r="HW60" s="1747"/>
      <c r="HX60" s="1747"/>
      <c r="HY60" s="1747"/>
      <c r="HZ60" s="1747"/>
      <c r="IA60" s="1747"/>
      <c r="IB60" s="1747"/>
      <c r="IC60" s="1747"/>
      <c r="ID60" s="1747"/>
      <c r="IE60" s="1747"/>
      <c r="IF60" s="1747"/>
      <c r="IG60" s="1747"/>
      <c r="IH60" s="1747"/>
      <c r="II60" s="1747"/>
      <c r="IJ60" s="1747"/>
      <c r="IK60" s="1747"/>
      <c r="IL60" s="1747"/>
      <c r="IM60" s="1747"/>
      <c r="IN60" s="1747"/>
      <c r="IO60" s="1747"/>
      <c r="IP60" s="1747"/>
      <c r="IQ60" s="1747"/>
      <c r="IR60" s="1747"/>
      <c r="IS60" s="1747"/>
      <c r="IT60" s="1747"/>
      <c r="IU60" s="1747"/>
      <c r="IV60" s="1747"/>
    </row>
    <row r="61" spans="1:256" ht="18" customHeight="1">
      <c r="A61" s="1747"/>
      <c r="B61" s="1695"/>
      <c r="C61" s="1365"/>
      <c r="D61" s="1696"/>
      <c r="E61" s="1703"/>
      <c r="F61" s="1706"/>
      <c r="G61" s="1703"/>
      <c r="H61" s="1707"/>
      <c r="I61" s="1708"/>
      <c r="J61" s="1703"/>
      <c r="K61" s="1709"/>
      <c r="L61" s="1709"/>
      <c r="M61" s="1709"/>
      <c r="N61" s="1709"/>
      <c r="O61" s="1366"/>
      <c r="P61" s="1701"/>
      <c r="Q61" s="1747"/>
      <c r="R61" s="1747"/>
      <c r="S61" s="1747"/>
      <c r="T61" s="1747"/>
      <c r="U61" s="1747"/>
      <c r="V61" s="1747"/>
      <c r="W61" s="1747"/>
      <c r="X61" s="1747"/>
      <c r="Y61" s="1747"/>
      <c r="Z61" s="1747"/>
      <c r="AA61" s="1747"/>
      <c r="AB61" s="1747"/>
      <c r="AC61" s="1747"/>
      <c r="AD61" s="1747"/>
      <c r="AE61" s="1747"/>
      <c r="AF61" s="1747"/>
      <c r="AG61" s="1747"/>
      <c r="AH61" s="1747"/>
      <c r="AI61" s="1747"/>
      <c r="AJ61" s="1747"/>
      <c r="AK61" s="1747"/>
      <c r="AL61" s="1747"/>
      <c r="AM61" s="1747"/>
      <c r="AN61" s="1747"/>
      <c r="AO61" s="1747"/>
      <c r="AP61" s="1747"/>
      <c r="AQ61" s="1747"/>
      <c r="AR61" s="1747"/>
      <c r="AS61" s="1747"/>
      <c r="AT61" s="1747"/>
      <c r="AU61" s="1747"/>
      <c r="AV61" s="1747"/>
      <c r="AW61" s="1747"/>
      <c r="AX61" s="1747"/>
      <c r="AY61" s="1747"/>
      <c r="AZ61" s="1747"/>
      <c r="BA61" s="1747"/>
      <c r="BB61" s="1747"/>
      <c r="BC61" s="1747"/>
      <c r="BD61" s="1747"/>
      <c r="BE61" s="1747"/>
      <c r="BF61" s="1747"/>
      <c r="BG61" s="1747"/>
      <c r="BH61" s="1747"/>
      <c r="BI61" s="1747"/>
      <c r="BJ61" s="1747"/>
      <c r="BK61" s="1747"/>
      <c r="BL61" s="1747"/>
      <c r="BM61" s="1747"/>
      <c r="BN61" s="1747"/>
      <c r="BO61" s="1747"/>
      <c r="BP61" s="1747"/>
      <c r="BQ61" s="1747"/>
      <c r="BR61" s="1747"/>
      <c r="BS61" s="1747"/>
      <c r="BT61" s="1747"/>
      <c r="BU61" s="1747"/>
      <c r="BV61" s="1747"/>
      <c r="BW61" s="1747"/>
      <c r="BX61" s="1747"/>
      <c r="BY61" s="1747"/>
      <c r="BZ61" s="1747"/>
      <c r="CA61" s="1747"/>
      <c r="CB61" s="1747"/>
      <c r="CC61" s="1747"/>
      <c r="CD61" s="1747"/>
      <c r="CE61" s="1747"/>
      <c r="CF61" s="1747"/>
      <c r="CG61" s="1747"/>
      <c r="CH61" s="1747"/>
      <c r="CI61" s="1747"/>
      <c r="CJ61" s="1747"/>
      <c r="CK61" s="1747"/>
      <c r="CL61" s="1747"/>
      <c r="CM61" s="1747"/>
      <c r="CN61" s="1747"/>
      <c r="CO61" s="1747"/>
      <c r="CP61" s="1747"/>
      <c r="CQ61" s="1747"/>
      <c r="CR61" s="1747"/>
      <c r="CS61" s="1747"/>
      <c r="CT61" s="1747"/>
      <c r="CU61" s="1747"/>
      <c r="CV61" s="1747"/>
      <c r="CW61" s="1747"/>
      <c r="CX61" s="1747"/>
      <c r="CY61" s="1747"/>
      <c r="CZ61" s="1747"/>
      <c r="DA61" s="1747"/>
      <c r="DB61" s="1747"/>
      <c r="DC61" s="1747"/>
      <c r="DD61" s="1747"/>
      <c r="DE61" s="1747"/>
      <c r="DF61" s="1747"/>
      <c r="DG61" s="1747"/>
      <c r="DH61" s="1747"/>
      <c r="DI61" s="1747"/>
      <c r="DJ61" s="1747"/>
      <c r="DK61" s="1747"/>
      <c r="DL61" s="1747"/>
      <c r="DM61" s="1747"/>
      <c r="DN61" s="1747"/>
      <c r="DO61" s="1747"/>
      <c r="DP61" s="1747"/>
      <c r="DQ61" s="1747"/>
      <c r="DR61" s="1747"/>
      <c r="DS61" s="1747"/>
      <c r="DT61" s="1747"/>
      <c r="DU61" s="1747"/>
      <c r="DV61" s="1747"/>
      <c r="DW61" s="1747"/>
      <c r="DX61" s="1747"/>
      <c r="DY61" s="1747"/>
      <c r="DZ61" s="1747"/>
      <c r="EA61" s="1747"/>
      <c r="EB61" s="1747"/>
      <c r="EC61" s="1747"/>
      <c r="ED61" s="1747"/>
      <c r="EE61" s="1747"/>
      <c r="EF61" s="1747"/>
      <c r="EG61" s="1747"/>
      <c r="EH61" s="1747"/>
      <c r="EI61" s="1747"/>
      <c r="EJ61" s="1747"/>
      <c r="EK61" s="1747"/>
      <c r="EL61" s="1747"/>
      <c r="EM61" s="1747"/>
      <c r="EN61" s="1747"/>
      <c r="EO61" s="1747"/>
      <c r="EP61" s="1747"/>
      <c r="EQ61" s="1747"/>
      <c r="ER61" s="1747"/>
      <c r="ES61" s="1747"/>
      <c r="ET61" s="1747"/>
      <c r="EU61" s="1747"/>
      <c r="EV61" s="1747"/>
      <c r="EW61" s="1747"/>
      <c r="EX61" s="1747"/>
      <c r="EY61" s="1747"/>
      <c r="EZ61" s="1747"/>
      <c r="FA61" s="1747"/>
      <c r="FB61" s="1747"/>
      <c r="FC61" s="1747"/>
      <c r="FD61" s="1747"/>
      <c r="FE61" s="1747"/>
      <c r="FF61" s="1747"/>
      <c r="FG61" s="1747"/>
      <c r="FH61" s="1747"/>
      <c r="FI61" s="1747"/>
      <c r="FJ61" s="1747"/>
      <c r="FK61" s="1747"/>
      <c r="FL61" s="1747"/>
      <c r="FM61" s="1747"/>
      <c r="FN61" s="1747"/>
      <c r="FO61" s="1747"/>
      <c r="FP61" s="1747"/>
      <c r="FQ61" s="1747"/>
      <c r="FR61" s="1747"/>
      <c r="FS61" s="1747"/>
      <c r="FT61" s="1747"/>
      <c r="FU61" s="1747"/>
      <c r="FV61" s="1747"/>
      <c r="FW61" s="1747"/>
      <c r="FX61" s="1747"/>
      <c r="FY61" s="1747"/>
      <c r="FZ61" s="1747"/>
      <c r="GA61" s="1747"/>
      <c r="GB61" s="1747"/>
      <c r="GC61" s="1747"/>
      <c r="GD61" s="1747"/>
      <c r="GE61" s="1747"/>
      <c r="GF61" s="1747"/>
      <c r="GG61" s="1747"/>
      <c r="GH61" s="1747"/>
      <c r="GI61" s="1747"/>
      <c r="GJ61" s="1747"/>
      <c r="GK61" s="1747"/>
      <c r="GL61" s="1747"/>
      <c r="GM61" s="1747"/>
      <c r="GN61" s="1747"/>
      <c r="GO61" s="1747"/>
      <c r="GP61" s="1747"/>
      <c r="GQ61" s="1747"/>
      <c r="GR61" s="1747"/>
      <c r="GS61" s="1747"/>
      <c r="GT61" s="1747"/>
      <c r="GU61" s="1747"/>
      <c r="GV61" s="1747"/>
      <c r="GW61" s="1747"/>
      <c r="GX61" s="1747"/>
      <c r="GY61" s="1747"/>
      <c r="GZ61" s="1747"/>
      <c r="HA61" s="1747"/>
      <c r="HB61" s="1747"/>
      <c r="HC61" s="1747"/>
      <c r="HD61" s="1747"/>
      <c r="HE61" s="1747"/>
      <c r="HF61" s="1747"/>
      <c r="HG61" s="1747"/>
      <c r="HH61" s="1747"/>
      <c r="HI61" s="1747"/>
      <c r="HJ61" s="1747"/>
      <c r="HK61" s="1747"/>
      <c r="HL61" s="1747"/>
      <c r="HM61" s="1747"/>
      <c r="HN61" s="1747"/>
      <c r="HO61" s="1747"/>
      <c r="HP61" s="1747"/>
      <c r="HQ61" s="1747"/>
      <c r="HR61" s="1747"/>
      <c r="HS61" s="1747"/>
      <c r="HT61" s="1747"/>
      <c r="HU61" s="1747"/>
      <c r="HV61" s="1747"/>
      <c r="HW61" s="1747"/>
      <c r="HX61" s="1747"/>
      <c r="HY61" s="1747"/>
      <c r="HZ61" s="1747"/>
      <c r="IA61" s="1747"/>
      <c r="IB61" s="1747"/>
      <c r="IC61" s="1747"/>
      <c r="ID61" s="1747"/>
      <c r="IE61" s="1747"/>
      <c r="IF61" s="1747"/>
      <c r="IG61" s="1747"/>
      <c r="IH61" s="1747"/>
      <c r="II61" s="1747"/>
      <c r="IJ61" s="1747"/>
      <c r="IK61" s="1747"/>
      <c r="IL61" s="1747"/>
      <c r="IM61" s="1747"/>
      <c r="IN61" s="1747"/>
      <c r="IO61" s="1747"/>
      <c r="IP61" s="1747"/>
      <c r="IQ61" s="1747"/>
      <c r="IR61" s="1747"/>
      <c r="IS61" s="1747"/>
      <c r="IT61" s="1747"/>
      <c r="IU61" s="1747"/>
      <c r="IV61" s="1747"/>
    </row>
    <row r="62" spans="1:256" ht="18" customHeight="1">
      <c r="A62"/>
      <c r="B62" s="1695"/>
      <c r="C62" s="1365"/>
      <c r="D62" s="1696"/>
      <c r="E62" s="1703"/>
      <c r="F62" s="1190" t="s">
        <v>671</v>
      </c>
      <c r="G62" s="1191" t="s">
        <v>672</v>
      </c>
      <c r="H62" s="1710"/>
      <c r="I62" s="1190" t="s">
        <v>673</v>
      </c>
      <c r="J62" s="1190" t="s">
        <v>256</v>
      </c>
      <c r="K62" s="1190" t="s">
        <v>674</v>
      </c>
      <c r="L62" s="1711" t="s">
        <v>675</v>
      </c>
      <c r="M62" s="1190" t="s">
        <v>676</v>
      </c>
      <c r="N62" s="1709"/>
      <c r="O62" s="1711" t="s">
        <v>677</v>
      </c>
      <c r="P62" s="1192" t="s">
        <v>676</v>
      </c>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c r="A63"/>
      <c r="B63" s="1695"/>
      <c r="C63" s="1365"/>
      <c r="D63" s="1712" t="s">
        <v>1139</v>
      </c>
      <c r="E63" s="1703"/>
      <c r="F63" s="1194">
        <v>1.1499999999999999</v>
      </c>
      <c r="G63" s="1713" t="s">
        <v>487</v>
      </c>
      <c r="H63" s="1714"/>
      <c r="I63" s="1194">
        <v>1</v>
      </c>
      <c r="J63" s="1194">
        <v>0.85</v>
      </c>
      <c r="K63" s="1194">
        <v>0.7</v>
      </c>
      <c r="L63" s="1715">
        <f>判定!M65</f>
        <v>3</v>
      </c>
      <c r="M63" s="1716">
        <f>IF(L63&gt;=5,$K63,IF(L63&gt;=4,$J63,IF(L63&gt;=3,$I63,$F63)))</f>
        <v>1</v>
      </c>
      <c r="N63" s="1182"/>
      <c r="O63" s="1715">
        <v>3</v>
      </c>
      <c r="P63" s="1797">
        <v>1</v>
      </c>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8" customHeight="1">
      <c r="A64"/>
      <c r="B64" s="1695"/>
      <c r="C64" s="1365"/>
      <c r="D64" s="1712"/>
      <c r="E64" s="1703"/>
      <c r="F64" s="1706"/>
      <c r="G64" s="1703"/>
      <c r="H64" s="1707"/>
      <c r="I64" s="1717" t="s">
        <v>678</v>
      </c>
      <c r="J64" s="1703"/>
      <c r="K64" s="1709"/>
      <c r="L64" s="1702"/>
      <c r="M64" s="1211"/>
      <c r="N64" s="1182"/>
      <c r="O64" s="1366"/>
      <c r="P64" s="1718"/>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8" customHeight="1">
      <c r="A65"/>
      <c r="B65" s="1695"/>
      <c r="C65" s="1365"/>
      <c r="D65" s="1712"/>
      <c r="E65" s="1703" t="s">
        <v>1135</v>
      </c>
      <c r="F65" s="1706"/>
      <c r="G65" s="1703"/>
      <c r="H65" s="1707"/>
      <c r="I65" s="2094">
        <v>0.91</v>
      </c>
      <c r="J65" s="1181" t="s">
        <v>774</v>
      </c>
      <c r="K65" s="1709"/>
      <c r="L65" s="1702"/>
      <c r="M65" s="2094">
        <f>I65*M63</f>
        <v>0.91</v>
      </c>
      <c r="N65" s="1182"/>
      <c r="O65" s="1366"/>
      <c r="P65" s="2096">
        <f>I65*P63</f>
        <v>0.91</v>
      </c>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2.95" hidden="1" customHeight="1">
      <c r="A66"/>
      <c r="B66" s="1695"/>
      <c r="C66" s="1365"/>
      <c r="D66" s="1696"/>
      <c r="E66" s="1696"/>
      <c r="F66" s="1696"/>
      <c r="G66" s="1696"/>
      <c r="H66" s="1696"/>
      <c r="I66" s="1696"/>
      <c r="J66" s="1696"/>
      <c r="K66" s="1696"/>
      <c r="L66" s="1696"/>
      <c r="M66" s="1721"/>
      <c r="N66" s="1182"/>
      <c r="O66" s="1366"/>
      <c r="P66" s="1701"/>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2.95" hidden="1" customHeight="1">
      <c r="A67"/>
      <c r="B67" s="1695"/>
      <c r="C67" s="1365"/>
      <c r="D67" s="1722" t="s">
        <v>679</v>
      </c>
      <c r="E67" s="1696"/>
      <c r="F67" s="1696"/>
      <c r="G67" s="1696"/>
      <c r="H67" s="1696"/>
      <c r="I67" s="1190" t="s">
        <v>255</v>
      </c>
      <c r="J67" s="1190" t="s">
        <v>256</v>
      </c>
      <c r="K67" s="1190" t="s">
        <v>257</v>
      </c>
      <c r="L67" s="1711" t="s">
        <v>675</v>
      </c>
      <c r="M67" s="1711" t="s">
        <v>680</v>
      </c>
      <c r="N67" s="1182"/>
      <c r="O67" s="1366"/>
      <c r="P67" s="1701"/>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2.95" hidden="1" customHeight="1">
      <c r="A68"/>
      <c r="B68" s="1695"/>
      <c r="C68" s="1365"/>
      <c r="D68" s="1696"/>
      <c r="E68" s="1696"/>
      <c r="F68" s="1696"/>
      <c r="G68" s="1696"/>
      <c r="H68" s="1696"/>
      <c r="I68" s="1723">
        <v>1</v>
      </c>
      <c r="J68" s="1724">
        <v>0.97499999999999998</v>
      </c>
      <c r="K68" s="1723">
        <v>0.95</v>
      </c>
      <c r="L68" s="1715"/>
      <c r="M68" s="1725">
        <f>IF(L68&gt;=5,$K68,IF(L68&gt;=4,$J68,$I68))</f>
        <v>1</v>
      </c>
      <c r="N68" s="1182"/>
      <c r="O68" s="1366"/>
      <c r="P68" s="1701"/>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 customHeight="1" thickBot="1">
      <c r="A69"/>
      <c r="B69" s="1695"/>
      <c r="C69" s="1696"/>
      <c r="D69" s="1696"/>
      <c r="E69" s="1696"/>
      <c r="F69" s="1696"/>
      <c r="G69" s="1696"/>
      <c r="H69" s="1696"/>
      <c r="I69" s="1696"/>
      <c r="J69" s="1696"/>
      <c r="K69" s="1696"/>
      <c r="L69" s="1696"/>
      <c r="M69" s="1202"/>
      <c r="N69" s="1182"/>
      <c r="O69" s="1182"/>
      <c r="P69" s="1298"/>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 customHeight="1" thickBot="1">
      <c r="A70"/>
      <c r="B70" s="1726"/>
      <c r="C70" s="1365" t="s">
        <v>681</v>
      </c>
      <c r="D70" s="1696"/>
      <c r="E70" s="1696"/>
      <c r="F70" s="1696"/>
      <c r="G70" s="1696"/>
      <c r="H70" s="1696"/>
      <c r="I70" s="1696"/>
      <c r="J70" s="1696"/>
      <c r="K70" s="1696"/>
      <c r="L70" s="1698" t="s">
        <v>1036</v>
      </c>
      <c r="M70" s="2095" t="e">
        <f>M74+M65</f>
        <v>#VALUE!</v>
      </c>
      <c r="N70" s="1696"/>
      <c r="O70" s="1696"/>
      <c r="P70" s="1728"/>
      <c r="Q70"/>
      <c r="R70"/>
      <c r="S70" t="s">
        <v>682</v>
      </c>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8" customHeight="1">
      <c r="A71"/>
      <c r="B71" s="1726"/>
      <c r="C71" s="1365"/>
      <c r="D71" s="1696"/>
      <c r="E71" s="1696" t="s">
        <v>1059</v>
      </c>
      <c r="F71" s="1696"/>
      <c r="G71" s="1696"/>
      <c r="H71" s="1696"/>
      <c r="I71" s="1719">
        <f>判定!J64</f>
        <v>32879</v>
      </c>
      <c r="J71" s="1703" t="s">
        <v>650</v>
      </c>
      <c r="K71" s="1696"/>
      <c r="L71" s="1696"/>
      <c r="M71" s="1696"/>
      <c r="N71" s="1696"/>
      <c r="O71" s="1696"/>
      <c r="P71" s="1728"/>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3.5">
      <c r="A72"/>
      <c r="B72" s="1726"/>
      <c r="C72" s="1365"/>
      <c r="D72" s="1696"/>
      <c r="E72" s="1696"/>
      <c r="F72" s="1696"/>
      <c r="G72" s="1696"/>
      <c r="H72" s="1696"/>
      <c r="I72" s="1798"/>
      <c r="J72" s="1707" t="s">
        <v>1014</v>
      </c>
      <c r="K72" s="1696" t="s">
        <v>1136</v>
      </c>
      <c r="L72" s="1696"/>
      <c r="M72" s="1696"/>
      <c r="N72" s="1696"/>
      <c r="O72" s="1696"/>
      <c r="P72" s="1728"/>
      <c r="Q72"/>
      <c r="R72"/>
      <c r="S72" s="1029" t="s">
        <v>789</v>
      </c>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4.25">
      <c r="A73"/>
      <c r="B73" s="1726"/>
      <c r="C73" s="1365"/>
      <c r="D73" s="1696"/>
      <c r="E73" s="1696"/>
      <c r="F73" s="1696"/>
      <c r="G73" s="1202" t="s">
        <v>1133</v>
      </c>
      <c r="H73" s="1696"/>
      <c r="I73" s="1793"/>
      <c r="J73" s="1793" t="s">
        <v>650</v>
      </c>
      <c r="K73" s="1181" t="s">
        <v>1015</v>
      </c>
      <c r="L73" s="1696"/>
      <c r="M73" s="1202" t="s">
        <v>774</v>
      </c>
      <c r="N73" s="1696"/>
      <c r="O73" s="1696"/>
      <c r="P73" s="1728"/>
      <c r="Q73"/>
      <c r="R73"/>
      <c r="S73" s="1029" t="str">
        <f>電気排出係数!D5</f>
        <v>N.A.</v>
      </c>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991" customFormat="1" ht="18.600000000000001" customHeight="1">
      <c r="A74" s="1208"/>
      <c r="B74" s="1304"/>
      <c r="C74" s="1209"/>
      <c r="D74" s="1210"/>
      <c r="E74" s="1696"/>
      <c r="F74" s="1707" t="s">
        <v>1013</v>
      </c>
      <c r="G74" s="1719">
        <f>G56</f>
        <v>0</v>
      </c>
      <c r="H74" s="1696"/>
      <c r="I74" s="1793" t="s">
        <v>1016</v>
      </c>
      <c r="J74" s="2165">
        <f>IF(採点LR1!J29=採点LR1!T28,J56-I71,J60*G74)</f>
        <v>25932</v>
      </c>
      <c r="K74" s="1704" t="e">
        <f>K56</f>
        <v>#VALUE!</v>
      </c>
      <c r="L74" s="1696"/>
      <c r="M74" s="2094" t="e">
        <f>J74*K74/G74</f>
        <v>#VALUE!</v>
      </c>
      <c r="N74" s="1212"/>
      <c r="O74" s="1212"/>
      <c r="P74" s="1367"/>
    </row>
    <row r="75" spans="1:256" s="991" customFormat="1" ht="13.5">
      <c r="A75" s="1208"/>
      <c r="B75" s="1304"/>
      <c r="C75" s="1209"/>
      <c r="D75" s="1210"/>
      <c r="E75" s="1696"/>
      <c r="F75" s="1707"/>
      <c r="G75" s="1798"/>
      <c r="H75" s="1696"/>
      <c r="I75" s="1793"/>
      <c r="J75" s="1799"/>
      <c r="K75" s="1706"/>
      <c r="L75" s="1696"/>
      <c r="M75" s="1798"/>
      <c r="N75" s="1212"/>
      <c r="O75" s="1212"/>
      <c r="P75" s="1367"/>
    </row>
    <row r="76" spans="1:256" ht="17.25" thickBot="1">
      <c r="A76" s="1170"/>
      <c r="B76" s="1695" t="s">
        <v>1046</v>
      </c>
      <c r="C76" s="1182"/>
      <c r="D76" s="1181"/>
      <c r="E76" s="1182"/>
      <c r="F76" s="1182"/>
      <c r="G76" s="1199"/>
      <c r="H76" s="1199"/>
      <c r="I76" s="1199"/>
      <c r="J76" s="1199"/>
      <c r="K76" s="1199"/>
      <c r="L76" s="1206"/>
      <c r="M76" s="1202" t="s">
        <v>774</v>
      </c>
      <c r="N76" s="1182"/>
      <c r="O76" s="1182"/>
      <c r="P76" s="1298" t="s">
        <v>774</v>
      </c>
      <c r="S76"/>
    </row>
    <row r="77" spans="1:256" ht="18" customHeight="1">
      <c r="A77" s="1170"/>
      <c r="B77" s="1297"/>
      <c r="C77" s="1182"/>
      <c r="D77" s="1181"/>
      <c r="E77" s="1182"/>
      <c r="F77" s="1182"/>
      <c r="G77" s="1199"/>
      <c r="H77" s="1199"/>
      <c r="I77" s="1199"/>
      <c r="J77" s="1199"/>
      <c r="K77" s="1199"/>
      <c r="L77" s="1206"/>
      <c r="M77" s="1290" t="s">
        <v>472</v>
      </c>
      <c r="N77" s="1182"/>
      <c r="O77" s="1187"/>
      <c r="P77" s="1290" t="s">
        <v>258</v>
      </c>
      <c r="S77" t="s">
        <v>200</v>
      </c>
    </row>
    <row r="78" spans="1:256" ht="18" customHeight="1">
      <c r="A78" s="1170"/>
      <c r="B78" s="1295"/>
      <c r="C78" s="1235" t="s">
        <v>142</v>
      </c>
      <c r="D78" s="1203"/>
      <c r="E78" s="1203"/>
      <c r="F78" s="1203"/>
      <c r="G78" s="1204"/>
      <c r="H78" s="1199"/>
      <c r="I78" s="1199"/>
      <c r="J78" s="1199"/>
      <c r="K78" s="1199"/>
      <c r="L78" s="1206"/>
      <c r="M78" s="2089" t="e">
        <f>M31</f>
        <v>#VALUE!</v>
      </c>
      <c r="N78" s="2090"/>
      <c r="O78" s="2090"/>
      <c r="P78" s="2089">
        <f>P31</f>
        <v>6.13</v>
      </c>
    </row>
    <row r="79" spans="1:256" ht="18" customHeight="1">
      <c r="A79" s="1170"/>
      <c r="B79" s="1295"/>
      <c r="C79" s="1235" t="s">
        <v>337</v>
      </c>
      <c r="D79" s="1203"/>
      <c r="E79" s="1203"/>
      <c r="F79" s="1203"/>
      <c r="G79" s="1204"/>
      <c r="H79" s="1199"/>
      <c r="I79" s="1199"/>
      <c r="J79" s="1199"/>
      <c r="K79" s="1199"/>
      <c r="L79" s="1206"/>
      <c r="M79" s="2089" t="e">
        <f>M50</f>
        <v>#DIV/0!</v>
      </c>
      <c r="N79" s="2090"/>
      <c r="O79" s="2090"/>
      <c r="P79" s="2089">
        <f>P50</f>
        <v>2.37</v>
      </c>
    </row>
    <row r="80" spans="1:256" ht="18" customHeight="1">
      <c r="A80" s="1170"/>
      <c r="B80" s="1295"/>
      <c r="C80" s="1235" t="s">
        <v>143</v>
      </c>
      <c r="D80" s="1203"/>
      <c r="E80" s="1203"/>
      <c r="F80" s="1203"/>
      <c r="G80" s="1204"/>
      <c r="H80" s="1199"/>
      <c r="I80" s="1199"/>
      <c r="J80" s="1199"/>
      <c r="K80" s="1199"/>
      <c r="L80" s="1206"/>
      <c r="M80" s="2091" t="e">
        <f>M70</f>
        <v>#VALUE!</v>
      </c>
      <c r="N80" s="2090"/>
      <c r="O80" s="2090"/>
      <c r="P80" s="2091" t="e">
        <f>P53</f>
        <v>#VALUE!</v>
      </c>
    </row>
    <row r="81" spans="1:16" ht="18" customHeight="1" thickBot="1">
      <c r="A81" s="1170"/>
      <c r="B81" s="1305"/>
      <c r="C81" s="1306" t="s">
        <v>70</v>
      </c>
      <c r="D81" s="1307"/>
      <c r="E81" s="1308"/>
      <c r="F81" s="1308"/>
      <c r="G81" s="1309"/>
      <c r="H81" s="1310"/>
      <c r="I81" s="1311"/>
      <c r="J81" s="1311"/>
      <c r="K81" s="1311"/>
      <c r="L81" s="1312"/>
      <c r="M81" s="2092" t="e">
        <f>SUM(M78:M80)</f>
        <v>#VALUE!</v>
      </c>
      <c r="N81" s="2093"/>
      <c r="O81" s="2093"/>
      <c r="P81" s="2092" t="e">
        <f>IF(COUNTIF(P78:P80,$S$77)&gt;0,$S$77,SUM(P78:P80))</f>
        <v>#VALUE!</v>
      </c>
    </row>
    <row r="82" spans="1:16" ht="11.25" customHeight="1">
      <c r="A82" s="1170"/>
      <c r="B82" s="1171"/>
      <c r="C82" s="1170"/>
      <c r="D82" s="1172"/>
      <c r="E82" s="1170"/>
      <c r="F82" s="1170"/>
      <c r="G82" s="1171"/>
      <c r="H82" s="1171"/>
      <c r="I82" s="1171"/>
      <c r="J82" s="1171"/>
      <c r="K82" s="1171"/>
      <c r="L82" s="1173"/>
      <c r="M82" s="1170"/>
      <c r="N82" s="1170"/>
      <c r="O82" s="1170"/>
      <c r="P82" s="1170"/>
    </row>
    <row r="83" spans="1:16" ht="18" hidden="1" customHeight="1"/>
    <row r="84" spans="1:16" ht="18" hidden="1" customHeight="1"/>
    <row r="85" spans="1:16" ht="18" hidden="1" customHeight="1"/>
    <row r="86" spans="1:16" ht="18" hidden="1" customHeight="1"/>
    <row r="87" spans="1:16" ht="18" hidden="1" customHeight="1"/>
    <row r="88" spans="1:16" ht="18" hidden="1" customHeight="1"/>
    <row r="89" spans="1:16" ht="18" hidden="1" customHeight="1"/>
    <row r="90" spans="1:16" ht="18" hidden="1" customHeight="1"/>
    <row r="91" spans="1:16" ht="18" hidden="1" customHeight="1"/>
    <row r="92" spans="1:16" ht="18" hidden="1" customHeight="1"/>
    <row r="93" spans="1:16" ht="18" hidden="1" customHeight="1"/>
    <row r="94" spans="1:16" ht="18" hidden="1" customHeight="1"/>
    <row r="95" spans="1:16" ht="18" hidden="1" customHeight="1"/>
    <row r="96" spans="1:16" ht="18" hidden="1" customHeight="1"/>
    <row r="97" ht="18" hidden="1" customHeight="1"/>
    <row r="98" ht="18" hidden="1" customHeight="1"/>
    <row r="99" ht="18" hidden="1" customHeight="1"/>
    <row r="100" ht="18" hidden="1" customHeight="1"/>
    <row r="101" ht="18" hidden="1" customHeight="1"/>
    <row r="102" ht="18" hidden="1" customHeight="1"/>
    <row r="103" ht="18" hidden="1" customHeight="1"/>
    <row r="104" ht="18" hidden="1" customHeight="1"/>
    <row r="105" ht="18" hidden="1" customHeight="1"/>
    <row r="106" ht="18" hidden="1" customHeight="1"/>
    <row r="107" ht="18" hidden="1" customHeight="1"/>
    <row r="108" ht="18" hidden="1" customHeight="1"/>
    <row r="109" ht="18" hidden="1" customHeight="1"/>
    <row r="110" ht="18" hidden="1" customHeight="1"/>
    <row r="111" ht="18" hidden="1" customHeight="1"/>
    <row r="112" ht="18" hidden="1" customHeight="1"/>
    <row r="113" ht="18" hidden="1" customHeight="1"/>
    <row r="114" ht="18" hidden="1" customHeight="1"/>
    <row r="115" ht="18" hidden="1" customHeight="1"/>
    <row r="116" ht="18" hidden="1" customHeight="1"/>
    <row r="117" ht="18" hidden="1" customHeight="1"/>
    <row r="118" ht="18" hidden="1" customHeight="1"/>
    <row r="119" ht="18" hidden="1" customHeight="1"/>
    <row r="120" ht="18" hidden="1" customHeight="1"/>
    <row r="121" ht="18" hidden="1" customHeight="1"/>
    <row r="122" ht="18" hidden="1" customHeight="1"/>
    <row r="123" ht="18" hidden="1" customHeight="1"/>
    <row r="124" ht="18" hidden="1" customHeight="1"/>
    <row r="125" ht="18" hidden="1" customHeight="1"/>
    <row r="126" ht="18" hidden="1" customHeight="1"/>
    <row r="127" ht="18" hidden="1" customHeight="1"/>
    <row r="128" ht="18" hidden="1" customHeight="1"/>
    <row r="129" ht="18" hidden="1" customHeight="1"/>
    <row r="130" ht="18" hidden="1" customHeight="1"/>
    <row r="131" ht="18" hidden="1" customHeight="1"/>
    <row r="132" ht="18" hidden="1" customHeight="1"/>
    <row r="133" ht="18" hidden="1" customHeight="1"/>
    <row r="134" ht="18" hidden="1" customHeight="1"/>
    <row r="135" ht="18" hidden="1" customHeight="1"/>
    <row r="136" ht="18" hidden="1" customHeight="1"/>
    <row r="137" ht="18" customHeight="1"/>
    <row r="138" ht="18" customHeight="1"/>
    <row r="139" ht="18" customHeight="1"/>
    <row r="140" ht="18" customHeight="1"/>
    <row r="141" ht="18" customHeight="1"/>
    <row r="142" ht="18" customHeight="1"/>
    <row r="143" ht="18" customHeight="1"/>
    <row r="144" ht="18" customHeight="1"/>
    <row r="145" ht="18" customHeight="1"/>
  </sheetData>
  <sheetProtection algorithmName="SHA-512" hashValue="GAenvRU5O7KuEfHySg2N15ONyz9hlen2QP0UK9Oiw4921ENpHmDus4zVdixIpXLofCTZ7tRbCoPxzfUQqxAIaw==" saltValue="4cC9hTcWNZZEkrcpUs/WbA==" spinCount="100000" sheet="1" objects="1" scenarios="1"/>
  <mergeCells count="7">
    <mergeCell ref="L2:M2"/>
    <mergeCell ref="L3:M3"/>
    <mergeCell ref="L9:M9"/>
    <mergeCell ref="O9:P9"/>
    <mergeCell ref="L36:M36"/>
    <mergeCell ref="O36:P36"/>
    <mergeCell ref="L21:M21"/>
  </mergeCells>
  <phoneticPr fontId="4"/>
  <conditionalFormatting sqref="F80 F78 S78:S65557 Q34:Q35 I36 I7 Q11:Q17 I9 Q7:Q8 R7:IV17 Q5:IV6 Q52:IV52 Q74:R65557 T74:IV65557 G20 G31:G32 Q18:IV33 G50:G51 Q38:Q51 R34:IV51">
    <cfRule type="cellIs" dxfId="35" priority="26" stopIfTrue="1" operator="equal">
      <formula>5</formula>
    </cfRule>
    <cfRule type="cellIs" dxfId="34" priority="27" stopIfTrue="1" operator="equal">
      <formula>4</formula>
    </cfRule>
    <cfRule type="cellIs" dxfId="33" priority="28" stopIfTrue="1" operator="equal">
      <formula>2</formula>
    </cfRule>
  </conditionalFormatting>
  <conditionalFormatting sqref="I21">
    <cfRule type="cellIs" dxfId="32" priority="22" stopIfTrue="1" operator="equal">
      <formula>5</formula>
    </cfRule>
    <cfRule type="cellIs" dxfId="31" priority="23" stopIfTrue="1" operator="equal">
      <formula>4</formula>
    </cfRule>
    <cfRule type="cellIs" dxfId="30" priority="24" stopIfTrue="1" operator="equal">
      <formula>2</formula>
    </cfRule>
  </conditionalFormatting>
  <conditionalFormatting sqref="I11">
    <cfRule type="expression" dxfId="29" priority="21">
      <formula>$F$11=0</formula>
    </cfRule>
  </conditionalFormatting>
  <conditionalFormatting sqref="I12">
    <cfRule type="expression" dxfId="28" priority="20">
      <formula>$F$12=0</formula>
    </cfRule>
  </conditionalFormatting>
  <conditionalFormatting sqref="I13">
    <cfRule type="expression" dxfId="27" priority="19">
      <formula>$F$13=0</formula>
    </cfRule>
  </conditionalFormatting>
  <conditionalFormatting sqref="J11:M11">
    <cfRule type="expression" dxfId="26" priority="18">
      <formula>$F$11=0</formula>
    </cfRule>
  </conditionalFormatting>
  <conditionalFormatting sqref="J12:M12">
    <cfRule type="expression" dxfId="25" priority="17">
      <formula>$F$12=0</formula>
    </cfRule>
  </conditionalFormatting>
  <conditionalFormatting sqref="J13:M13">
    <cfRule type="expression" dxfId="24" priority="16">
      <formula>$F$13=0</formula>
    </cfRule>
  </conditionalFormatting>
  <conditionalFormatting sqref="O12:P12">
    <cfRule type="expression" dxfId="23" priority="15">
      <formula>$F$12=0</formula>
    </cfRule>
  </conditionalFormatting>
  <conditionalFormatting sqref="O13:P13">
    <cfRule type="expression" dxfId="22" priority="14">
      <formula>$F$13=0</formula>
    </cfRule>
  </conditionalFormatting>
  <conditionalFormatting sqref="I38">
    <cfRule type="expression" dxfId="21" priority="13">
      <formula>$G$38=0</formula>
    </cfRule>
  </conditionalFormatting>
  <conditionalFormatting sqref="I39">
    <cfRule type="expression" dxfId="20" priority="12">
      <formula>$G$39=0</formula>
    </cfRule>
  </conditionalFormatting>
  <conditionalFormatting sqref="I40">
    <cfRule type="expression" dxfId="19" priority="11">
      <formula>$G$40=0</formula>
    </cfRule>
  </conditionalFormatting>
  <conditionalFormatting sqref="J38:M38">
    <cfRule type="expression" dxfId="18" priority="10">
      <formula>$G$38=0</formula>
    </cfRule>
  </conditionalFormatting>
  <conditionalFormatting sqref="J39:M39">
    <cfRule type="expression" dxfId="17" priority="9">
      <formula>$G$39=0</formula>
    </cfRule>
  </conditionalFormatting>
  <conditionalFormatting sqref="J40:M40">
    <cfRule type="expression" dxfId="16" priority="8">
      <formula>$G$40=0</formula>
    </cfRule>
  </conditionalFormatting>
  <conditionalFormatting sqref="O38:P38">
    <cfRule type="expression" dxfId="15" priority="7">
      <formula>$G$38=0</formula>
    </cfRule>
  </conditionalFormatting>
  <conditionalFormatting sqref="O39:P39">
    <cfRule type="expression" dxfId="14" priority="6">
      <formula>$G$39=0</formula>
    </cfRule>
  </conditionalFormatting>
  <conditionalFormatting sqref="O40:P40">
    <cfRule type="expression" dxfId="13" priority="5">
      <formula>$G$40=0</formula>
    </cfRule>
  </conditionalFormatting>
  <conditionalFormatting sqref="G13">
    <cfRule type="expression" dxfId="12" priority="2">
      <formula>$F$13=0</formula>
    </cfRule>
  </conditionalFormatting>
  <conditionalFormatting sqref="G11">
    <cfRule type="expression" dxfId="11" priority="4">
      <formula>$F$11=0</formula>
    </cfRule>
  </conditionalFormatting>
  <conditionalFormatting sqref="G12">
    <cfRule type="expression" dxfId="10" priority="3">
      <formula>$F$12=0</formula>
    </cfRule>
  </conditionalFormatting>
  <conditionalFormatting sqref="O11:P11">
    <cfRule type="expression" dxfId="9" priority="1">
      <formula>$F$11=0</formula>
    </cfRule>
  </conditionalFormatting>
  <printOptions horizontalCentered="1"/>
  <pageMargins left="1.1811023622047245" right="0.98425196850393704" top="0.78740157480314965" bottom="0.78740157480314965" header="0.51181102362204722" footer="0.51181102362204722"/>
  <pageSetup paperSize="9" scale="62" fitToHeight="0" orientation="portrait" horizontalDpi="300" verticalDpi="300" r:id="rId1"/>
  <headerFooter alignWithMargins="0">
    <oddHeader>&amp;L&amp;F&amp;R&amp;A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XEW341"/>
  <sheetViews>
    <sheetView showGridLines="0" zoomScaleNormal="100" zoomScaleSheetLayoutView="90" workbookViewId="0">
      <selection activeCell="B1" sqref="B1"/>
    </sheetView>
  </sheetViews>
  <sheetFormatPr defaultColWidth="0" defaultRowHeight="13.5" customHeight="1" zeroHeight="1"/>
  <cols>
    <col min="1" max="2" width="1.5" style="995" customWidth="1"/>
    <col min="3" max="3" width="2.75" style="995" customWidth="1"/>
    <col min="4" max="4" width="8.5" style="995" customWidth="1"/>
    <col min="5" max="5" width="13.75" style="995" customWidth="1"/>
    <col min="6" max="6" width="14.25" style="995" customWidth="1"/>
    <col min="7" max="7" width="4.625" style="995" hidden="1" customWidth="1"/>
    <col min="8" max="8" width="9.375" style="995" hidden="1" customWidth="1"/>
    <col min="9" max="17" width="9.25" style="995" customWidth="1"/>
    <col min="18" max="18" width="2.625" style="995" customWidth="1"/>
    <col min="19" max="19" width="9.625" style="995" hidden="1" customWidth="1"/>
    <col min="20" max="20" width="11.125" style="995" hidden="1" customWidth="1"/>
    <col min="21" max="27" width="5.875" style="995" hidden="1" customWidth="1"/>
    <col min="28" max="249" width="8.875" style="995" hidden="1" customWidth="1"/>
    <col min="250" max="16377" width="9" style="995" hidden="1" customWidth="1"/>
    <col min="16378" max="16384" width="0" style="995" hidden="1" customWidth="1"/>
  </cols>
  <sheetData>
    <row r="1" spans="2:17" ht="23.25">
      <c r="B1" s="1076" t="s">
        <v>796</v>
      </c>
    </row>
    <row r="2" spans="2:17" ht="18" customHeight="1">
      <c r="B2" s="1005"/>
    </row>
    <row r="3" spans="2:17" ht="16.5">
      <c r="C3" s="1006" t="s">
        <v>795</v>
      </c>
      <c r="D3" s="1006"/>
      <c r="I3" s="1118" t="s">
        <v>797</v>
      </c>
      <c r="J3" s="1119"/>
      <c r="K3" s="1119"/>
      <c r="L3" s="1120"/>
      <c r="M3" s="1120"/>
      <c r="N3" s="1120"/>
      <c r="O3" s="1120"/>
      <c r="P3" s="1120"/>
      <c r="Q3" s="1121"/>
    </row>
    <row r="4" spans="2:17" ht="14.25">
      <c r="C4" s="1420"/>
      <c r="D4" s="1420"/>
      <c r="E4" s="996"/>
      <c r="F4" s="988" t="s">
        <v>791</v>
      </c>
      <c r="H4" s="996"/>
      <c r="I4" s="1122" t="s">
        <v>353</v>
      </c>
      <c r="J4" s="1123"/>
      <c r="K4" s="1124"/>
      <c r="L4" s="1122" t="s">
        <v>354</v>
      </c>
      <c r="M4" s="1123"/>
      <c r="N4" s="1124"/>
      <c r="O4" s="1122" t="s">
        <v>355</v>
      </c>
      <c r="P4" s="1123"/>
      <c r="Q4" s="1125"/>
    </row>
    <row r="5" spans="2:17" ht="16.5">
      <c r="C5" s="1020" t="s">
        <v>792</v>
      </c>
      <c r="D5" s="1023"/>
      <c r="E5" s="1004" t="s">
        <v>793</v>
      </c>
      <c r="F5" s="998" t="s">
        <v>794</v>
      </c>
      <c r="H5" s="999"/>
      <c r="I5" s="1126" t="s">
        <v>47</v>
      </c>
      <c r="J5" s="1126" t="s">
        <v>333</v>
      </c>
      <c r="K5" s="1126" t="s">
        <v>48</v>
      </c>
      <c r="L5" s="1126" t="s">
        <v>47</v>
      </c>
      <c r="M5" s="1126" t="s">
        <v>333</v>
      </c>
      <c r="N5" s="1126" t="s">
        <v>48</v>
      </c>
      <c r="O5" s="1126" t="s">
        <v>47</v>
      </c>
      <c r="P5" s="1126" t="s">
        <v>333</v>
      </c>
      <c r="Q5" s="1126" t="s">
        <v>48</v>
      </c>
    </row>
    <row r="6" spans="2:17">
      <c r="C6" s="1027" t="s">
        <v>46</v>
      </c>
      <c r="D6" s="1024"/>
      <c r="E6" s="1001" t="s">
        <v>46</v>
      </c>
      <c r="F6" s="1000" t="s">
        <v>47</v>
      </c>
      <c r="H6" s="1000">
        <v>113</v>
      </c>
      <c r="I6" s="1029">
        <v>6.13</v>
      </c>
      <c r="J6" s="1029">
        <v>3.06</v>
      </c>
      <c r="K6" s="1029">
        <v>2.04</v>
      </c>
      <c r="L6" s="1029">
        <v>13.56</v>
      </c>
      <c r="M6" s="1029">
        <v>6.78</v>
      </c>
      <c r="N6" s="1029">
        <v>4.5199999999999996</v>
      </c>
      <c r="O6" s="1029">
        <v>13.28</v>
      </c>
      <c r="P6" s="1029">
        <v>6.64</v>
      </c>
      <c r="Q6" s="1029">
        <v>4.43</v>
      </c>
    </row>
    <row r="7" spans="2:17">
      <c r="C7" s="1021"/>
      <c r="D7" s="1025"/>
      <c r="E7" s="1002"/>
      <c r="F7" s="1000" t="s">
        <v>333</v>
      </c>
      <c r="H7" s="1000">
        <v>114</v>
      </c>
      <c r="I7" s="1029">
        <v>6.13</v>
      </c>
      <c r="J7" s="1029">
        <v>3.06</v>
      </c>
      <c r="K7" s="1029">
        <v>2.04</v>
      </c>
      <c r="L7" s="1029">
        <v>13.56</v>
      </c>
      <c r="M7" s="1029">
        <v>6.78</v>
      </c>
      <c r="N7" s="1029">
        <v>4.5199999999999996</v>
      </c>
      <c r="O7" s="1029">
        <v>13.28</v>
      </c>
      <c r="P7" s="1029">
        <v>6.64</v>
      </c>
      <c r="Q7" s="1029">
        <v>4.43</v>
      </c>
    </row>
    <row r="8" spans="2:17">
      <c r="C8" s="1021"/>
      <c r="D8" s="1025"/>
      <c r="E8" s="1003"/>
      <c r="F8" s="1000" t="s">
        <v>48</v>
      </c>
      <c r="H8" s="1000">
        <v>115</v>
      </c>
      <c r="I8" s="1029">
        <v>6.13</v>
      </c>
      <c r="J8" s="1029">
        <v>3.06</v>
      </c>
      <c r="K8" s="1029">
        <v>2.04</v>
      </c>
      <c r="L8" s="1029">
        <v>13.56</v>
      </c>
      <c r="M8" s="1029">
        <v>6.78</v>
      </c>
      <c r="N8" s="1029">
        <v>4.5199999999999996</v>
      </c>
      <c r="O8" s="1029">
        <v>13.28</v>
      </c>
      <c r="P8" s="1029">
        <v>6.64</v>
      </c>
      <c r="Q8" s="1029">
        <v>4.43</v>
      </c>
    </row>
    <row r="9" spans="2:17">
      <c r="C9" s="1021"/>
      <c r="D9" s="1025"/>
      <c r="E9" s="1001" t="s">
        <v>332</v>
      </c>
      <c r="F9" s="1000" t="s">
        <v>47</v>
      </c>
      <c r="H9" s="1000">
        <v>123</v>
      </c>
      <c r="I9" s="1029">
        <v>6.13</v>
      </c>
      <c r="J9" s="1029">
        <v>3.06</v>
      </c>
      <c r="K9" s="1029">
        <v>2.04</v>
      </c>
      <c r="L9" s="1029">
        <v>13.56</v>
      </c>
      <c r="M9" s="1029">
        <v>6.78</v>
      </c>
      <c r="N9" s="1029">
        <v>4.5199999999999996</v>
      </c>
      <c r="O9" s="1029">
        <v>13.28</v>
      </c>
      <c r="P9" s="1029">
        <v>6.64</v>
      </c>
      <c r="Q9" s="1029">
        <v>4.43</v>
      </c>
    </row>
    <row r="10" spans="2:17">
      <c r="C10" s="1021"/>
      <c r="D10" s="1025"/>
      <c r="E10" s="1002"/>
      <c r="F10" s="1000" t="s">
        <v>333</v>
      </c>
      <c r="H10" s="1000">
        <v>124</v>
      </c>
      <c r="I10" s="1029">
        <v>6.13</v>
      </c>
      <c r="J10" s="1029">
        <v>3.06</v>
      </c>
      <c r="K10" s="1029">
        <v>2.04</v>
      </c>
      <c r="L10" s="1029">
        <v>13.56</v>
      </c>
      <c r="M10" s="1029">
        <v>6.78</v>
      </c>
      <c r="N10" s="1029">
        <v>4.5199999999999996</v>
      </c>
      <c r="O10" s="1029">
        <v>13.28</v>
      </c>
      <c r="P10" s="1029">
        <v>6.64</v>
      </c>
      <c r="Q10" s="1029">
        <v>4.43</v>
      </c>
    </row>
    <row r="11" spans="2:17">
      <c r="C11" s="1021"/>
      <c r="D11" s="1025"/>
      <c r="E11" s="1003"/>
      <c r="F11" s="1000" t="s">
        <v>48</v>
      </c>
      <c r="H11" s="1000">
        <v>125</v>
      </c>
      <c r="I11" s="1029">
        <v>6.13</v>
      </c>
      <c r="J11" s="1029">
        <v>3.06</v>
      </c>
      <c r="K11" s="1029">
        <v>2.04</v>
      </c>
      <c r="L11" s="1029">
        <v>13.56</v>
      </c>
      <c r="M11" s="1029">
        <v>6.78</v>
      </c>
      <c r="N11" s="1029">
        <v>4.5199999999999996</v>
      </c>
      <c r="O11" s="1029">
        <v>13.28</v>
      </c>
      <c r="P11" s="1029">
        <v>6.64</v>
      </c>
      <c r="Q11" s="1029">
        <v>4.43</v>
      </c>
    </row>
    <row r="12" spans="2:17">
      <c r="C12" s="1021"/>
      <c r="D12" s="1025"/>
      <c r="E12" s="1001" t="s">
        <v>47</v>
      </c>
      <c r="F12" s="1000" t="s">
        <v>47</v>
      </c>
      <c r="H12" s="1000">
        <v>133</v>
      </c>
      <c r="I12" s="1029">
        <v>6.13</v>
      </c>
      <c r="J12" s="1029">
        <v>3.06</v>
      </c>
      <c r="K12" s="1029">
        <v>2.04</v>
      </c>
      <c r="L12" s="1029">
        <v>13.56</v>
      </c>
      <c r="M12" s="1029">
        <v>6.78</v>
      </c>
      <c r="N12" s="1029">
        <v>4.5199999999999996</v>
      </c>
      <c r="O12" s="1029">
        <v>13.28</v>
      </c>
      <c r="P12" s="1029">
        <v>6.64</v>
      </c>
      <c r="Q12" s="1029">
        <v>4.43</v>
      </c>
    </row>
    <row r="13" spans="2:17">
      <c r="C13" s="1021"/>
      <c r="D13" s="1025"/>
      <c r="E13" s="1002"/>
      <c r="F13" s="1000" t="s">
        <v>333</v>
      </c>
      <c r="H13" s="1000">
        <v>134</v>
      </c>
      <c r="I13" s="1029">
        <v>6.13</v>
      </c>
      <c r="J13" s="1029">
        <v>3.06</v>
      </c>
      <c r="K13" s="1029">
        <v>2.04</v>
      </c>
      <c r="L13" s="1029">
        <v>13.56</v>
      </c>
      <c r="M13" s="1029">
        <v>6.78</v>
      </c>
      <c r="N13" s="1029">
        <v>4.5199999999999996</v>
      </c>
      <c r="O13" s="1029">
        <v>13.28</v>
      </c>
      <c r="P13" s="1029">
        <v>6.64</v>
      </c>
      <c r="Q13" s="1029">
        <v>4.43</v>
      </c>
    </row>
    <row r="14" spans="2:17">
      <c r="C14" s="1021"/>
      <c r="D14" s="1025"/>
      <c r="E14" s="1003"/>
      <c r="F14" s="1000" t="s">
        <v>48</v>
      </c>
      <c r="H14" s="1000">
        <v>135</v>
      </c>
      <c r="I14" s="1029">
        <v>6.13</v>
      </c>
      <c r="J14" s="1029">
        <v>3.06</v>
      </c>
      <c r="K14" s="1029">
        <v>2.04</v>
      </c>
      <c r="L14" s="1029">
        <v>13.56</v>
      </c>
      <c r="M14" s="1029">
        <v>6.78</v>
      </c>
      <c r="N14" s="1029">
        <v>4.5199999999999996</v>
      </c>
      <c r="O14" s="1029">
        <v>13.28</v>
      </c>
      <c r="P14" s="1029">
        <v>6.64</v>
      </c>
      <c r="Q14" s="1029">
        <v>4.43</v>
      </c>
    </row>
    <row r="15" spans="2:17">
      <c r="C15" s="1021"/>
      <c r="D15" s="1025"/>
      <c r="E15" s="1001" t="s">
        <v>333</v>
      </c>
      <c r="F15" s="1000" t="s">
        <v>47</v>
      </c>
      <c r="H15" s="1000">
        <v>143</v>
      </c>
      <c r="I15" s="1029">
        <v>6.13</v>
      </c>
      <c r="J15" s="1029">
        <v>3.06</v>
      </c>
      <c r="K15" s="1029">
        <v>2.04</v>
      </c>
      <c r="L15" s="1029">
        <v>13.56</v>
      </c>
      <c r="M15" s="1029">
        <v>6.78</v>
      </c>
      <c r="N15" s="1029">
        <v>4.5199999999999996</v>
      </c>
      <c r="O15" s="1029">
        <v>13.28</v>
      </c>
      <c r="P15" s="1029">
        <v>6.64</v>
      </c>
      <c r="Q15" s="1029">
        <v>4.43</v>
      </c>
    </row>
    <row r="16" spans="2:17">
      <c r="C16" s="1021"/>
      <c r="D16" s="1025"/>
      <c r="E16" s="1002"/>
      <c r="F16" s="1000" t="s">
        <v>333</v>
      </c>
      <c r="H16" s="1000">
        <v>144</v>
      </c>
      <c r="I16" s="1029">
        <v>6.13</v>
      </c>
      <c r="J16" s="1029">
        <v>3.06</v>
      </c>
      <c r="K16" s="1029">
        <v>2.04</v>
      </c>
      <c r="L16" s="1029">
        <v>13.56</v>
      </c>
      <c r="M16" s="1029">
        <v>6.78</v>
      </c>
      <c r="N16" s="1029">
        <v>4.5199999999999996</v>
      </c>
      <c r="O16" s="1029">
        <v>13.28</v>
      </c>
      <c r="P16" s="1029">
        <v>6.64</v>
      </c>
      <c r="Q16" s="1029">
        <v>4.43</v>
      </c>
    </row>
    <row r="17" spans="3:17">
      <c r="C17" s="1022"/>
      <c r="D17" s="1026"/>
      <c r="E17" s="1003"/>
      <c r="F17" s="1000" t="s">
        <v>48</v>
      </c>
      <c r="H17" s="1000">
        <v>145</v>
      </c>
      <c r="I17" s="1029">
        <v>6.13</v>
      </c>
      <c r="J17" s="1029">
        <v>3.06</v>
      </c>
      <c r="K17" s="1029">
        <v>2.04</v>
      </c>
      <c r="L17" s="1029">
        <v>13.56</v>
      </c>
      <c r="M17" s="1029">
        <v>6.78</v>
      </c>
      <c r="N17" s="1029">
        <v>4.5199999999999996</v>
      </c>
      <c r="O17" s="1029">
        <v>13.28</v>
      </c>
      <c r="P17" s="1029">
        <v>6.64</v>
      </c>
      <c r="Q17" s="1029">
        <v>4.43</v>
      </c>
    </row>
    <row r="18" spans="3:17">
      <c r="C18" s="1027" t="s">
        <v>332</v>
      </c>
      <c r="D18" s="1024"/>
      <c r="E18" s="1001" t="s">
        <v>46</v>
      </c>
      <c r="F18" s="1000" t="s">
        <v>47</v>
      </c>
      <c r="H18" s="1000">
        <v>213</v>
      </c>
      <c r="I18" s="1029">
        <v>6.13</v>
      </c>
      <c r="J18" s="1029">
        <v>3.06</v>
      </c>
      <c r="K18" s="1029">
        <v>2.04</v>
      </c>
      <c r="L18" s="1029">
        <v>13.56</v>
      </c>
      <c r="M18" s="1029">
        <v>6.78</v>
      </c>
      <c r="N18" s="1029">
        <v>4.5199999999999996</v>
      </c>
      <c r="O18" s="1029">
        <v>13.28</v>
      </c>
      <c r="P18" s="1029">
        <v>6.64</v>
      </c>
      <c r="Q18" s="1029">
        <v>4.43</v>
      </c>
    </row>
    <row r="19" spans="3:17">
      <c r="C19" s="1021"/>
      <c r="D19" s="1025"/>
      <c r="E19" s="1002"/>
      <c r="F19" s="1000" t="s">
        <v>333</v>
      </c>
      <c r="H19" s="1000">
        <v>214</v>
      </c>
      <c r="I19" s="1029">
        <v>6.13</v>
      </c>
      <c r="J19" s="1029">
        <v>3.06</v>
      </c>
      <c r="K19" s="1029">
        <v>2.04</v>
      </c>
      <c r="L19" s="1029">
        <v>13.56</v>
      </c>
      <c r="M19" s="1029">
        <v>6.78</v>
      </c>
      <c r="N19" s="1029">
        <v>4.5199999999999996</v>
      </c>
      <c r="O19" s="1029">
        <v>13.28</v>
      </c>
      <c r="P19" s="1029">
        <v>6.64</v>
      </c>
      <c r="Q19" s="1029">
        <v>4.43</v>
      </c>
    </row>
    <row r="20" spans="3:17">
      <c r="C20" s="1021"/>
      <c r="D20" s="1025"/>
      <c r="E20" s="1003"/>
      <c r="F20" s="1000" t="s">
        <v>48</v>
      </c>
      <c r="H20" s="1000">
        <v>215</v>
      </c>
      <c r="I20" s="1029">
        <v>6.13</v>
      </c>
      <c r="J20" s="1029">
        <v>3.06</v>
      </c>
      <c r="K20" s="1029">
        <v>2.04</v>
      </c>
      <c r="L20" s="1029">
        <v>13.56</v>
      </c>
      <c r="M20" s="1029">
        <v>6.78</v>
      </c>
      <c r="N20" s="1029">
        <v>4.5199999999999996</v>
      </c>
      <c r="O20" s="1029">
        <v>13.28</v>
      </c>
      <c r="P20" s="1029">
        <v>6.64</v>
      </c>
      <c r="Q20" s="1029">
        <v>4.43</v>
      </c>
    </row>
    <row r="21" spans="3:17">
      <c r="C21" s="1021"/>
      <c r="D21" s="1025"/>
      <c r="E21" s="1001" t="s">
        <v>332</v>
      </c>
      <c r="F21" s="1000" t="s">
        <v>47</v>
      </c>
      <c r="H21" s="1000">
        <v>223</v>
      </c>
      <c r="I21" s="1029">
        <v>6.13</v>
      </c>
      <c r="J21" s="1029">
        <v>3.06</v>
      </c>
      <c r="K21" s="1029">
        <v>2.04</v>
      </c>
      <c r="L21" s="1029">
        <v>13.56</v>
      </c>
      <c r="M21" s="1029">
        <v>6.78</v>
      </c>
      <c r="N21" s="1029">
        <v>4.5199999999999996</v>
      </c>
      <c r="O21" s="1029">
        <v>13.28</v>
      </c>
      <c r="P21" s="1029">
        <v>6.64</v>
      </c>
      <c r="Q21" s="1029">
        <v>4.43</v>
      </c>
    </row>
    <row r="22" spans="3:17">
      <c r="C22" s="1021"/>
      <c r="D22" s="1025"/>
      <c r="E22" s="1002"/>
      <c r="F22" s="1000" t="s">
        <v>333</v>
      </c>
      <c r="H22" s="1000">
        <v>224</v>
      </c>
      <c r="I22" s="1029">
        <v>6.13</v>
      </c>
      <c r="J22" s="1029">
        <v>3.06</v>
      </c>
      <c r="K22" s="1029">
        <v>2.04</v>
      </c>
      <c r="L22" s="1029">
        <v>13.56</v>
      </c>
      <c r="M22" s="1029">
        <v>6.78</v>
      </c>
      <c r="N22" s="1029">
        <v>4.5199999999999996</v>
      </c>
      <c r="O22" s="1029">
        <v>13.28</v>
      </c>
      <c r="P22" s="1029">
        <v>6.64</v>
      </c>
      <c r="Q22" s="1029">
        <v>4.43</v>
      </c>
    </row>
    <row r="23" spans="3:17">
      <c r="C23" s="1021"/>
      <c r="D23" s="1025"/>
      <c r="E23" s="1003"/>
      <c r="F23" s="1000" t="s">
        <v>48</v>
      </c>
      <c r="H23" s="1000">
        <v>225</v>
      </c>
      <c r="I23" s="1029">
        <v>6.13</v>
      </c>
      <c r="J23" s="1029">
        <v>3.06</v>
      </c>
      <c r="K23" s="1029">
        <v>2.04</v>
      </c>
      <c r="L23" s="1029">
        <v>13.56</v>
      </c>
      <c r="M23" s="1029">
        <v>6.78</v>
      </c>
      <c r="N23" s="1029">
        <v>4.5199999999999996</v>
      </c>
      <c r="O23" s="1029">
        <v>13.28</v>
      </c>
      <c r="P23" s="1029">
        <v>6.64</v>
      </c>
      <c r="Q23" s="1029">
        <v>4.43</v>
      </c>
    </row>
    <row r="24" spans="3:17">
      <c r="C24" s="1021"/>
      <c r="D24" s="1025"/>
      <c r="E24" s="1001" t="s">
        <v>47</v>
      </c>
      <c r="F24" s="1000" t="s">
        <v>47</v>
      </c>
      <c r="H24" s="1000">
        <v>233</v>
      </c>
      <c r="I24" s="1029">
        <v>6.13</v>
      </c>
      <c r="J24" s="1029">
        <v>3.06</v>
      </c>
      <c r="K24" s="1029">
        <v>2.04</v>
      </c>
      <c r="L24" s="1029">
        <v>13.56</v>
      </c>
      <c r="M24" s="1029">
        <v>6.78</v>
      </c>
      <c r="N24" s="1029">
        <v>4.5199999999999996</v>
      </c>
      <c r="O24" s="1029">
        <v>13.28</v>
      </c>
      <c r="P24" s="1029">
        <v>6.64</v>
      </c>
      <c r="Q24" s="1029">
        <v>4.43</v>
      </c>
    </row>
    <row r="25" spans="3:17">
      <c r="C25" s="1021"/>
      <c r="D25" s="1025"/>
      <c r="E25" s="1002"/>
      <c r="F25" s="1000" t="s">
        <v>333</v>
      </c>
      <c r="H25" s="1000">
        <v>234</v>
      </c>
      <c r="I25" s="1029">
        <v>6.13</v>
      </c>
      <c r="J25" s="1029">
        <v>3.06</v>
      </c>
      <c r="K25" s="1029">
        <v>2.04</v>
      </c>
      <c r="L25" s="1029">
        <v>13.56</v>
      </c>
      <c r="M25" s="1029">
        <v>6.78</v>
      </c>
      <c r="N25" s="1029">
        <v>4.5199999999999996</v>
      </c>
      <c r="O25" s="1029">
        <v>13.28</v>
      </c>
      <c r="P25" s="1029">
        <v>6.64</v>
      </c>
      <c r="Q25" s="1029">
        <v>4.43</v>
      </c>
    </row>
    <row r="26" spans="3:17">
      <c r="C26" s="1021"/>
      <c r="D26" s="1025"/>
      <c r="E26" s="1003"/>
      <c r="F26" s="1000" t="s">
        <v>48</v>
      </c>
      <c r="H26" s="1000">
        <v>235</v>
      </c>
      <c r="I26" s="1029">
        <v>6.13</v>
      </c>
      <c r="J26" s="1029">
        <v>3.06</v>
      </c>
      <c r="K26" s="1029">
        <v>2.04</v>
      </c>
      <c r="L26" s="1029">
        <v>13.56</v>
      </c>
      <c r="M26" s="1029">
        <v>6.78</v>
      </c>
      <c r="N26" s="1029">
        <v>4.5199999999999996</v>
      </c>
      <c r="O26" s="1029">
        <v>13.28</v>
      </c>
      <c r="P26" s="1029">
        <v>6.64</v>
      </c>
      <c r="Q26" s="1029">
        <v>4.43</v>
      </c>
    </row>
    <row r="27" spans="3:17">
      <c r="C27" s="1021"/>
      <c r="D27" s="1025"/>
      <c r="E27" s="1001" t="s">
        <v>333</v>
      </c>
      <c r="F27" s="1000" t="s">
        <v>47</v>
      </c>
      <c r="H27" s="1000">
        <v>243</v>
      </c>
      <c r="I27" s="1029">
        <v>6.13</v>
      </c>
      <c r="J27" s="1029">
        <v>3.06</v>
      </c>
      <c r="K27" s="1029">
        <v>2.04</v>
      </c>
      <c r="L27" s="1029">
        <v>13.56</v>
      </c>
      <c r="M27" s="1029">
        <v>6.78</v>
      </c>
      <c r="N27" s="1029">
        <v>4.5199999999999996</v>
      </c>
      <c r="O27" s="1029">
        <v>13.28</v>
      </c>
      <c r="P27" s="1029">
        <v>6.64</v>
      </c>
      <c r="Q27" s="1029">
        <v>4.43</v>
      </c>
    </row>
    <row r="28" spans="3:17">
      <c r="C28" s="1021"/>
      <c r="D28" s="1025"/>
      <c r="E28" s="1002"/>
      <c r="F28" s="1000" t="s">
        <v>333</v>
      </c>
      <c r="H28" s="1000">
        <v>244</v>
      </c>
      <c r="I28" s="1029">
        <v>6.13</v>
      </c>
      <c r="J28" s="1029">
        <v>3.06</v>
      </c>
      <c r="K28" s="1029">
        <v>2.04</v>
      </c>
      <c r="L28" s="1029">
        <v>13.56</v>
      </c>
      <c r="M28" s="1029">
        <v>6.78</v>
      </c>
      <c r="N28" s="1029">
        <v>4.5199999999999996</v>
      </c>
      <c r="O28" s="1029">
        <v>13.28</v>
      </c>
      <c r="P28" s="1029">
        <v>6.64</v>
      </c>
      <c r="Q28" s="1029">
        <v>4.43</v>
      </c>
    </row>
    <row r="29" spans="3:17">
      <c r="C29" s="1022"/>
      <c r="D29" s="1026"/>
      <c r="E29" s="1003"/>
      <c r="F29" s="1000" t="s">
        <v>48</v>
      </c>
      <c r="H29" s="1000">
        <v>245</v>
      </c>
      <c r="I29" s="1029">
        <v>6.13</v>
      </c>
      <c r="J29" s="1029">
        <v>3.06</v>
      </c>
      <c r="K29" s="1029">
        <v>2.04</v>
      </c>
      <c r="L29" s="1029">
        <v>13.56</v>
      </c>
      <c r="M29" s="1029">
        <v>6.78</v>
      </c>
      <c r="N29" s="1029">
        <v>4.5199999999999996</v>
      </c>
      <c r="O29" s="1029">
        <v>13.28</v>
      </c>
      <c r="P29" s="1029">
        <v>6.64</v>
      </c>
      <c r="Q29" s="1029">
        <v>4.43</v>
      </c>
    </row>
    <row r="30" spans="3:17">
      <c r="C30" s="1027" t="s">
        <v>47</v>
      </c>
      <c r="D30" s="1024"/>
      <c r="E30" s="1001" t="s">
        <v>46</v>
      </c>
      <c r="F30" s="1000" t="s">
        <v>47</v>
      </c>
      <c r="H30" s="1000">
        <v>313</v>
      </c>
      <c r="I30" s="1029">
        <v>6.13</v>
      </c>
      <c r="J30" s="1029">
        <v>3.06</v>
      </c>
      <c r="K30" s="1029">
        <v>2.04</v>
      </c>
      <c r="L30" s="1029">
        <v>13.56</v>
      </c>
      <c r="M30" s="1029">
        <v>6.78</v>
      </c>
      <c r="N30" s="1029">
        <v>4.5199999999999996</v>
      </c>
      <c r="O30" s="1029">
        <v>13.28</v>
      </c>
      <c r="P30" s="1029">
        <v>6.64</v>
      </c>
      <c r="Q30" s="1029">
        <v>4.43</v>
      </c>
    </row>
    <row r="31" spans="3:17">
      <c r="C31" s="1021"/>
      <c r="D31" s="1025"/>
      <c r="E31" s="1002"/>
      <c r="F31" s="1000" t="s">
        <v>333</v>
      </c>
      <c r="H31" s="1000">
        <v>314</v>
      </c>
      <c r="I31" s="1029">
        <v>6.13</v>
      </c>
      <c r="J31" s="1029">
        <v>3.06</v>
      </c>
      <c r="K31" s="1029">
        <v>2.04</v>
      </c>
      <c r="L31" s="1029">
        <v>13.56</v>
      </c>
      <c r="M31" s="1029">
        <v>6.78</v>
      </c>
      <c r="N31" s="1029">
        <v>4.5199999999999996</v>
      </c>
      <c r="O31" s="1029">
        <v>13.28</v>
      </c>
      <c r="P31" s="1029">
        <v>6.64</v>
      </c>
      <c r="Q31" s="1029">
        <v>4.43</v>
      </c>
    </row>
    <row r="32" spans="3:17">
      <c r="C32" s="1021"/>
      <c r="D32" s="1025"/>
      <c r="E32" s="1003"/>
      <c r="F32" s="1000" t="s">
        <v>48</v>
      </c>
      <c r="H32" s="1000">
        <v>315</v>
      </c>
      <c r="I32" s="1029">
        <v>6.13</v>
      </c>
      <c r="J32" s="1029">
        <v>3.06</v>
      </c>
      <c r="K32" s="1029">
        <v>2.04</v>
      </c>
      <c r="L32" s="1029">
        <v>13.56</v>
      </c>
      <c r="M32" s="1029">
        <v>6.78</v>
      </c>
      <c r="N32" s="1029">
        <v>4.5199999999999996</v>
      </c>
      <c r="O32" s="1029">
        <v>13.28</v>
      </c>
      <c r="P32" s="1029">
        <v>6.64</v>
      </c>
      <c r="Q32" s="1029">
        <v>4.43</v>
      </c>
    </row>
    <row r="33" spans="3:17">
      <c r="C33" s="1021"/>
      <c r="D33" s="1025"/>
      <c r="E33" s="1001" t="s">
        <v>332</v>
      </c>
      <c r="F33" s="1000" t="s">
        <v>47</v>
      </c>
      <c r="H33" s="1000">
        <v>323</v>
      </c>
      <c r="I33" s="1029">
        <v>6.13</v>
      </c>
      <c r="J33" s="1029">
        <v>3.06</v>
      </c>
      <c r="K33" s="1029">
        <v>2.04</v>
      </c>
      <c r="L33" s="1029">
        <v>13.56</v>
      </c>
      <c r="M33" s="1029">
        <v>6.78</v>
      </c>
      <c r="N33" s="1029">
        <v>4.5199999999999996</v>
      </c>
      <c r="O33" s="1029">
        <v>13.28</v>
      </c>
      <c r="P33" s="1029">
        <v>6.64</v>
      </c>
      <c r="Q33" s="1029">
        <v>4.43</v>
      </c>
    </row>
    <row r="34" spans="3:17">
      <c r="C34" s="1021"/>
      <c r="D34" s="1025"/>
      <c r="E34" s="1002"/>
      <c r="F34" s="1000" t="s">
        <v>333</v>
      </c>
      <c r="H34" s="1000">
        <v>324</v>
      </c>
      <c r="I34" s="1029">
        <v>6.13</v>
      </c>
      <c r="J34" s="1029">
        <v>3.06</v>
      </c>
      <c r="K34" s="1029">
        <v>2.04</v>
      </c>
      <c r="L34" s="1029">
        <v>13.56</v>
      </c>
      <c r="M34" s="1029">
        <v>6.78</v>
      </c>
      <c r="N34" s="1029">
        <v>4.5199999999999996</v>
      </c>
      <c r="O34" s="1029">
        <v>13.28</v>
      </c>
      <c r="P34" s="1029">
        <v>6.64</v>
      </c>
      <c r="Q34" s="1029">
        <v>4.43</v>
      </c>
    </row>
    <row r="35" spans="3:17">
      <c r="C35" s="1021"/>
      <c r="D35" s="1025"/>
      <c r="E35" s="1003"/>
      <c r="F35" s="1000" t="s">
        <v>48</v>
      </c>
      <c r="H35" s="1000">
        <v>325</v>
      </c>
      <c r="I35" s="1029">
        <v>6.13</v>
      </c>
      <c r="J35" s="1029">
        <v>3.06</v>
      </c>
      <c r="K35" s="1029">
        <v>2.04</v>
      </c>
      <c r="L35" s="1029">
        <v>13.56</v>
      </c>
      <c r="M35" s="1029">
        <v>6.78</v>
      </c>
      <c r="N35" s="1029">
        <v>4.5199999999999996</v>
      </c>
      <c r="O35" s="1029">
        <v>13.28</v>
      </c>
      <c r="P35" s="1029">
        <v>6.64</v>
      </c>
      <c r="Q35" s="1029">
        <v>4.43</v>
      </c>
    </row>
    <row r="36" spans="3:17">
      <c r="C36" s="1021"/>
      <c r="D36" s="1025"/>
      <c r="E36" s="1001" t="s">
        <v>47</v>
      </c>
      <c r="F36" s="1000" t="s">
        <v>47</v>
      </c>
      <c r="H36" s="1000">
        <v>333</v>
      </c>
      <c r="I36" s="1030">
        <v>6.13</v>
      </c>
      <c r="J36" s="1029">
        <v>3.06</v>
      </c>
      <c r="K36" s="1029">
        <v>2.04</v>
      </c>
      <c r="L36" s="1030">
        <v>13.56</v>
      </c>
      <c r="M36" s="1029">
        <v>6.78</v>
      </c>
      <c r="N36" s="1029">
        <v>4.5199999999999996</v>
      </c>
      <c r="O36" s="1030">
        <v>13.28</v>
      </c>
      <c r="P36" s="1029">
        <v>6.64</v>
      </c>
      <c r="Q36" s="1029">
        <v>4.43</v>
      </c>
    </row>
    <row r="37" spans="3:17">
      <c r="C37" s="1021"/>
      <c r="D37" s="1025"/>
      <c r="E37" s="1002"/>
      <c r="F37" s="1000" t="s">
        <v>333</v>
      </c>
      <c r="H37" s="1000">
        <v>334</v>
      </c>
      <c r="I37" s="1029">
        <v>6.13</v>
      </c>
      <c r="J37" s="1029">
        <v>3.06</v>
      </c>
      <c r="K37" s="1029">
        <v>2.04</v>
      </c>
      <c r="L37" s="1029">
        <v>13.56</v>
      </c>
      <c r="M37" s="1029">
        <v>6.78</v>
      </c>
      <c r="N37" s="1029">
        <v>4.5199999999999996</v>
      </c>
      <c r="O37" s="1029">
        <v>13.28</v>
      </c>
      <c r="P37" s="1029">
        <v>6.64</v>
      </c>
      <c r="Q37" s="1029">
        <v>4.43</v>
      </c>
    </row>
    <row r="38" spans="3:17">
      <c r="C38" s="1021"/>
      <c r="D38" s="1025"/>
      <c r="E38" s="1003"/>
      <c r="F38" s="1000" t="s">
        <v>48</v>
      </c>
      <c r="H38" s="1000">
        <v>335</v>
      </c>
      <c r="I38" s="1029">
        <v>6.13</v>
      </c>
      <c r="J38" s="1029">
        <v>3.06</v>
      </c>
      <c r="K38" s="1029">
        <v>2.04</v>
      </c>
      <c r="L38" s="1029">
        <v>13.56</v>
      </c>
      <c r="M38" s="1029">
        <v>6.78</v>
      </c>
      <c r="N38" s="1029">
        <v>4.5199999999999996</v>
      </c>
      <c r="O38" s="1029">
        <v>13.28</v>
      </c>
      <c r="P38" s="1029">
        <v>6.64</v>
      </c>
      <c r="Q38" s="1029">
        <v>4.43</v>
      </c>
    </row>
    <row r="39" spans="3:17">
      <c r="C39" s="1021"/>
      <c r="D39" s="1025"/>
      <c r="E39" s="1001" t="s">
        <v>333</v>
      </c>
      <c r="F39" s="1000" t="s">
        <v>47</v>
      </c>
      <c r="H39" s="1000">
        <v>343</v>
      </c>
      <c r="I39" s="1029">
        <v>6.13</v>
      </c>
      <c r="J39" s="1029">
        <v>3.06</v>
      </c>
      <c r="K39" s="1029">
        <v>2.04</v>
      </c>
      <c r="L39" s="1029">
        <v>13.56</v>
      </c>
      <c r="M39" s="1029">
        <v>6.78</v>
      </c>
      <c r="N39" s="1029">
        <v>4.5199999999999996</v>
      </c>
      <c r="O39" s="1029">
        <v>13.28</v>
      </c>
      <c r="P39" s="1029">
        <v>6.64</v>
      </c>
      <c r="Q39" s="1029">
        <v>4.43</v>
      </c>
    </row>
    <row r="40" spans="3:17">
      <c r="C40" s="1021"/>
      <c r="D40" s="1025"/>
      <c r="E40" s="1002"/>
      <c r="F40" s="1000" t="s">
        <v>333</v>
      </c>
      <c r="H40" s="1000">
        <v>344</v>
      </c>
      <c r="I40" s="1029">
        <v>6.13</v>
      </c>
      <c r="J40" s="1029">
        <v>3.06</v>
      </c>
      <c r="K40" s="1029">
        <v>2.04</v>
      </c>
      <c r="L40" s="1029">
        <v>13.56</v>
      </c>
      <c r="M40" s="1029">
        <v>6.78</v>
      </c>
      <c r="N40" s="1029">
        <v>4.5199999999999996</v>
      </c>
      <c r="O40" s="1029">
        <v>13.28</v>
      </c>
      <c r="P40" s="1029">
        <v>6.64</v>
      </c>
      <c r="Q40" s="1029">
        <v>4.43</v>
      </c>
    </row>
    <row r="41" spans="3:17">
      <c r="C41" s="1022"/>
      <c r="D41" s="1026"/>
      <c r="E41" s="1003"/>
      <c r="F41" s="1000" t="s">
        <v>48</v>
      </c>
      <c r="H41" s="1000">
        <v>345</v>
      </c>
      <c r="I41" s="1029">
        <v>6.13</v>
      </c>
      <c r="J41" s="1029">
        <v>3.06</v>
      </c>
      <c r="K41" s="1029">
        <v>2.04</v>
      </c>
      <c r="L41" s="1029">
        <v>13.56</v>
      </c>
      <c r="M41" s="1029">
        <v>6.78</v>
      </c>
      <c r="N41" s="1029">
        <v>4.5199999999999996</v>
      </c>
      <c r="O41" s="1029">
        <v>13.28</v>
      </c>
      <c r="P41" s="1029">
        <v>6.64</v>
      </c>
      <c r="Q41" s="1029">
        <v>4.43</v>
      </c>
    </row>
    <row r="42" spans="3:17">
      <c r="C42" s="1027" t="s">
        <v>333</v>
      </c>
      <c r="D42" s="1024"/>
      <c r="E42" s="1001" t="s">
        <v>46</v>
      </c>
      <c r="F42" s="1000" t="s">
        <v>47</v>
      </c>
      <c r="H42" s="1000">
        <v>413</v>
      </c>
      <c r="I42" s="1029">
        <v>6.13</v>
      </c>
      <c r="J42" s="1029">
        <v>3.06</v>
      </c>
      <c r="K42" s="1029">
        <v>2.04</v>
      </c>
      <c r="L42" s="1029">
        <v>13.56</v>
      </c>
      <c r="M42" s="1029">
        <v>6.78</v>
      </c>
      <c r="N42" s="1029">
        <v>4.5199999999999996</v>
      </c>
      <c r="O42" s="1029">
        <v>13.28</v>
      </c>
      <c r="P42" s="1029">
        <v>6.64</v>
      </c>
      <c r="Q42" s="1029">
        <v>4.43</v>
      </c>
    </row>
    <row r="43" spans="3:17">
      <c r="C43" s="1021"/>
      <c r="D43" s="1025"/>
      <c r="E43" s="1002"/>
      <c r="F43" s="1000" t="s">
        <v>333</v>
      </c>
      <c r="H43" s="1000">
        <v>414</v>
      </c>
      <c r="I43" s="1029">
        <v>6.13</v>
      </c>
      <c r="J43" s="1029">
        <v>3.06</v>
      </c>
      <c r="K43" s="1029">
        <v>2.04</v>
      </c>
      <c r="L43" s="1029">
        <v>13.56</v>
      </c>
      <c r="M43" s="1029">
        <v>6.78</v>
      </c>
      <c r="N43" s="1029">
        <v>4.5199999999999996</v>
      </c>
      <c r="O43" s="1029">
        <v>13.28</v>
      </c>
      <c r="P43" s="1029">
        <v>6.64</v>
      </c>
      <c r="Q43" s="1029">
        <v>4.43</v>
      </c>
    </row>
    <row r="44" spans="3:17">
      <c r="C44" s="1021"/>
      <c r="D44" s="1025"/>
      <c r="E44" s="1003"/>
      <c r="F44" s="1000" t="s">
        <v>48</v>
      </c>
      <c r="H44" s="1000">
        <v>415</v>
      </c>
      <c r="I44" s="1029">
        <v>6.13</v>
      </c>
      <c r="J44" s="1029">
        <v>3.06</v>
      </c>
      <c r="K44" s="1029">
        <v>2.04</v>
      </c>
      <c r="L44" s="1029">
        <v>13.56</v>
      </c>
      <c r="M44" s="1029">
        <v>6.78</v>
      </c>
      <c r="N44" s="1029">
        <v>4.5199999999999996</v>
      </c>
      <c r="O44" s="1029">
        <v>13.28</v>
      </c>
      <c r="P44" s="1029">
        <v>6.64</v>
      </c>
      <c r="Q44" s="1029">
        <v>4.43</v>
      </c>
    </row>
    <row r="45" spans="3:17">
      <c r="C45" s="1021"/>
      <c r="D45" s="1025"/>
      <c r="E45" s="1001" t="s">
        <v>332</v>
      </c>
      <c r="F45" s="1000" t="s">
        <v>47</v>
      </c>
      <c r="H45" s="1000">
        <v>423</v>
      </c>
      <c r="I45" s="1029">
        <v>6.13</v>
      </c>
      <c r="J45" s="1029">
        <v>3.06</v>
      </c>
      <c r="K45" s="1029">
        <v>2.04</v>
      </c>
      <c r="L45" s="1029">
        <v>13.56</v>
      </c>
      <c r="M45" s="1029">
        <v>6.78</v>
      </c>
      <c r="N45" s="1029">
        <v>4.5199999999999996</v>
      </c>
      <c r="O45" s="1029">
        <v>13.28</v>
      </c>
      <c r="P45" s="1029">
        <v>6.64</v>
      </c>
      <c r="Q45" s="1029">
        <v>4.43</v>
      </c>
    </row>
    <row r="46" spans="3:17">
      <c r="C46" s="1021"/>
      <c r="D46" s="1025"/>
      <c r="E46" s="1002"/>
      <c r="F46" s="1000" t="s">
        <v>333</v>
      </c>
      <c r="H46" s="1000">
        <v>424</v>
      </c>
      <c r="I46" s="1029">
        <v>6.13</v>
      </c>
      <c r="J46" s="1029">
        <v>3.06</v>
      </c>
      <c r="K46" s="1029">
        <v>2.04</v>
      </c>
      <c r="L46" s="1029">
        <v>13.56</v>
      </c>
      <c r="M46" s="1029">
        <v>6.78</v>
      </c>
      <c r="N46" s="1029">
        <v>4.5199999999999996</v>
      </c>
      <c r="O46" s="1029">
        <v>13.28</v>
      </c>
      <c r="P46" s="1029">
        <v>6.64</v>
      </c>
      <c r="Q46" s="1029">
        <v>4.43</v>
      </c>
    </row>
    <row r="47" spans="3:17">
      <c r="C47" s="1021"/>
      <c r="D47" s="1025"/>
      <c r="E47" s="1003"/>
      <c r="F47" s="1000" t="s">
        <v>48</v>
      </c>
      <c r="H47" s="1000">
        <v>425</v>
      </c>
      <c r="I47" s="1029">
        <v>6.13</v>
      </c>
      <c r="J47" s="1029">
        <v>3.06</v>
      </c>
      <c r="K47" s="1029">
        <v>2.04</v>
      </c>
      <c r="L47" s="1029">
        <v>13.56</v>
      </c>
      <c r="M47" s="1029">
        <v>6.78</v>
      </c>
      <c r="N47" s="1029">
        <v>4.5199999999999996</v>
      </c>
      <c r="O47" s="1029">
        <v>13.28</v>
      </c>
      <c r="P47" s="1029">
        <v>6.64</v>
      </c>
      <c r="Q47" s="1029">
        <v>4.43</v>
      </c>
    </row>
    <row r="48" spans="3:17">
      <c r="C48" s="1021"/>
      <c r="D48" s="1025"/>
      <c r="E48" s="1001" t="s">
        <v>47</v>
      </c>
      <c r="F48" s="1000" t="s">
        <v>47</v>
      </c>
      <c r="H48" s="1000">
        <v>433</v>
      </c>
      <c r="I48" s="1029">
        <v>6.13</v>
      </c>
      <c r="J48" s="1029">
        <v>3.06</v>
      </c>
      <c r="K48" s="1029">
        <v>2.04</v>
      </c>
      <c r="L48" s="1029">
        <v>13.56</v>
      </c>
      <c r="M48" s="1029">
        <v>6.78</v>
      </c>
      <c r="N48" s="1029">
        <v>4.5199999999999996</v>
      </c>
      <c r="O48" s="1029">
        <v>13.28</v>
      </c>
      <c r="P48" s="1029">
        <v>6.64</v>
      </c>
      <c r="Q48" s="1029">
        <v>4.43</v>
      </c>
    </row>
    <row r="49" spans="3:17">
      <c r="C49" s="1021"/>
      <c r="D49" s="1025"/>
      <c r="E49" s="1002"/>
      <c r="F49" s="1000" t="s">
        <v>333</v>
      </c>
      <c r="H49" s="1000">
        <v>434</v>
      </c>
      <c r="I49" s="1029">
        <v>6.13</v>
      </c>
      <c r="J49" s="1029">
        <v>3.06</v>
      </c>
      <c r="K49" s="1029">
        <v>2.04</v>
      </c>
      <c r="L49" s="1029">
        <v>13.56</v>
      </c>
      <c r="M49" s="1029">
        <v>6.78</v>
      </c>
      <c r="N49" s="1029">
        <v>4.5199999999999996</v>
      </c>
      <c r="O49" s="1029">
        <v>13.28</v>
      </c>
      <c r="P49" s="1029">
        <v>6.64</v>
      </c>
      <c r="Q49" s="1029">
        <v>4.43</v>
      </c>
    </row>
    <row r="50" spans="3:17">
      <c r="C50" s="1021"/>
      <c r="D50" s="1025"/>
      <c r="E50" s="1003"/>
      <c r="F50" s="1000" t="s">
        <v>48</v>
      </c>
      <c r="H50" s="1000">
        <v>435</v>
      </c>
      <c r="I50" s="1029">
        <v>6.13</v>
      </c>
      <c r="J50" s="1029">
        <v>3.06</v>
      </c>
      <c r="K50" s="1029">
        <v>2.04</v>
      </c>
      <c r="L50" s="1029">
        <v>13.56</v>
      </c>
      <c r="M50" s="1029">
        <v>6.78</v>
      </c>
      <c r="N50" s="1029">
        <v>4.5199999999999996</v>
      </c>
      <c r="O50" s="1029">
        <v>13.28</v>
      </c>
      <c r="P50" s="1029">
        <v>6.64</v>
      </c>
      <c r="Q50" s="1029">
        <v>4.43</v>
      </c>
    </row>
    <row r="51" spans="3:17">
      <c r="C51" s="1021"/>
      <c r="D51" s="1025"/>
      <c r="E51" s="1001" t="s">
        <v>333</v>
      </c>
      <c r="F51" s="1000" t="s">
        <v>47</v>
      </c>
      <c r="H51" s="1000">
        <v>443</v>
      </c>
      <c r="I51" s="1029">
        <v>6.13</v>
      </c>
      <c r="J51" s="1029">
        <v>3.06</v>
      </c>
      <c r="K51" s="1029">
        <v>2.04</v>
      </c>
      <c r="L51" s="1029">
        <v>13.56</v>
      </c>
      <c r="M51" s="1029">
        <v>6.78</v>
      </c>
      <c r="N51" s="1029">
        <v>4.5199999999999996</v>
      </c>
      <c r="O51" s="1029">
        <v>13.28</v>
      </c>
      <c r="P51" s="1029">
        <v>6.64</v>
      </c>
      <c r="Q51" s="1029">
        <v>4.43</v>
      </c>
    </row>
    <row r="52" spans="3:17">
      <c r="C52" s="1021"/>
      <c r="D52" s="1025"/>
      <c r="E52" s="1002"/>
      <c r="F52" s="1000" t="s">
        <v>333</v>
      </c>
      <c r="H52" s="1000">
        <v>444</v>
      </c>
      <c r="I52" s="1029">
        <v>6.13</v>
      </c>
      <c r="J52" s="1029">
        <v>3.06</v>
      </c>
      <c r="K52" s="1029">
        <v>2.04</v>
      </c>
      <c r="L52" s="1029">
        <v>13.56</v>
      </c>
      <c r="M52" s="1029">
        <v>6.78</v>
      </c>
      <c r="N52" s="1029">
        <v>4.5199999999999996</v>
      </c>
      <c r="O52" s="1029">
        <v>13.28</v>
      </c>
      <c r="P52" s="1029">
        <v>6.64</v>
      </c>
      <c r="Q52" s="1029">
        <v>4.43</v>
      </c>
    </row>
    <row r="53" spans="3:17">
      <c r="C53" s="1022"/>
      <c r="D53" s="1026"/>
      <c r="E53" s="1003"/>
      <c r="F53" s="1000" t="s">
        <v>48</v>
      </c>
      <c r="H53" s="1000">
        <v>445</v>
      </c>
      <c r="I53" s="1029">
        <v>6.13</v>
      </c>
      <c r="J53" s="1029">
        <v>3.06</v>
      </c>
      <c r="K53" s="1029">
        <v>2.04</v>
      </c>
      <c r="L53" s="1029">
        <v>13.56</v>
      </c>
      <c r="M53" s="1029">
        <v>6.78</v>
      </c>
      <c r="N53" s="1029">
        <v>4.5199999999999996</v>
      </c>
      <c r="O53" s="1029">
        <v>13.28</v>
      </c>
      <c r="P53" s="1029">
        <v>6.64</v>
      </c>
      <c r="Q53" s="1029">
        <v>4.43</v>
      </c>
    </row>
    <row r="54" spans="3:17" ht="13.5" customHeight="1"/>
    <row r="55" spans="3:17" ht="16.5">
      <c r="C55" s="1006" t="s">
        <v>798</v>
      </c>
      <c r="D55" s="1006"/>
      <c r="I55" s="1118" t="s">
        <v>797</v>
      </c>
      <c r="J55" s="1127"/>
      <c r="K55" s="1127"/>
      <c r="L55" s="1128"/>
      <c r="M55" s="1128"/>
      <c r="N55" s="1128"/>
      <c r="O55" s="1128"/>
      <c r="P55" s="1128"/>
      <c r="Q55" s="1129"/>
    </row>
    <row r="56" spans="3:17" s="996" customFormat="1" ht="14.25">
      <c r="F56" s="988" t="s">
        <v>791</v>
      </c>
      <c r="I56" s="1130" t="s">
        <v>353</v>
      </c>
      <c r="J56" s="1131"/>
      <c r="K56" s="1132"/>
      <c r="L56" s="1130" t="s">
        <v>354</v>
      </c>
      <c r="M56" s="1131"/>
      <c r="N56" s="1132"/>
      <c r="O56" s="1130" t="s">
        <v>355</v>
      </c>
      <c r="P56" s="1131"/>
      <c r="Q56" s="1133"/>
    </row>
    <row r="57" spans="3:17" ht="16.5">
      <c r="C57" s="1020" t="s">
        <v>792</v>
      </c>
      <c r="D57" s="1023"/>
      <c r="E57" s="1004" t="s">
        <v>793</v>
      </c>
      <c r="F57" s="998" t="s">
        <v>794</v>
      </c>
      <c r="H57" s="999"/>
      <c r="I57" s="1134" t="s">
        <v>47</v>
      </c>
      <c r="J57" s="1134" t="s">
        <v>333</v>
      </c>
      <c r="K57" s="1134" t="s">
        <v>48</v>
      </c>
      <c r="L57" s="1134" t="s">
        <v>47</v>
      </c>
      <c r="M57" s="1134" t="s">
        <v>333</v>
      </c>
      <c r="N57" s="1134" t="s">
        <v>48</v>
      </c>
      <c r="O57" s="1134" t="s">
        <v>47</v>
      </c>
      <c r="P57" s="1134" t="s">
        <v>333</v>
      </c>
      <c r="Q57" s="1134" t="s">
        <v>48</v>
      </c>
    </row>
    <row r="58" spans="3:17">
      <c r="C58" s="1027" t="s">
        <v>46</v>
      </c>
      <c r="D58" s="1024"/>
      <c r="E58" s="1001" t="s">
        <v>46</v>
      </c>
      <c r="F58" s="1000" t="s">
        <v>47</v>
      </c>
      <c r="H58" s="1000">
        <v>113</v>
      </c>
      <c r="I58" s="1277">
        <f>I110+I162</f>
        <v>4.3900000000000006</v>
      </c>
      <c r="J58" s="1277">
        <f t="shared" ref="J58:Q58" si="0">J110+J162</f>
        <v>5.53</v>
      </c>
      <c r="K58" s="1277">
        <f t="shared" si="0"/>
        <v>6.29</v>
      </c>
      <c r="L58" s="1277">
        <f t="shared" si="0"/>
        <v>4.8000000000000007</v>
      </c>
      <c r="M58" s="1277">
        <f t="shared" si="0"/>
        <v>6.37</v>
      </c>
      <c r="N58" s="1277">
        <f t="shared" si="0"/>
        <v>7.2700000000000005</v>
      </c>
      <c r="O58" s="1277">
        <f t="shared" si="0"/>
        <v>2.67</v>
      </c>
      <c r="P58" s="1277">
        <f t="shared" si="0"/>
        <v>3.73</v>
      </c>
      <c r="Q58" s="1277">
        <f t="shared" si="0"/>
        <v>4.12</v>
      </c>
    </row>
    <row r="59" spans="3:17">
      <c r="C59" s="1021"/>
      <c r="D59" s="1025"/>
      <c r="E59" s="1002"/>
      <c r="F59" s="1000" t="s">
        <v>333</v>
      </c>
      <c r="H59" s="1000">
        <v>114</v>
      </c>
      <c r="I59" s="1277">
        <f t="shared" ref="I59:Q59" si="1">I111+I163</f>
        <v>4.3900000000000006</v>
      </c>
      <c r="J59" s="1277">
        <f t="shared" si="1"/>
        <v>5.53</v>
      </c>
      <c r="K59" s="1277">
        <f t="shared" si="1"/>
        <v>6.29</v>
      </c>
      <c r="L59" s="1277">
        <f t="shared" si="1"/>
        <v>4.8000000000000007</v>
      </c>
      <c r="M59" s="1277">
        <f t="shared" si="1"/>
        <v>6.37</v>
      </c>
      <c r="N59" s="1277">
        <f t="shared" si="1"/>
        <v>7.2700000000000005</v>
      </c>
      <c r="O59" s="1277">
        <f t="shared" si="1"/>
        <v>2.67</v>
      </c>
      <c r="P59" s="1277">
        <f t="shared" si="1"/>
        <v>3.73</v>
      </c>
      <c r="Q59" s="1277">
        <f t="shared" si="1"/>
        <v>4.12</v>
      </c>
    </row>
    <row r="60" spans="3:17">
      <c r="C60" s="1021"/>
      <c r="D60" s="1025"/>
      <c r="E60" s="1003"/>
      <c r="F60" s="1000" t="s">
        <v>48</v>
      </c>
      <c r="H60" s="1000">
        <v>115</v>
      </c>
      <c r="I60" s="1277">
        <f t="shared" ref="I60:Q60" si="2">I112+I164</f>
        <v>4.3900000000000006</v>
      </c>
      <c r="J60" s="1277">
        <f t="shared" si="2"/>
        <v>5.53</v>
      </c>
      <c r="K60" s="1277">
        <f t="shared" si="2"/>
        <v>6.29</v>
      </c>
      <c r="L60" s="1277">
        <f t="shared" si="2"/>
        <v>4.8000000000000007</v>
      </c>
      <c r="M60" s="1277">
        <f t="shared" si="2"/>
        <v>6.37</v>
      </c>
      <c r="N60" s="1277">
        <f t="shared" si="2"/>
        <v>7.2700000000000005</v>
      </c>
      <c r="O60" s="1277">
        <f t="shared" si="2"/>
        <v>2.67</v>
      </c>
      <c r="P60" s="1277">
        <f t="shared" si="2"/>
        <v>3.73</v>
      </c>
      <c r="Q60" s="1277">
        <f t="shared" si="2"/>
        <v>4.12</v>
      </c>
    </row>
    <row r="61" spans="3:17">
      <c r="C61" s="1021"/>
      <c r="D61" s="1025"/>
      <c r="E61" s="1001" t="s">
        <v>332</v>
      </c>
      <c r="F61" s="1000" t="s">
        <v>47</v>
      </c>
      <c r="H61" s="1000">
        <v>123</v>
      </c>
      <c r="I61" s="1277">
        <f t="shared" ref="I61:Q61" si="3">I113+I165</f>
        <v>4.3900000000000006</v>
      </c>
      <c r="J61" s="1277">
        <f t="shared" si="3"/>
        <v>5.53</v>
      </c>
      <c r="K61" s="1277">
        <f t="shared" si="3"/>
        <v>6.29</v>
      </c>
      <c r="L61" s="1277">
        <f t="shared" si="3"/>
        <v>4.8000000000000007</v>
      </c>
      <c r="M61" s="1277">
        <f t="shared" si="3"/>
        <v>6.37</v>
      </c>
      <c r="N61" s="1277">
        <f t="shared" si="3"/>
        <v>7.2700000000000005</v>
      </c>
      <c r="O61" s="1277">
        <f t="shared" si="3"/>
        <v>2.67</v>
      </c>
      <c r="P61" s="1277">
        <f t="shared" si="3"/>
        <v>3.73</v>
      </c>
      <c r="Q61" s="1277">
        <f t="shared" si="3"/>
        <v>4.12</v>
      </c>
    </row>
    <row r="62" spans="3:17">
      <c r="C62" s="1021"/>
      <c r="D62" s="1025"/>
      <c r="E62" s="1002"/>
      <c r="F62" s="1000" t="s">
        <v>333</v>
      </c>
      <c r="H62" s="1000">
        <v>124</v>
      </c>
      <c r="I62" s="1277">
        <f t="shared" ref="I62:Q62" si="4">I114+I166</f>
        <v>3.94</v>
      </c>
      <c r="J62" s="1277">
        <f t="shared" si="4"/>
        <v>5.09</v>
      </c>
      <c r="K62" s="1277">
        <f t="shared" si="4"/>
        <v>5.84</v>
      </c>
      <c r="L62" s="1277">
        <f t="shared" si="4"/>
        <v>4.34</v>
      </c>
      <c r="M62" s="1277">
        <f t="shared" si="4"/>
        <v>5.91</v>
      </c>
      <c r="N62" s="1277">
        <f t="shared" si="4"/>
        <v>6.82</v>
      </c>
      <c r="O62" s="1277">
        <f t="shared" si="4"/>
        <v>2.64</v>
      </c>
      <c r="P62" s="1277">
        <f t="shared" si="4"/>
        <v>3.6999999999999997</v>
      </c>
      <c r="Q62" s="1277">
        <f t="shared" si="4"/>
        <v>4.08</v>
      </c>
    </row>
    <row r="63" spans="3:17">
      <c r="C63" s="1021"/>
      <c r="D63" s="1025"/>
      <c r="E63" s="1003"/>
      <c r="F63" s="1000" t="s">
        <v>48</v>
      </c>
      <c r="H63" s="1000">
        <v>125</v>
      </c>
      <c r="I63" s="1277">
        <f t="shared" ref="I63:Q63" si="5">I115+I167</f>
        <v>3.5100000000000002</v>
      </c>
      <c r="J63" s="1277">
        <f t="shared" si="5"/>
        <v>5.09</v>
      </c>
      <c r="K63" s="1277">
        <f t="shared" si="5"/>
        <v>5.6899999999999995</v>
      </c>
      <c r="L63" s="1277">
        <f t="shared" si="5"/>
        <v>3.89</v>
      </c>
      <c r="M63" s="1277">
        <f t="shared" si="5"/>
        <v>5.91</v>
      </c>
      <c r="N63" s="1277">
        <f t="shared" si="5"/>
        <v>6.66</v>
      </c>
      <c r="O63" s="1277">
        <f t="shared" si="5"/>
        <v>2.6</v>
      </c>
      <c r="P63" s="1277">
        <f t="shared" si="5"/>
        <v>3.6999999999999997</v>
      </c>
      <c r="Q63" s="1277">
        <f t="shared" si="5"/>
        <v>4.07</v>
      </c>
    </row>
    <row r="64" spans="3:17">
      <c r="C64" s="1021"/>
      <c r="D64" s="1025"/>
      <c r="E64" s="1001" t="s">
        <v>47</v>
      </c>
      <c r="F64" s="1000" t="s">
        <v>47</v>
      </c>
      <c r="H64" s="1000">
        <v>133</v>
      </c>
      <c r="I64" s="1277">
        <f t="shared" ref="I64:Q64" si="6">I116+I168</f>
        <v>3.5100000000000002</v>
      </c>
      <c r="J64" s="1277">
        <f t="shared" si="6"/>
        <v>4.87</v>
      </c>
      <c r="K64" s="1277">
        <f t="shared" si="6"/>
        <v>5.6899999999999995</v>
      </c>
      <c r="L64" s="1277">
        <f t="shared" si="6"/>
        <v>3.89</v>
      </c>
      <c r="M64" s="1277">
        <f t="shared" si="6"/>
        <v>5.69</v>
      </c>
      <c r="N64" s="1277">
        <f t="shared" si="6"/>
        <v>6.66</v>
      </c>
      <c r="O64" s="1277">
        <f t="shared" si="6"/>
        <v>2.6</v>
      </c>
      <c r="P64" s="1277">
        <f t="shared" si="6"/>
        <v>3.6799999999999997</v>
      </c>
      <c r="Q64" s="1277">
        <f t="shared" si="6"/>
        <v>4.07</v>
      </c>
    </row>
    <row r="65" spans="3:17">
      <c r="C65" s="1021"/>
      <c r="D65" s="1025"/>
      <c r="E65" s="1002"/>
      <c r="F65" s="1000" t="s">
        <v>333</v>
      </c>
      <c r="H65" s="1000">
        <v>134</v>
      </c>
      <c r="I65" s="1277">
        <f t="shared" ref="I65:Q65" si="7">I117+I169</f>
        <v>3.5100000000000002</v>
      </c>
      <c r="J65" s="1277">
        <f t="shared" si="7"/>
        <v>4.87</v>
      </c>
      <c r="K65" s="1277">
        <f t="shared" si="7"/>
        <v>5.4</v>
      </c>
      <c r="L65" s="1277">
        <f t="shared" si="7"/>
        <v>3.89</v>
      </c>
      <c r="M65" s="1277">
        <f t="shared" si="7"/>
        <v>5.69</v>
      </c>
      <c r="N65" s="1277">
        <f t="shared" si="7"/>
        <v>6.37</v>
      </c>
      <c r="O65" s="1277">
        <f t="shared" si="7"/>
        <v>2.6</v>
      </c>
      <c r="P65" s="1277">
        <f t="shared" si="7"/>
        <v>3.6799999999999997</v>
      </c>
      <c r="Q65" s="1277">
        <f t="shared" si="7"/>
        <v>4.05</v>
      </c>
    </row>
    <row r="66" spans="3:17">
      <c r="C66" s="1021"/>
      <c r="D66" s="1025"/>
      <c r="E66" s="1003"/>
      <c r="F66" s="1000" t="s">
        <v>48</v>
      </c>
      <c r="H66" s="1000">
        <v>135</v>
      </c>
      <c r="I66" s="1277">
        <f t="shared" ref="I66:Q66" si="8">I118+I170</f>
        <v>3.5100000000000002</v>
      </c>
      <c r="J66" s="1277">
        <f t="shared" si="8"/>
        <v>4.6500000000000004</v>
      </c>
      <c r="K66" s="1277">
        <f t="shared" si="8"/>
        <v>5.4</v>
      </c>
      <c r="L66" s="1277">
        <f t="shared" si="8"/>
        <v>3.89</v>
      </c>
      <c r="M66" s="1277">
        <f t="shared" si="8"/>
        <v>5.46</v>
      </c>
      <c r="N66" s="1277">
        <f t="shared" si="8"/>
        <v>6.37</v>
      </c>
      <c r="O66" s="1277">
        <f t="shared" si="8"/>
        <v>2.6</v>
      </c>
      <c r="P66" s="1277">
        <f t="shared" si="8"/>
        <v>3.6599999999999997</v>
      </c>
      <c r="Q66" s="1277">
        <f t="shared" si="8"/>
        <v>4.05</v>
      </c>
    </row>
    <row r="67" spans="3:17">
      <c r="C67" s="1021"/>
      <c r="D67" s="1025"/>
      <c r="E67" s="1001" t="s">
        <v>333</v>
      </c>
      <c r="F67" s="1000" t="s">
        <v>47</v>
      </c>
      <c r="H67" s="1000">
        <v>143</v>
      </c>
      <c r="I67" s="1277">
        <f t="shared" ref="I67:Q67" si="9">I119+I171</f>
        <v>3.5100000000000002</v>
      </c>
      <c r="J67" s="1277">
        <f t="shared" si="9"/>
        <v>4.6500000000000004</v>
      </c>
      <c r="K67" s="1277">
        <f t="shared" si="9"/>
        <v>5.4</v>
      </c>
      <c r="L67" s="1277">
        <f t="shared" si="9"/>
        <v>3.89</v>
      </c>
      <c r="M67" s="1277">
        <f t="shared" si="9"/>
        <v>5.46</v>
      </c>
      <c r="N67" s="1277">
        <f t="shared" si="9"/>
        <v>6.37</v>
      </c>
      <c r="O67" s="1277">
        <f t="shared" si="9"/>
        <v>2.6</v>
      </c>
      <c r="P67" s="1277">
        <f t="shared" si="9"/>
        <v>3.6599999999999997</v>
      </c>
      <c r="Q67" s="1277">
        <f t="shared" si="9"/>
        <v>4.05</v>
      </c>
    </row>
    <row r="68" spans="3:17">
      <c r="C68" s="1021"/>
      <c r="D68" s="1025"/>
      <c r="E68" s="1002"/>
      <c r="F68" s="1000" t="s">
        <v>333</v>
      </c>
      <c r="H68" s="1000">
        <v>144</v>
      </c>
      <c r="I68" s="1277">
        <f t="shared" ref="I68:Q68" si="10">I120+I172</f>
        <v>3.5100000000000002</v>
      </c>
      <c r="J68" s="1277">
        <f t="shared" si="10"/>
        <v>4.6500000000000004</v>
      </c>
      <c r="K68" s="1277">
        <f t="shared" si="10"/>
        <v>5.25</v>
      </c>
      <c r="L68" s="1277">
        <f t="shared" si="10"/>
        <v>3.89</v>
      </c>
      <c r="M68" s="1277">
        <f t="shared" si="10"/>
        <v>5.46</v>
      </c>
      <c r="N68" s="1277">
        <f t="shared" si="10"/>
        <v>6.21</v>
      </c>
      <c r="O68" s="1277">
        <f t="shared" si="10"/>
        <v>2.6</v>
      </c>
      <c r="P68" s="1277">
        <f t="shared" si="10"/>
        <v>3.6599999999999997</v>
      </c>
      <c r="Q68" s="1277">
        <f t="shared" si="10"/>
        <v>4.04</v>
      </c>
    </row>
    <row r="69" spans="3:17">
      <c r="C69" s="1022"/>
      <c r="D69" s="1026"/>
      <c r="E69" s="1003"/>
      <c r="F69" s="1000" t="s">
        <v>48</v>
      </c>
      <c r="H69" s="1000">
        <v>145</v>
      </c>
      <c r="I69" s="1277">
        <f t="shared" ref="I69:Q69" si="11">I121+I173</f>
        <v>3.5100000000000002</v>
      </c>
      <c r="J69" s="1277">
        <f t="shared" si="11"/>
        <v>4.6500000000000004</v>
      </c>
      <c r="K69" s="1277">
        <f t="shared" si="11"/>
        <v>5.25</v>
      </c>
      <c r="L69" s="1277">
        <f t="shared" si="11"/>
        <v>3.89</v>
      </c>
      <c r="M69" s="1277">
        <f t="shared" si="11"/>
        <v>5.46</v>
      </c>
      <c r="N69" s="1277">
        <f t="shared" si="11"/>
        <v>6.21</v>
      </c>
      <c r="O69" s="1277">
        <f t="shared" si="11"/>
        <v>2.6</v>
      </c>
      <c r="P69" s="1277">
        <f t="shared" si="11"/>
        <v>3.6599999999999997</v>
      </c>
      <c r="Q69" s="1277">
        <f t="shared" si="11"/>
        <v>4.04</v>
      </c>
    </row>
    <row r="70" spans="3:17">
      <c r="C70" s="1027" t="s">
        <v>332</v>
      </c>
      <c r="D70" s="1024"/>
      <c r="E70" s="1001" t="s">
        <v>46</v>
      </c>
      <c r="F70" s="1000" t="s">
        <v>47</v>
      </c>
      <c r="H70" s="1000">
        <v>213</v>
      </c>
      <c r="I70" s="1277">
        <f t="shared" ref="I70:Q70" si="12">I122+I174</f>
        <v>4.3900000000000006</v>
      </c>
      <c r="J70" s="1277">
        <f t="shared" si="12"/>
        <v>5.53</v>
      </c>
      <c r="K70" s="1277">
        <f t="shared" si="12"/>
        <v>6.29</v>
      </c>
      <c r="L70" s="1277">
        <f t="shared" si="12"/>
        <v>4.8000000000000007</v>
      </c>
      <c r="M70" s="1277">
        <f t="shared" si="12"/>
        <v>6.37</v>
      </c>
      <c r="N70" s="1277">
        <f t="shared" si="12"/>
        <v>7.2700000000000005</v>
      </c>
      <c r="O70" s="1277">
        <f t="shared" si="12"/>
        <v>2.67</v>
      </c>
      <c r="P70" s="1277">
        <f t="shared" si="12"/>
        <v>3.73</v>
      </c>
      <c r="Q70" s="1277">
        <f t="shared" si="12"/>
        <v>4.12</v>
      </c>
    </row>
    <row r="71" spans="3:17">
      <c r="C71" s="1021"/>
      <c r="D71" s="1025"/>
      <c r="E71" s="1002"/>
      <c r="F71" s="1000" t="s">
        <v>333</v>
      </c>
      <c r="H71" s="1000">
        <v>214</v>
      </c>
      <c r="I71" s="1277">
        <f t="shared" ref="I71:Q71" si="13">I123+I175</f>
        <v>3.83</v>
      </c>
      <c r="J71" s="1277">
        <f t="shared" si="13"/>
        <v>4.97</v>
      </c>
      <c r="K71" s="1277">
        <f t="shared" si="13"/>
        <v>5.7200000000000006</v>
      </c>
      <c r="L71" s="1277">
        <f t="shared" si="13"/>
        <v>4.1900000000000004</v>
      </c>
      <c r="M71" s="1277">
        <f t="shared" si="13"/>
        <v>5.76</v>
      </c>
      <c r="N71" s="1277">
        <f t="shared" si="13"/>
        <v>6.67</v>
      </c>
      <c r="O71" s="1277">
        <f t="shared" si="13"/>
        <v>2.67</v>
      </c>
      <c r="P71" s="1277">
        <f t="shared" si="13"/>
        <v>3.73</v>
      </c>
      <c r="Q71" s="1277">
        <f t="shared" si="13"/>
        <v>4.12</v>
      </c>
    </row>
    <row r="72" spans="3:17">
      <c r="C72" s="1021"/>
      <c r="D72" s="1025"/>
      <c r="E72" s="1003"/>
      <c r="F72" s="1000" t="s">
        <v>48</v>
      </c>
      <c r="H72" s="1000">
        <v>215</v>
      </c>
      <c r="I72" s="1277">
        <f t="shared" ref="I72:Q72" si="14">I124+I176</f>
        <v>3.2600000000000002</v>
      </c>
      <c r="J72" s="1277">
        <f t="shared" si="14"/>
        <v>4.97</v>
      </c>
      <c r="K72" s="1277">
        <f t="shared" si="14"/>
        <v>5.5299999999999994</v>
      </c>
      <c r="L72" s="1277">
        <f t="shared" si="14"/>
        <v>3.6</v>
      </c>
      <c r="M72" s="1277">
        <f t="shared" si="14"/>
        <v>5.76</v>
      </c>
      <c r="N72" s="1277">
        <f t="shared" si="14"/>
        <v>6.47</v>
      </c>
      <c r="O72" s="1277">
        <f t="shared" si="14"/>
        <v>2.67</v>
      </c>
      <c r="P72" s="1277">
        <f t="shared" si="14"/>
        <v>3.73</v>
      </c>
      <c r="Q72" s="1277">
        <f t="shared" si="14"/>
        <v>4.12</v>
      </c>
    </row>
    <row r="73" spans="3:17">
      <c r="C73" s="1021"/>
      <c r="D73" s="1025"/>
      <c r="E73" s="1001" t="s">
        <v>332</v>
      </c>
      <c r="F73" s="1000" t="s">
        <v>47</v>
      </c>
      <c r="H73" s="1000">
        <v>223</v>
      </c>
      <c r="I73" s="1277">
        <f t="shared" ref="I73:Q73" si="15">I125+I177</f>
        <v>4.3900000000000006</v>
      </c>
      <c r="J73" s="1277">
        <f t="shared" si="15"/>
        <v>5.53</v>
      </c>
      <c r="K73" s="1277">
        <f t="shared" si="15"/>
        <v>6.29</v>
      </c>
      <c r="L73" s="1277">
        <f t="shared" si="15"/>
        <v>4.8000000000000007</v>
      </c>
      <c r="M73" s="1277">
        <f t="shared" si="15"/>
        <v>6.37</v>
      </c>
      <c r="N73" s="1277">
        <f t="shared" si="15"/>
        <v>7.2700000000000005</v>
      </c>
      <c r="O73" s="1277">
        <f t="shared" si="15"/>
        <v>2.67</v>
      </c>
      <c r="P73" s="1277">
        <f t="shared" si="15"/>
        <v>3.73</v>
      </c>
      <c r="Q73" s="1277">
        <f t="shared" si="15"/>
        <v>4.12</v>
      </c>
    </row>
    <row r="74" spans="3:17">
      <c r="C74" s="1021"/>
      <c r="D74" s="1025"/>
      <c r="E74" s="1002"/>
      <c r="F74" s="1000" t="s">
        <v>333</v>
      </c>
      <c r="H74" s="1000">
        <v>224</v>
      </c>
      <c r="I74" s="1277">
        <f t="shared" ref="I74:Q74" si="16">I126+I178</f>
        <v>3.3800000000000003</v>
      </c>
      <c r="J74" s="1277">
        <f t="shared" si="16"/>
        <v>4.53</v>
      </c>
      <c r="K74" s="1277">
        <f t="shared" si="16"/>
        <v>5.28</v>
      </c>
      <c r="L74" s="1277">
        <f t="shared" si="16"/>
        <v>3.7399999999999998</v>
      </c>
      <c r="M74" s="1277">
        <f t="shared" si="16"/>
        <v>5.32</v>
      </c>
      <c r="N74" s="1277">
        <f t="shared" si="16"/>
        <v>6.2200000000000006</v>
      </c>
      <c r="O74" s="1277">
        <f t="shared" si="16"/>
        <v>2.64</v>
      </c>
      <c r="P74" s="1277">
        <f t="shared" si="16"/>
        <v>3.6999999999999997</v>
      </c>
      <c r="Q74" s="1277">
        <f t="shared" si="16"/>
        <v>4.08</v>
      </c>
    </row>
    <row r="75" spans="3:17">
      <c r="C75" s="1021"/>
      <c r="D75" s="1025"/>
      <c r="E75" s="1003"/>
      <c r="F75" s="1000" t="s">
        <v>48</v>
      </c>
      <c r="H75" s="1000">
        <v>225</v>
      </c>
      <c r="I75" s="1277">
        <f t="shared" ref="I75:Q75" si="17">I127+I179</f>
        <v>2.37</v>
      </c>
      <c r="J75" s="1277">
        <f t="shared" si="17"/>
        <v>4.53</v>
      </c>
      <c r="K75" s="1277">
        <f t="shared" si="17"/>
        <v>4.9400000000000004</v>
      </c>
      <c r="L75" s="1277">
        <f t="shared" si="17"/>
        <v>2.67</v>
      </c>
      <c r="M75" s="1277">
        <f t="shared" si="17"/>
        <v>5.32</v>
      </c>
      <c r="N75" s="1277">
        <f t="shared" si="17"/>
        <v>5.8699999999999992</v>
      </c>
      <c r="O75" s="1277">
        <f t="shared" si="17"/>
        <v>2.6</v>
      </c>
      <c r="P75" s="1277">
        <f t="shared" si="17"/>
        <v>3.6999999999999997</v>
      </c>
      <c r="Q75" s="1277">
        <f t="shared" si="17"/>
        <v>4.07</v>
      </c>
    </row>
    <row r="76" spans="3:17">
      <c r="C76" s="1021"/>
      <c r="D76" s="1025"/>
      <c r="E76" s="1001" t="s">
        <v>47</v>
      </c>
      <c r="F76" s="1000" t="s">
        <v>47</v>
      </c>
      <c r="H76" s="1000">
        <v>233</v>
      </c>
      <c r="I76" s="1277">
        <f t="shared" ref="I76:Q76" si="18">I128+I180</f>
        <v>3.5100000000000002</v>
      </c>
      <c r="J76" s="1277">
        <f t="shared" si="18"/>
        <v>4.87</v>
      </c>
      <c r="K76" s="1277">
        <f t="shared" si="18"/>
        <v>5.6899999999999995</v>
      </c>
      <c r="L76" s="1277">
        <f t="shared" si="18"/>
        <v>3.89</v>
      </c>
      <c r="M76" s="1277">
        <f t="shared" si="18"/>
        <v>5.69</v>
      </c>
      <c r="N76" s="1277">
        <f t="shared" si="18"/>
        <v>6.66</v>
      </c>
      <c r="O76" s="1277">
        <f t="shared" si="18"/>
        <v>2.6</v>
      </c>
      <c r="P76" s="1277">
        <f t="shared" si="18"/>
        <v>3.6799999999999997</v>
      </c>
      <c r="Q76" s="1277">
        <f t="shared" si="18"/>
        <v>4.07</v>
      </c>
    </row>
    <row r="77" spans="3:17">
      <c r="C77" s="1021"/>
      <c r="D77" s="1025"/>
      <c r="E77" s="1002"/>
      <c r="F77" s="1000" t="s">
        <v>333</v>
      </c>
      <c r="H77" s="1000">
        <v>234</v>
      </c>
      <c r="I77" s="1277">
        <f t="shared" ref="I77:Q77" si="19">I129+I181</f>
        <v>2.94</v>
      </c>
      <c r="J77" s="1277">
        <f t="shared" si="19"/>
        <v>4.3</v>
      </c>
      <c r="K77" s="1277">
        <f t="shared" si="19"/>
        <v>4.83</v>
      </c>
      <c r="L77" s="1277">
        <f t="shared" si="19"/>
        <v>3.3000000000000003</v>
      </c>
      <c r="M77" s="1277">
        <f t="shared" si="19"/>
        <v>5.09</v>
      </c>
      <c r="N77" s="1277">
        <f t="shared" si="19"/>
        <v>5.76</v>
      </c>
      <c r="O77" s="1277">
        <f t="shared" si="19"/>
        <v>2.6</v>
      </c>
      <c r="P77" s="1277">
        <f t="shared" si="19"/>
        <v>3.6799999999999997</v>
      </c>
      <c r="Q77" s="1277">
        <f t="shared" si="19"/>
        <v>4.05</v>
      </c>
    </row>
    <row r="78" spans="3:17">
      <c r="C78" s="1021"/>
      <c r="D78" s="1025"/>
      <c r="E78" s="1003"/>
      <c r="F78" s="1000" t="s">
        <v>48</v>
      </c>
      <c r="H78" s="1000">
        <v>235</v>
      </c>
      <c r="I78" s="1277">
        <f t="shared" ref="I78:Q78" si="20">I130+I182</f>
        <v>2.37</v>
      </c>
      <c r="J78" s="1277">
        <f t="shared" si="20"/>
        <v>4.08</v>
      </c>
      <c r="K78" s="1277">
        <f t="shared" si="20"/>
        <v>4.6500000000000004</v>
      </c>
      <c r="L78" s="1277">
        <f t="shared" si="20"/>
        <v>2.7</v>
      </c>
      <c r="M78" s="1277">
        <f t="shared" si="20"/>
        <v>4.87</v>
      </c>
      <c r="N78" s="1277">
        <f t="shared" si="20"/>
        <v>5.5699999999999994</v>
      </c>
      <c r="O78" s="1277">
        <f t="shared" si="20"/>
        <v>2.6</v>
      </c>
      <c r="P78" s="1277">
        <f t="shared" si="20"/>
        <v>3.6599999999999997</v>
      </c>
      <c r="Q78" s="1277">
        <f t="shared" si="20"/>
        <v>4.05</v>
      </c>
    </row>
    <row r="79" spans="3:17">
      <c r="C79" s="1021"/>
      <c r="D79" s="1025"/>
      <c r="E79" s="1001" t="s">
        <v>333</v>
      </c>
      <c r="F79" s="1000" t="s">
        <v>47</v>
      </c>
      <c r="H79" s="1000">
        <v>243</v>
      </c>
      <c r="I79" s="1277">
        <f t="shared" ref="I79:Q79" si="21">I131+I183</f>
        <v>3.5100000000000002</v>
      </c>
      <c r="J79" s="1277">
        <f t="shared" si="21"/>
        <v>4.6500000000000004</v>
      </c>
      <c r="K79" s="1277">
        <f t="shared" si="21"/>
        <v>5.4</v>
      </c>
      <c r="L79" s="1277">
        <f t="shared" si="21"/>
        <v>3.89</v>
      </c>
      <c r="M79" s="1277">
        <f t="shared" si="21"/>
        <v>5.46</v>
      </c>
      <c r="N79" s="1277">
        <f t="shared" si="21"/>
        <v>6.37</v>
      </c>
      <c r="O79" s="1277">
        <f t="shared" si="21"/>
        <v>2.6</v>
      </c>
      <c r="P79" s="1277">
        <f t="shared" si="21"/>
        <v>3.6599999999999997</v>
      </c>
      <c r="Q79" s="1277">
        <f t="shared" si="21"/>
        <v>4.05</v>
      </c>
    </row>
    <row r="80" spans="3:17">
      <c r="C80" s="1021"/>
      <c r="D80" s="1025"/>
      <c r="E80" s="1002"/>
      <c r="F80" s="1000" t="s">
        <v>333</v>
      </c>
      <c r="H80" s="1000">
        <v>244</v>
      </c>
      <c r="I80" s="1277">
        <f t="shared" ref="I80:Q80" si="22">I132+I184</f>
        <v>2.94</v>
      </c>
      <c r="J80" s="1277">
        <f t="shared" si="22"/>
        <v>4.08</v>
      </c>
      <c r="K80" s="1277">
        <f t="shared" si="22"/>
        <v>4.6900000000000004</v>
      </c>
      <c r="L80" s="1277">
        <f t="shared" si="22"/>
        <v>3.3000000000000003</v>
      </c>
      <c r="M80" s="1277">
        <f t="shared" si="22"/>
        <v>4.87</v>
      </c>
      <c r="N80" s="1277">
        <f t="shared" si="22"/>
        <v>5.62</v>
      </c>
      <c r="O80" s="1277">
        <f t="shared" si="22"/>
        <v>2.6</v>
      </c>
      <c r="P80" s="1277">
        <f t="shared" si="22"/>
        <v>3.6599999999999997</v>
      </c>
      <c r="Q80" s="1277">
        <f t="shared" si="22"/>
        <v>4.04</v>
      </c>
    </row>
    <row r="81" spans="3:17">
      <c r="C81" s="1022"/>
      <c r="D81" s="1026"/>
      <c r="E81" s="1003"/>
      <c r="F81" s="1000" t="s">
        <v>48</v>
      </c>
      <c r="H81" s="1000">
        <v>245</v>
      </c>
      <c r="I81" s="1277">
        <f t="shared" ref="I81:Q81" si="23">I133+I185</f>
        <v>2.37</v>
      </c>
      <c r="J81" s="1277">
        <f t="shared" si="23"/>
        <v>4.08</v>
      </c>
      <c r="K81" s="1277">
        <f t="shared" si="23"/>
        <v>4.5</v>
      </c>
      <c r="L81" s="1277">
        <f t="shared" si="23"/>
        <v>2.7</v>
      </c>
      <c r="M81" s="1277">
        <f t="shared" si="23"/>
        <v>4.87</v>
      </c>
      <c r="N81" s="1277">
        <f t="shared" si="23"/>
        <v>5.41</v>
      </c>
      <c r="O81" s="1277">
        <f t="shared" si="23"/>
        <v>2.6</v>
      </c>
      <c r="P81" s="1277">
        <f t="shared" si="23"/>
        <v>3.6599999999999997</v>
      </c>
      <c r="Q81" s="1277">
        <f t="shared" si="23"/>
        <v>4.04</v>
      </c>
    </row>
    <row r="82" spans="3:17">
      <c r="C82" s="1027" t="s">
        <v>47</v>
      </c>
      <c r="D82" s="1024"/>
      <c r="E82" s="1001" t="s">
        <v>46</v>
      </c>
      <c r="F82" s="1000" t="s">
        <v>47</v>
      </c>
      <c r="H82" s="1000">
        <v>313</v>
      </c>
      <c r="I82" s="1277">
        <f t="shared" ref="I82:Q82" si="24">I134+I186</f>
        <v>3.2600000000000002</v>
      </c>
      <c r="J82" s="1277">
        <f t="shared" si="24"/>
        <v>4.6899999999999995</v>
      </c>
      <c r="K82" s="1277">
        <f t="shared" si="24"/>
        <v>5.5299999999999994</v>
      </c>
      <c r="L82" s="1277">
        <f t="shared" si="24"/>
        <v>3.6</v>
      </c>
      <c r="M82" s="1277">
        <f t="shared" si="24"/>
        <v>5.47</v>
      </c>
      <c r="N82" s="1277">
        <f t="shared" si="24"/>
        <v>6.47</v>
      </c>
      <c r="O82" s="1277">
        <f t="shared" si="24"/>
        <v>2.67</v>
      </c>
      <c r="P82" s="1277">
        <f t="shared" si="24"/>
        <v>3.73</v>
      </c>
      <c r="Q82" s="1277">
        <f t="shared" si="24"/>
        <v>4.12</v>
      </c>
    </row>
    <row r="83" spans="3:17">
      <c r="C83" s="1021"/>
      <c r="D83" s="1025"/>
      <c r="E83" s="1002"/>
      <c r="F83" s="1000" t="s">
        <v>333</v>
      </c>
      <c r="H83" s="1000">
        <v>314</v>
      </c>
      <c r="I83" s="1277">
        <f t="shared" ref="I83:Q83" si="25">I135+I187</f>
        <v>3.2600000000000002</v>
      </c>
      <c r="J83" s="1277">
        <f t="shared" si="25"/>
        <v>4.6899999999999995</v>
      </c>
      <c r="K83" s="1277">
        <f t="shared" si="25"/>
        <v>5.16</v>
      </c>
      <c r="L83" s="1277">
        <f t="shared" si="25"/>
        <v>3.6</v>
      </c>
      <c r="M83" s="1277">
        <f t="shared" si="25"/>
        <v>5.47</v>
      </c>
      <c r="N83" s="1277">
        <f t="shared" si="25"/>
        <v>6.07</v>
      </c>
      <c r="O83" s="1277">
        <f t="shared" si="25"/>
        <v>2.67</v>
      </c>
      <c r="P83" s="1277">
        <f t="shared" si="25"/>
        <v>3.73</v>
      </c>
      <c r="Q83" s="1277">
        <f t="shared" si="25"/>
        <v>4.12</v>
      </c>
    </row>
    <row r="84" spans="3:17">
      <c r="C84" s="1021"/>
      <c r="D84" s="1025"/>
      <c r="E84" s="1003"/>
      <c r="F84" s="1000" t="s">
        <v>48</v>
      </c>
      <c r="H84" s="1000">
        <v>315</v>
      </c>
      <c r="I84" s="1277">
        <f t="shared" ref="I84:Q84" si="26">I136+I188</f>
        <v>3.2600000000000002</v>
      </c>
      <c r="J84" s="1277">
        <f t="shared" si="26"/>
        <v>4.41</v>
      </c>
      <c r="K84" s="1277">
        <f t="shared" si="26"/>
        <v>5.16</v>
      </c>
      <c r="L84" s="1277">
        <f t="shared" si="26"/>
        <v>3.6</v>
      </c>
      <c r="M84" s="1277">
        <f t="shared" si="26"/>
        <v>5.17</v>
      </c>
      <c r="N84" s="1277">
        <f t="shared" si="26"/>
        <v>6.07</v>
      </c>
      <c r="O84" s="1277">
        <f t="shared" si="26"/>
        <v>2.67</v>
      </c>
      <c r="P84" s="1277">
        <f t="shared" si="26"/>
        <v>3.73</v>
      </c>
      <c r="Q84" s="1277">
        <f t="shared" si="26"/>
        <v>4.12</v>
      </c>
    </row>
    <row r="85" spans="3:17">
      <c r="C85" s="1021"/>
      <c r="D85" s="1025"/>
      <c r="E85" s="1001" t="s">
        <v>332</v>
      </c>
      <c r="F85" s="1000" t="s">
        <v>47</v>
      </c>
      <c r="H85" s="1000">
        <v>323</v>
      </c>
      <c r="I85" s="1277">
        <f t="shared" ref="I85:Q85" si="27">I137+I189</f>
        <v>3.2600000000000002</v>
      </c>
      <c r="J85" s="1277">
        <f t="shared" si="27"/>
        <v>4.6899999999999995</v>
      </c>
      <c r="K85" s="1277">
        <f t="shared" si="27"/>
        <v>5.5299999999999994</v>
      </c>
      <c r="L85" s="1277">
        <f t="shared" si="27"/>
        <v>3.6</v>
      </c>
      <c r="M85" s="1277">
        <f t="shared" si="27"/>
        <v>5.47</v>
      </c>
      <c r="N85" s="1277">
        <f t="shared" si="27"/>
        <v>6.47</v>
      </c>
      <c r="O85" s="1277">
        <f t="shared" si="27"/>
        <v>2.67</v>
      </c>
      <c r="P85" s="1277">
        <f t="shared" si="27"/>
        <v>3.73</v>
      </c>
      <c r="Q85" s="1277">
        <f t="shared" si="27"/>
        <v>4.12</v>
      </c>
    </row>
    <row r="86" spans="3:17">
      <c r="C86" s="1021"/>
      <c r="D86" s="1025"/>
      <c r="E86" s="1002"/>
      <c r="F86" s="1000" t="s">
        <v>333</v>
      </c>
      <c r="H86" s="1000">
        <v>324</v>
      </c>
      <c r="I86" s="1277">
        <f t="shared" ref="I86:Q86" si="28">I138+I190</f>
        <v>2.8200000000000003</v>
      </c>
      <c r="J86" s="1277">
        <f t="shared" si="28"/>
        <v>4.24</v>
      </c>
      <c r="K86" s="1277">
        <f t="shared" si="28"/>
        <v>4.7200000000000006</v>
      </c>
      <c r="L86" s="1277">
        <f t="shared" si="28"/>
        <v>3.15</v>
      </c>
      <c r="M86" s="1277">
        <f t="shared" si="28"/>
        <v>5.0199999999999996</v>
      </c>
      <c r="N86" s="1277">
        <f t="shared" si="28"/>
        <v>5.6199999999999992</v>
      </c>
      <c r="O86" s="1277">
        <f t="shared" si="28"/>
        <v>2.64</v>
      </c>
      <c r="P86" s="1277">
        <f t="shared" si="28"/>
        <v>3.6999999999999997</v>
      </c>
      <c r="Q86" s="1277">
        <f t="shared" si="28"/>
        <v>4.08</v>
      </c>
    </row>
    <row r="87" spans="3:17">
      <c r="C87" s="1021"/>
      <c r="D87" s="1025"/>
      <c r="E87" s="1003"/>
      <c r="F87" s="1000" t="s">
        <v>48</v>
      </c>
      <c r="H87" s="1000">
        <v>325</v>
      </c>
      <c r="I87" s="1277">
        <f t="shared" ref="I87:Q87" si="29">I139+I191</f>
        <v>2.37</v>
      </c>
      <c r="J87" s="1277">
        <f t="shared" si="29"/>
        <v>3.96</v>
      </c>
      <c r="K87" s="1277">
        <f t="shared" si="29"/>
        <v>4.57</v>
      </c>
      <c r="L87" s="1277">
        <f t="shared" si="29"/>
        <v>2.7</v>
      </c>
      <c r="M87" s="1277">
        <f t="shared" si="29"/>
        <v>4.72</v>
      </c>
      <c r="N87" s="1277">
        <f t="shared" si="29"/>
        <v>5.47</v>
      </c>
      <c r="O87" s="1277">
        <f t="shared" si="29"/>
        <v>2.6</v>
      </c>
      <c r="P87" s="1277">
        <f t="shared" si="29"/>
        <v>3.6999999999999997</v>
      </c>
      <c r="Q87" s="1277">
        <f t="shared" si="29"/>
        <v>4.07</v>
      </c>
    </row>
    <row r="88" spans="3:17">
      <c r="C88" s="1021"/>
      <c r="D88" s="1025"/>
      <c r="E88" s="1001" t="s">
        <v>47</v>
      </c>
      <c r="F88" s="1000" t="s">
        <v>47</v>
      </c>
      <c r="H88" s="1000">
        <v>333</v>
      </c>
      <c r="I88" s="1277">
        <f t="shared" ref="I88:Q88" si="30">I140+I192</f>
        <v>2.37</v>
      </c>
      <c r="J88" s="1277">
        <f t="shared" si="30"/>
        <v>4.0199999999999996</v>
      </c>
      <c r="K88" s="1277">
        <f t="shared" si="30"/>
        <v>4.9400000000000004</v>
      </c>
      <c r="L88" s="1277">
        <f t="shared" si="30"/>
        <v>2.7</v>
      </c>
      <c r="M88" s="1277">
        <f t="shared" si="30"/>
        <v>4.79</v>
      </c>
      <c r="N88" s="1277">
        <f t="shared" si="30"/>
        <v>5.8699999999999992</v>
      </c>
      <c r="O88" s="1277">
        <f t="shared" si="30"/>
        <v>2.6</v>
      </c>
      <c r="P88" s="1277">
        <f t="shared" si="30"/>
        <v>3.6799999999999997</v>
      </c>
      <c r="Q88" s="1277">
        <f t="shared" si="30"/>
        <v>4.07</v>
      </c>
    </row>
    <row r="89" spans="3:17">
      <c r="C89" s="1021"/>
      <c r="D89" s="1025"/>
      <c r="E89" s="1002"/>
      <c r="F89" s="1000" t="s">
        <v>333</v>
      </c>
      <c r="H89" s="1000">
        <v>334</v>
      </c>
      <c r="I89" s="1277">
        <f t="shared" ref="I89:Q89" si="31">I141+I193</f>
        <v>2.37</v>
      </c>
      <c r="J89" s="1277">
        <f t="shared" si="31"/>
        <v>4.0199999999999996</v>
      </c>
      <c r="K89" s="1277">
        <f t="shared" si="31"/>
        <v>4.2799999999999994</v>
      </c>
      <c r="L89" s="1277">
        <f t="shared" si="31"/>
        <v>2.7</v>
      </c>
      <c r="M89" s="1277">
        <f t="shared" si="31"/>
        <v>4.79</v>
      </c>
      <c r="N89" s="1277">
        <f t="shared" si="31"/>
        <v>5.17</v>
      </c>
      <c r="O89" s="1277">
        <f t="shared" si="31"/>
        <v>2.6</v>
      </c>
      <c r="P89" s="1277">
        <f t="shared" si="31"/>
        <v>3.6799999999999997</v>
      </c>
      <c r="Q89" s="1277">
        <f t="shared" si="31"/>
        <v>4.05</v>
      </c>
    </row>
    <row r="90" spans="3:17">
      <c r="C90" s="1021"/>
      <c r="D90" s="1025"/>
      <c r="E90" s="1003"/>
      <c r="F90" s="1000" t="s">
        <v>48</v>
      </c>
      <c r="H90" s="1000">
        <v>335</v>
      </c>
      <c r="I90" s="1277">
        <f t="shared" ref="I90:Q90" si="32">I142+I194</f>
        <v>2.37</v>
      </c>
      <c r="J90" s="1277">
        <f t="shared" si="32"/>
        <v>3.5300000000000002</v>
      </c>
      <c r="K90" s="1277">
        <f t="shared" si="32"/>
        <v>4.2799999999999994</v>
      </c>
      <c r="L90" s="1277">
        <f t="shared" si="32"/>
        <v>2.7</v>
      </c>
      <c r="M90" s="1277">
        <f t="shared" si="32"/>
        <v>4.26</v>
      </c>
      <c r="N90" s="1277">
        <f t="shared" si="32"/>
        <v>5.17</v>
      </c>
      <c r="O90" s="1277">
        <f t="shared" si="32"/>
        <v>2.6</v>
      </c>
      <c r="P90" s="1277">
        <f t="shared" si="32"/>
        <v>3.6599999999999997</v>
      </c>
      <c r="Q90" s="1277">
        <f t="shared" si="32"/>
        <v>4.05</v>
      </c>
    </row>
    <row r="91" spans="3:17">
      <c r="C91" s="1021"/>
      <c r="D91" s="1025"/>
      <c r="E91" s="1001" t="s">
        <v>333</v>
      </c>
      <c r="F91" s="1000" t="s">
        <v>47</v>
      </c>
      <c r="H91" s="1000">
        <v>343</v>
      </c>
      <c r="I91" s="1277">
        <f t="shared" ref="I91:Q91" si="33">I143+I195</f>
        <v>2.37</v>
      </c>
      <c r="J91" s="1277">
        <f t="shared" si="33"/>
        <v>3.8</v>
      </c>
      <c r="K91" s="1277">
        <f t="shared" si="33"/>
        <v>4.6500000000000004</v>
      </c>
      <c r="L91" s="1277">
        <f t="shared" si="33"/>
        <v>2.7</v>
      </c>
      <c r="M91" s="1277">
        <f t="shared" si="33"/>
        <v>4.5600000000000005</v>
      </c>
      <c r="N91" s="1277">
        <f t="shared" si="33"/>
        <v>5.5699999999999994</v>
      </c>
      <c r="O91" s="1277">
        <f t="shared" si="33"/>
        <v>2.6</v>
      </c>
      <c r="P91" s="1277">
        <f t="shared" si="33"/>
        <v>3.6599999999999997</v>
      </c>
      <c r="Q91" s="1277">
        <f t="shared" si="33"/>
        <v>4.05</v>
      </c>
    </row>
    <row r="92" spans="3:17">
      <c r="C92" s="1021"/>
      <c r="D92" s="1025"/>
      <c r="E92" s="1002"/>
      <c r="F92" s="1000" t="s">
        <v>333</v>
      </c>
      <c r="H92" s="1000">
        <v>344</v>
      </c>
      <c r="I92" s="1277">
        <f t="shared" ref="I92:Q92" si="34">I144+I196</f>
        <v>2.37</v>
      </c>
      <c r="J92" s="1277">
        <f t="shared" si="34"/>
        <v>3.8</v>
      </c>
      <c r="K92" s="1277">
        <f t="shared" si="34"/>
        <v>4.12</v>
      </c>
      <c r="L92" s="1277">
        <f t="shared" si="34"/>
        <v>2.7</v>
      </c>
      <c r="M92" s="1277">
        <f t="shared" si="34"/>
        <v>4.5600000000000005</v>
      </c>
      <c r="N92" s="1277">
        <f t="shared" si="34"/>
        <v>5.0200000000000005</v>
      </c>
      <c r="O92" s="1277">
        <f t="shared" si="34"/>
        <v>2.6</v>
      </c>
      <c r="P92" s="1277">
        <f t="shared" si="34"/>
        <v>3.6599999999999997</v>
      </c>
      <c r="Q92" s="1277">
        <f t="shared" si="34"/>
        <v>4.04</v>
      </c>
    </row>
    <row r="93" spans="3:17">
      <c r="C93" s="1022"/>
      <c r="D93" s="1026"/>
      <c r="E93" s="1003"/>
      <c r="F93" s="1000" t="s">
        <v>48</v>
      </c>
      <c r="H93" s="1000">
        <v>345</v>
      </c>
      <c r="I93" s="1277">
        <f t="shared" ref="I93:Q93" si="35">I145+I197</f>
        <v>2.37</v>
      </c>
      <c r="J93" s="1277">
        <f t="shared" si="35"/>
        <v>3.5300000000000002</v>
      </c>
      <c r="K93" s="1277">
        <f t="shared" si="35"/>
        <v>4.12</v>
      </c>
      <c r="L93" s="1277">
        <f t="shared" si="35"/>
        <v>2.7</v>
      </c>
      <c r="M93" s="1277">
        <f t="shared" si="35"/>
        <v>4.26</v>
      </c>
      <c r="N93" s="1277">
        <f t="shared" si="35"/>
        <v>5.0200000000000005</v>
      </c>
      <c r="O93" s="1277">
        <f t="shared" si="35"/>
        <v>2.6</v>
      </c>
      <c r="P93" s="1277">
        <f t="shared" si="35"/>
        <v>3.6599999999999997</v>
      </c>
      <c r="Q93" s="1277">
        <f t="shared" si="35"/>
        <v>4.04</v>
      </c>
    </row>
    <row r="94" spans="3:17">
      <c r="C94" s="1027" t="s">
        <v>333</v>
      </c>
      <c r="D94" s="1024"/>
      <c r="E94" s="1001" t="s">
        <v>46</v>
      </c>
      <c r="F94" s="1000" t="s">
        <v>47</v>
      </c>
      <c r="H94" s="1000">
        <v>413</v>
      </c>
      <c r="I94" s="1277">
        <f t="shared" ref="I94:Q94" si="36">I146+I198</f>
        <v>3.2600000000000002</v>
      </c>
      <c r="J94" s="1277">
        <f t="shared" si="36"/>
        <v>4.41</v>
      </c>
      <c r="K94" s="1277">
        <f t="shared" si="36"/>
        <v>5.16</v>
      </c>
      <c r="L94" s="1277">
        <f t="shared" si="36"/>
        <v>3.6</v>
      </c>
      <c r="M94" s="1277">
        <f t="shared" si="36"/>
        <v>5.17</v>
      </c>
      <c r="N94" s="1277">
        <f t="shared" si="36"/>
        <v>6.07</v>
      </c>
      <c r="O94" s="1277">
        <f t="shared" si="36"/>
        <v>2.67</v>
      </c>
      <c r="P94" s="1277">
        <f t="shared" si="36"/>
        <v>3.73</v>
      </c>
      <c r="Q94" s="1277">
        <f t="shared" si="36"/>
        <v>4.12</v>
      </c>
    </row>
    <row r="95" spans="3:17">
      <c r="C95" s="1021"/>
      <c r="D95" s="1025"/>
      <c r="E95" s="1002"/>
      <c r="F95" s="1000" t="s">
        <v>333</v>
      </c>
      <c r="H95" s="1000">
        <v>414</v>
      </c>
      <c r="I95" s="1277">
        <f t="shared" ref="I95:Q95" si="37">I147+I199</f>
        <v>3.2600000000000002</v>
      </c>
      <c r="J95" s="1277">
        <f t="shared" si="37"/>
        <v>4.41</v>
      </c>
      <c r="K95" s="1277">
        <f t="shared" si="37"/>
        <v>4.97</v>
      </c>
      <c r="L95" s="1277">
        <f t="shared" si="37"/>
        <v>3.6</v>
      </c>
      <c r="M95" s="1277">
        <f t="shared" si="37"/>
        <v>5.17</v>
      </c>
      <c r="N95" s="1277">
        <f t="shared" si="37"/>
        <v>5.87</v>
      </c>
      <c r="O95" s="1277">
        <f t="shared" si="37"/>
        <v>2.67</v>
      </c>
      <c r="P95" s="1277">
        <f t="shared" si="37"/>
        <v>3.73</v>
      </c>
      <c r="Q95" s="1277">
        <f t="shared" si="37"/>
        <v>4.12</v>
      </c>
    </row>
    <row r="96" spans="3:17">
      <c r="C96" s="1021"/>
      <c r="D96" s="1025"/>
      <c r="E96" s="1003"/>
      <c r="F96" s="1000" t="s">
        <v>48</v>
      </c>
      <c r="H96" s="1000">
        <v>415</v>
      </c>
      <c r="I96" s="1277">
        <f t="shared" ref="I96:Q96" si="38">I148+I200</f>
        <v>3.2600000000000002</v>
      </c>
      <c r="J96" s="1277">
        <f t="shared" si="38"/>
        <v>4.41</v>
      </c>
      <c r="K96" s="1277">
        <f t="shared" si="38"/>
        <v>4.97</v>
      </c>
      <c r="L96" s="1277">
        <f t="shared" si="38"/>
        <v>3.6</v>
      </c>
      <c r="M96" s="1277">
        <f t="shared" si="38"/>
        <v>5.17</v>
      </c>
      <c r="N96" s="1277">
        <f t="shared" si="38"/>
        <v>5.87</v>
      </c>
      <c r="O96" s="1277">
        <f t="shared" si="38"/>
        <v>2.67</v>
      </c>
      <c r="P96" s="1277">
        <f t="shared" si="38"/>
        <v>3.73</v>
      </c>
      <c r="Q96" s="1277">
        <f t="shared" si="38"/>
        <v>4.12</v>
      </c>
    </row>
    <row r="97" spans="3:21">
      <c r="C97" s="1021"/>
      <c r="D97" s="1025"/>
      <c r="E97" s="1001" t="s">
        <v>332</v>
      </c>
      <c r="F97" s="1000" t="s">
        <v>47</v>
      </c>
      <c r="H97" s="1000">
        <v>423</v>
      </c>
      <c r="I97" s="1277">
        <f t="shared" ref="I97:Q97" si="39">I149+I201</f>
        <v>3.2600000000000002</v>
      </c>
      <c r="J97" s="1277">
        <f t="shared" si="39"/>
        <v>4.41</v>
      </c>
      <c r="K97" s="1277">
        <f t="shared" si="39"/>
        <v>5.16</v>
      </c>
      <c r="L97" s="1277">
        <f t="shared" si="39"/>
        <v>3.6</v>
      </c>
      <c r="M97" s="1277">
        <f t="shared" si="39"/>
        <v>5.17</v>
      </c>
      <c r="N97" s="1277">
        <f t="shared" si="39"/>
        <v>6.07</v>
      </c>
      <c r="O97" s="1277">
        <f t="shared" si="39"/>
        <v>2.67</v>
      </c>
      <c r="P97" s="1277">
        <f t="shared" si="39"/>
        <v>3.73</v>
      </c>
      <c r="Q97" s="1277">
        <f t="shared" si="39"/>
        <v>4.12</v>
      </c>
    </row>
    <row r="98" spans="3:21">
      <c r="C98" s="1021"/>
      <c r="D98" s="1025"/>
      <c r="E98" s="1002"/>
      <c r="F98" s="1000" t="s">
        <v>333</v>
      </c>
      <c r="H98" s="1000">
        <v>424</v>
      </c>
      <c r="I98" s="1277">
        <f t="shared" ref="I98:Q98" si="40">I150+I202</f>
        <v>2.8200000000000003</v>
      </c>
      <c r="J98" s="1277">
        <f t="shared" si="40"/>
        <v>3.96</v>
      </c>
      <c r="K98" s="1277">
        <f t="shared" si="40"/>
        <v>4.53</v>
      </c>
      <c r="L98" s="1277">
        <f t="shared" si="40"/>
        <v>3.15</v>
      </c>
      <c r="M98" s="1277">
        <f t="shared" si="40"/>
        <v>4.72</v>
      </c>
      <c r="N98" s="1277">
        <f t="shared" si="40"/>
        <v>5.42</v>
      </c>
      <c r="O98" s="1277">
        <f t="shared" si="40"/>
        <v>2.64</v>
      </c>
      <c r="P98" s="1277">
        <f t="shared" si="40"/>
        <v>3.6999999999999997</v>
      </c>
      <c r="Q98" s="1277">
        <f t="shared" si="40"/>
        <v>4.08</v>
      </c>
      <c r="T98" s="1377"/>
      <c r="U98" s="1377"/>
    </row>
    <row r="99" spans="3:21">
      <c r="C99" s="1021"/>
      <c r="D99" s="1025"/>
      <c r="E99" s="1003"/>
      <c r="F99" s="1000" t="s">
        <v>48</v>
      </c>
      <c r="H99" s="1000">
        <v>425</v>
      </c>
      <c r="I99" s="1277">
        <f t="shared" ref="I99:Q99" si="41">I151+I203</f>
        <v>2.37</v>
      </c>
      <c r="J99" s="1277">
        <f t="shared" si="41"/>
        <v>3.96</v>
      </c>
      <c r="K99" s="1277">
        <f t="shared" si="41"/>
        <v>4.38</v>
      </c>
      <c r="L99" s="1277">
        <f t="shared" si="41"/>
        <v>2.7</v>
      </c>
      <c r="M99" s="1277">
        <f t="shared" si="41"/>
        <v>4.72</v>
      </c>
      <c r="N99" s="1277">
        <f t="shared" si="41"/>
        <v>5.26</v>
      </c>
      <c r="O99" s="1277">
        <f t="shared" si="41"/>
        <v>2.6</v>
      </c>
      <c r="P99" s="1277">
        <f t="shared" si="41"/>
        <v>3.6999999999999997</v>
      </c>
      <c r="Q99" s="1277">
        <f t="shared" si="41"/>
        <v>4.07</v>
      </c>
      <c r="T99" s="1377"/>
      <c r="U99" s="1377"/>
    </row>
    <row r="100" spans="3:21">
      <c r="C100" s="1021"/>
      <c r="D100" s="1025"/>
      <c r="E100" s="1001" t="s">
        <v>47</v>
      </c>
      <c r="F100" s="1000" t="s">
        <v>47</v>
      </c>
      <c r="H100" s="1000">
        <v>433</v>
      </c>
      <c r="I100" s="1277">
        <f t="shared" ref="I100:Q100" si="42">I152+I204</f>
        <v>2.37</v>
      </c>
      <c r="J100" s="1277">
        <f t="shared" si="42"/>
        <v>3.74</v>
      </c>
      <c r="K100" s="1277">
        <f t="shared" si="42"/>
        <v>4.57</v>
      </c>
      <c r="L100" s="1277">
        <f t="shared" si="42"/>
        <v>2.7</v>
      </c>
      <c r="M100" s="1277">
        <f t="shared" si="42"/>
        <v>4.49</v>
      </c>
      <c r="N100" s="1277">
        <f t="shared" si="42"/>
        <v>5.47</v>
      </c>
      <c r="O100" s="1277">
        <f t="shared" si="42"/>
        <v>2.6</v>
      </c>
      <c r="P100" s="1277">
        <f t="shared" si="42"/>
        <v>3.6799999999999997</v>
      </c>
      <c r="Q100" s="1277">
        <f t="shared" si="42"/>
        <v>4.07</v>
      </c>
      <c r="T100" s="1377"/>
      <c r="U100" s="1377"/>
    </row>
    <row r="101" spans="3:21">
      <c r="C101" s="1021"/>
      <c r="D101" s="1025"/>
      <c r="E101" s="1002"/>
      <c r="F101" s="1000" t="s">
        <v>333</v>
      </c>
      <c r="H101" s="1000">
        <v>434</v>
      </c>
      <c r="I101" s="1277">
        <f t="shared" ref="I101:Q101" si="43">I153+I205</f>
        <v>2.37</v>
      </c>
      <c r="J101" s="1277">
        <f t="shared" si="43"/>
        <v>3.74</v>
      </c>
      <c r="K101" s="1277">
        <f t="shared" si="43"/>
        <v>4.08</v>
      </c>
      <c r="L101" s="1277">
        <f t="shared" si="43"/>
        <v>2.7</v>
      </c>
      <c r="M101" s="1277">
        <f t="shared" si="43"/>
        <v>4.49</v>
      </c>
      <c r="N101" s="1277">
        <f t="shared" si="43"/>
        <v>4.96</v>
      </c>
      <c r="O101" s="1277">
        <f t="shared" si="43"/>
        <v>2.6</v>
      </c>
      <c r="P101" s="1277">
        <f t="shared" si="43"/>
        <v>3.6799999999999997</v>
      </c>
      <c r="Q101" s="1277">
        <f t="shared" si="43"/>
        <v>4.05</v>
      </c>
      <c r="T101" s="1377"/>
      <c r="U101" s="1377"/>
    </row>
    <row r="102" spans="3:21">
      <c r="C102" s="1021"/>
      <c r="D102" s="1025"/>
      <c r="E102" s="1003"/>
      <c r="F102" s="1000" t="s">
        <v>48</v>
      </c>
      <c r="H102" s="1000">
        <v>435</v>
      </c>
      <c r="I102" s="1277">
        <f t="shared" ref="I102:Q102" si="44">I154+I206</f>
        <v>2.37</v>
      </c>
      <c r="J102" s="1277">
        <f t="shared" si="44"/>
        <v>3.5300000000000002</v>
      </c>
      <c r="K102" s="1277">
        <f t="shared" si="44"/>
        <v>4.08</v>
      </c>
      <c r="L102" s="1277">
        <f t="shared" si="44"/>
        <v>2.7</v>
      </c>
      <c r="M102" s="1277">
        <f t="shared" si="44"/>
        <v>4.26</v>
      </c>
      <c r="N102" s="1277">
        <f t="shared" si="44"/>
        <v>4.96</v>
      </c>
      <c r="O102" s="1277">
        <f t="shared" si="44"/>
        <v>2.6</v>
      </c>
      <c r="P102" s="1277">
        <f t="shared" si="44"/>
        <v>3.6599999999999997</v>
      </c>
      <c r="Q102" s="1277">
        <f t="shared" si="44"/>
        <v>4.05</v>
      </c>
      <c r="T102" s="1377"/>
      <c r="U102" s="1377"/>
    </row>
    <row r="103" spans="3:21">
      <c r="C103" s="1021"/>
      <c r="D103" s="1025"/>
      <c r="E103" s="1001" t="s">
        <v>333</v>
      </c>
      <c r="F103" s="1000" t="s">
        <v>47</v>
      </c>
      <c r="H103" s="1000">
        <v>443</v>
      </c>
      <c r="I103" s="1277">
        <f t="shared" ref="I103:Q103" si="45">I155+I207</f>
        <v>2.37</v>
      </c>
      <c r="J103" s="1277">
        <f t="shared" si="45"/>
        <v>3.5300000000000002</v>
      </c>
      <c r="K103" s="1277">
        <f t="shared" si="45"/>
        <v>4.2799999999999994</v>
      </c>
      <c r="L103" s="1277">
        <f t="shared" si="45"/>
        <v>2.7</v>
      </c>
      <c r="M103" s="1277">
        <f t="shared" si="45"/>
        <v>4.26</v>
      </c>
      <c r="N103" s="1277">
        <f t="shared" si="45"/>
        <v>5.17</v>
      </c>
      <c r="O103" s="1277">
        <f t="shared" si="45"/>
        <v>2.6</v>
      </c>
      <c r="P103" s="1277">
        <f t="shared" si="45"/>
        <v>3.6599999999999997</v>
      </c>
      <c r="Q103" s="1277">
        <f t="shared" si="45"/>
        <v>4.05</v>
      </c>
      <c r="T103" s="1377"/>
      <c r="U103" s="1377"/>
    </row>
    <row r="104" spans="3:21">
      <c r="C104" s="1021"/>
      <c r="D104" s="1025"/>
      <c r="E104" s="1002"/>
      <c r="F104" s="1000" t="s">
        <v>333</v>
      </c>
      <c r="H104" s="1000">
        <v>444</v>
      </c>
      <c r="I104" s="1277">
        <f t="shared" ref="I104:Q104" si="46">I156+I208</f>
        <v>2.37</v>
      </c>
      <c r="J104" s="1277">
        <f t="shared" si="46"/>
        <v>3.5300000000000002</v>
      </c>
      <c r="K104" s="1277">
        <f t="shared" si="46"/>
        <v>3.93</v>
      </c>
      <c r="L104" s="1277">
        <f t="shared" si="46"/>
        <v>2.7</v>
      </c>
      <c r="M104" s="1277">
        <f t="shared" si="46"/>
        <v>4.26</v>
      </c>
      <c r="N104" s="1277">
        <f t="shared" si="46"/>
        <v>4.82</v>
      </c>
      <c r="O104" s="1277">
        <f t="shared" si="46"/>
        <v>2.6</v>
      </c>
      <c r="P104" s="1277">
        <f t="shared" si="46"/>
        <v>3.6599999999999997</v>
      </c>
      <c r="Q104" s="1277">
        <f t="shared" si="46"/>
        <v>4.04</v>
      </c>
      <c r="T104" s="1377"/>
      <c r="U104" s="1377"/>
    </row>
    <row r="105" spans="3:21">
      <c r="C105" s="1022"/>
      <c r="D105" s="1026"/>
      <c r="E105" s="1003"/>
      <c r="F105" s="1000" t="s">
        <v>48</v>
      </c>
      <c r="H105" s="1000">
        <v>445</v>
      </c>
      <c r="I105" s="1277">
        <f t="shared" ref="I105:Q105" si="47">I157+I209</f>
        <v>2.37</v>
      </c>
      <c r="J105" s="1277">
        <f t="shared" si="47"/>
        <v>3.5300000000000002</v>
      </c>
      <c r="K105" s="1277">
        <f t="shared" si="47"/>
        <v>3.93</v>
      </c>
      <c r="L105" s="1277">
        <f t="shared" si="47"/>
        <v>2.7</v>
      </c>
      <c r="M105" s="1277">
        <f t="shared" si="47"/>
        <v>4.26</v>
      </c>
      <c r="N105" s="1277">
        <f t="shared" si="47"/>
        <v>4.82</v>
      </c>
      <c r="O105" s="1277">
        <f t="shared" si="47"/>
        <v>2.6</v>
      </c>
      <c r="P105" s="1277">
        <f t="shared" si="47"/>
        <v>3.6599999999999997</v>
      </c>
      <c r="Q105" s="1277">
        <f t="shared" si="47"/>
        <v>4.04</v>
      </c>
      <c r="T105" s="1377"/>
      <c r="U105" s="1377"/>
    </row>
    <row r="106" spans="3:21" hidden="1">
      <c r="T106" s="1377"/>
      <c r="U106" s="1377"/>
    </row>
    <row r="107" spans="3:21" ht="16.5" hidden="1">
      <c r="C107" s="1916" t="s">
        <v>1224</v>
      </c>
      <c r="D107" s="1006"/>
      <c r="I107" s="1901" t="s">
        <v>1211</v>
      </c>
      <c r="J107" s="1127"/>
      <c r="K107" s="1127"/>
      <c r="L107" s="1128"/>
      <c r="M107" s="1128"/>
      <c r="N107" s="1128"/>
      <c r="O107" s="1128"/>
      <c r="P107" s="1128"/>
      <c r="Q107" s="1129"/>
      <c r="T107" s="1377"/>
      <c r="U107" s="1377"/>
    </row>
    <row r="108" spans="3:21" ht="14.25" hidden="1">
      <c r="C108" s="996"/>
      <c r="D108" s="996"/>
      <c r="E108" s="996"/>
      <c r="F108" s="988" t="s">
        <v>791</v>
      </c>
      <c r="I108" s="1902" t="s">
        <v>1212</v>
      </c>
      <c r="J108" s="1903"/>
      <c r="K108" s="1904"/>
      <c r="L108" s="1902" t="s">
        <v>1213</v>
      </c>
      <c r="M108" s="1903"/>
      <c r="N108" s="1904"/>
      <c r="O108" s="1902" t="s">
        <v>1214</v>
      </c>
      <c r="P108" s="1903"/>
      <c r="Q108" s="1133"/>
      <c r="T108" s="1377"/>
      <c r="U108" s="1377"/>
    </row>
    <row r="109" spans="3:21" ht="16.5" hidden="1">
      <c r="C109" s="1905" t="s">
        <v>1217</v>
      </c>
      <c r="D109" s="1906"/>
      <c r="E109" s="1907" t="s">
        <v>1218</v>
      </c>
      <c r="F109" s="1908" t="s">
        <v>1219</v>
      </c>
      <c r="I109" s="1909" t="s">
        <v>1150</v>
      </c>
      <c r="J109" s="1909" t="s">
        <v>1215</v>
      </c>
      <c r="K109" s="1909" t="s">
        <v>1216</v>
      </c>
      <c r="L109" s="1909" t="s">
        <v>1150</v>
      </c>
      <c r="M109" s="1909" t="s">
        <v>1215</v>
      </c>
      <c r="N109" s="1909" t="s">
        <v>1216</v>
      </c>
      <c r="O109" s="1909" t="s">
        <v>1150</v>
      </c>
      <c r="P109" s="1909" t="s">
        <v>1215</v>
      </c>
      <c r="Q109" s="1909" t="s">
        <v>1216</v>
      </c>
      <c r="T109" s="1377"/>
      <c r="U109" s="1377"/>
    </row>
    <row r="110" spans="3:21" hidden="1">
      <c r="C110" s="1910" t="s">
        <v>46</v>
      </c>
      <c r="D110" s="1911"/>
      <c r="E110" s="1912" t="s">
        <v>46</v>
      </c>
      <c r="F110" s="1913" t="s">
        <v>47</v>
      </c>
      <c r="I110" s="1914">
        <v>3.91</v>
      </c>
      <c r="J110" s="1914">
        <v>5.21</v>
      </c>
      <c r="K110" s="1914">
        <v>6</v>
      </c>
      <c r="L110" s="1914">
        <v>4.1100000000000003</v>
      </c>
      <c r="M110" s="1914">
        <v>5.94</v>
      </c>
      <c r="N110" s="1914">
        <v>6.91</v>
      </c>
      <c r="O110" s="1914">
        <v>1.58</v>
      </c>
      <c r="P110" s="1914">
        <v>3.14</v>
      </c>
      <c r="Q110" s="1914">
        <v>3.7</v>
      </c>
      <c r="T110" s="1377"/>
      <c r="U110" s="1377"/>
    </row>
    <row r="111" spans="3:21" hidden="1">
      <c r="C111" s="1021"/>
      <c r="D111" s="1025"/>
      <c r="E111" s="1002"/>
      <c r="F111" s="1913" t="s">
        <v>333</v>
      </c>
      <c r="I111" s="1914">
        <v>3.91</v>
      </c>
      <c r="J111" s="1914">
        <v>5.21</v>
      </c>
      <c r="K111" s="1914">
        <v>6</v>
      </c>
      <c r="L111" s="1914">
        <v>4.1100000000000003</v>
      </c>
      <c r="M111" s="1914">
        <v>5.94</v>
      </c>
      <c r="N111" s="1914">
        <v>6.91</v>
      </c>
      <c r="O111" s="1914">
        <v>1.58</v>
      </c>
      <c r="P111" s="1914">
        <v>3.14</v>
      </c>
      <c r="Q111" s="1914">
        <v>3.7</v>
      </c>
      <c r="T111" s="1377"/>
      <c r="U111" s="1377"/>
    </row>
    <row r="112" spans="3:21" hidden="1">
      <c r="C112" s="1021"/>
      <c r="D112" s="1025"/>
      <c r="E112" s="1003"/>
      <c r="F112" s="1913" t="s">
        <v>48</v>
      </c>
      <c r="I112" s="1914">
        <v>3.91</v>
      </c>
      <c r="J112" s="1914">
        <v>5.21</v>
      </c>
      <c r="K112" s="1914">
        <v>6</v>
      </c>
      <c r="L112" s="1914">
        <v>4.1100000000000003</v>
      </c>
      <c r="M112" s="1914">
        <v>5.94</v>
      </c>
      <c r="N112" s="1914">
        <v>6.91</v>
      </c>
      <c r="O112" s="1914">
        <v>1.58</v>
      </c>
      <c r="P112" s="1914">
        <v>3.14</v>
      </c>
      <c r="Q112" s="1914">
        <v>3.7</v>
      </c>
      <c r="T112" s="1377"/>
      <c r="U112" s="1377"/>
    </row>
    <row r="113" spans="3:21" hidden="1">
      <c r="C113" s="1021"/>
      <c r="D113" s="1025"/>
      <c r="E113" s="1912" t="s">
        <v>1222</v>
      </c>
      <c r="F113" s="1913" t="s">
        <v>1221</v>
      </c>
      <c r="I113" s="1914">
        <v>3.91</v>
      </c>
      <c r="J113" s="1914">
        <v>5.21</v>
      </c>
      <c r="K113" s="1914">
        <v>6</v>
      </c>
      <c r="L113" s="1914">
        <v>4.1100000000000003</v>
      </c>
      <c r="M113" s="1914">
        <v>5.94</v>
      </c>
      <c r="N113" s="1914">
        <v>6.91</v>
      </c>
      <c r="O113" s="1914">
        <v>1.58</v>
      </c>
      <c r="P113" s="1914">
        <v>3.14</v>
      </c>
      <c r="Q113" s="1914">
        <v>3.7</v>
      </c>
      <c r="T113" s="1377"/>
      <c r="U113" s="1377"/>
    </row>
    <row r="114" spans="3:21" hidden="1">
      <c r="C114" s="1021"/>
      <c r="D114" s="1025"/>
      <c r="E114" s="1002"/>
      <c r="F114" s="1913" t="s">
        <v>333</v>
      </c>
      <c r="I114" s="1914">
        <v>3.48</v>
      </c>
      <c r="J114" s="1914">
        <v>4.78</v>
      </c>
      <c r="K114" s="1914">
        <v>5.57</v>
      </c>
      <c r="L114" s="1914">
        <v>3.67</v>
      </c>
      <c r="M114" s="1914">
        <v>5.5</v>
      </c>
      <c r="N114" s="1914">
        <v>6.48</v>
      </c>
      <c r="O114" s="1914">
        <v>1.55</v>
      </c>
      <c r="P114" s="1914">
        <v>3.11</v>
      </c>
      <c r="Q114" s="1914">
        <v>3.66</v>
      </c>
      <c r="T114" s="1377"/>
      <c r="U114" s="1377"/>
    </row>
    <row r="115" spans="3:21" hidden="1">
      <c r="C115" s="1021"/>
      <c r="D115" s="1025"/>
      <c r="E115" s="1003"/>
      <c r="F115" s="1913" t="s">
        <v>48</v>
      </c>
      <c r="I115" s="1914">
        <v>3.06</v>
      </c>
      <c r="J115" s="1914">
        <v>4.78</v>
      </c>
      <c r="K115" s="1914">
        <v>5.43</v>
      </c>
      <c r="L115" s="1914">
        <v>3.24</v>
      </c>
      <c r="M115" s="1914">
        <v>5.5</v>
      </c>
      <c r="N115" s="1914">
        <v>6.33</v>
      </c>
      <c r="O115" s="1914">
        <v>1.51</v>
      </c>
      <c r="P115" s="1914">
        <v>3.11</v>
      </c>
      <c r="Q115" s="1914">
        <v>3.65</v>
      </c>
      <c r="T115" s="1377"/>
      <c r="U115" s="1377"/>
    </row>
    <row r="116" spans="3:21" hidden="1">
      <c r="C116" s="1021"/>
      <c r="D116" s="1025"/>
      <c r="E116" s="1912" t="s">
        <v>1221</v>
      </c>
      <c r="F116" s="1913" t="s">
        <v>47</v>
      </c>
      <c r="I116" s="1914">
        <v>3.06</v>
      </c>
      <c r="J116" s="1914">
        <v>4.57</v>
      </c>
      <c r="K116" s="1914">
        <v>5.43</v>
      </c>
      <c r="L116" s="1914">
        <v>3.24</v>
      </c>
      <c r="M116" s="1914">
        <v>5.29</v>
      </c>
      <c r="N116" s="1914">
        <v>6.33</v>
      </c>
      <c r="O116" s="1914">
        <v>1.51</v>
      </c>
      <c r="P116" s="1914">
        <v>3.09</v>
      </c>
      <c r="Q116" s="1914">
        <v>3.65</v>
      </c>
      <c r="T116" s="1377"/>
      <c r="U116" s="1377"/>
    </row>
    <row r="117" spans="3:21" hidden="1">
      <c r="C117" s="1021"/>
      <c r="D117" s="1025"/>
      <c r="E117" s="1002"/>
      <c r="F117" s="1913" t="s">
        <v>1220</v>
      </c>
      <c r="I117" s="1914">
        <v>3.06</v>
      </c>
      <c r="J117" s="1914">
        <v>4.57</v>
      </c>
      <c r="K117" s="1914">
        <v>5.15</v>
      </c>
      <c r="L117" s="1914">
        <v>3.24</v>
      </c>
      <c r="M117" s="1914">
        <v>5.29</v>
      </c>
      <c r="N117" s="1914">
        <v>6.05</v>
      </c>
      <c r="O117" s="1914">
        <v>1.51</v>
      </c>
      <c r="P117" s="1914">
        <v>3.09</v>
      </c>
      <c r="Q117" s="1914">
        <v>3.63</v>
      </c>
      <c r="T117" s="1377"/>
      <c r="U117" s="1377"/>
    </row>
    <row r="118" spans="3:21" hidden="1">
      <c r="C118" s="1021"/>
      <c r="D118" s="1025"/>
      <c r="E118" s="1003"/>
      <c r="F118" s="1913" t="s">
        <v>48</v>
      </c>
      <c r="I118" s="1914">
        <v>3.06</v>
      </c>
      <c r="J118" s="1914">
        <v>4.3600000000000003</v>
      </c>
      <c r="K118" s="1914">
        <v>5.15</v>
      </c>
      <c r="L118" s="1914">
        <v>3.24</v>
      </c>
      <c r="M118" s="1914">
        <v>5.07</v>
      </c>
      <c r="N118" s="1914">
        <v>6.05</v>
      </c>
      <c r="O118" s="1914">
        <v>1.51</v>
      </c>
      <c r="P118" s="1914">
        <v>3.07</v>
      </c>
      <c r="Q118" s="1914">
        <v>3.63</v>
      </c>
      <c r="T118" s="1377"/>
      <c r="U118" s="1377"/>
    </row>
    <row r="119" spans="3:21" hidden="1">
      <c r="C119" s="1021"/>
      <c r="D119" s="1025"/>
      <c r="E119" s="1912" t="s">
        <v>333</v>
      </c>
      <c r="F119" s="1913" t="s">
        <v>47</v>
      </c>
      <c r="I119" s="1914">
        <v>3.06</v>
      </c>
      <c r="J119" s="1914">
        <v>4.3600000000000003</v>
      </c>
      <c r="K119" s="1914">
        <v>5.15</v>
      </c>
      <c r="L119" s="1914">
        <v>3.24</v>
      </c>
      <c r="M119" s="1914">
        <v>5.07</v>
      </c>
      <c r="N119" s="1914">
        <v>6.05</v>
      </c>
      <c r="O119" s="1914">
        <v>1.51</v>
      </c>
      <c r="P119" s="1914">
        <v>3.07</v>
      </c>
      <c r="Q119" s="1914">
        <v>3.63</v>
      </c>
      <c r="T119" s="1377"/>
      <c r="U119" s="1377"/>
    </row>
    <row r="120" spans="3:21" hidden="1">
      <c r="C120" s="1021"/>
      <c r="D120" s="1025"/>
      <c r="E120" s="1002"/>
      <c r="F120" s="1913" t="s">
        <v>333</v>
      </c>
      <c r="I120" s="1914">
        <v>3.06</v>
      </c>
      <c r="J120" s="1914">
        <v>4.3600000000000003</v>
      </c>
      <c r="K120" s="1914">
        <v>5.01</v>
      </c>
      <c r="L120" s="1914">
        <v>3.24</v>
      </c>
      <c r="M120" s="1914">
        <v>5.07</v>
      </c>
      <c r="N120" s="1914">
        <v>5.9</v>
      </c>
      <c r="O120" s="1914">
        <v>1.51</v>
      </c>
      <c r="P120" s="1914">
        <v>3.07</v>
      </c>
      <c r="Q120" s="1914">
        <v>3.62</v>
      </c>
      <c r="T120" s="1377"/>
      <c r="U120" s="1377"/>
    </row>
    <row r="121" spans="3:21" hidden="1">
      <c r="C121" s="1022"/>
      <c r="D121" s="1026"/>
      <c r="E121" s="1003"/>
      <c r="F121" s="1913" t="s">
        <v>1223</v>
      </c>
      <c r="I121" s="1914">
        <v>3.06</v>
      </c>
      <c r="J121" s="1914">
        <v>4.3600000000000003</v>
      </c>
      <c r="K121" s="1914">
        <v>5.01</v>
      </c>
      <c r="L121" s="1914">
        <v>3.24</v>
      </c>
      <c r="M121" s="1914">
        <v>5.07</v>
      </c>
      <c r="N121" s="1914">
        <v>5.9</v>
      </c>
      <c r="O121" s="1914">
        <v>1.51</v>
      </c>
      <c r="P121" s="1914">
        <v>3.07</v>
      </c>
      <c r="Q121" s="1914">
        <v>3.62</v>
      </c>
      <c r="T121" s="1377"/>
      <c r="U121" s="1377"/>
    </row>
    <row r="122" spans="3:21" hidden="1">
      <c r="C122" s="1910" t="s">
        <v>332</v>
      </c>
      <c r="D122" s="1911"/>
      <c r="E122" s="1912" t="s">
        <v>46</v>
      </c>
      <c r="F122" s="1913" t="s">
        <v>47</v>
      </c>
      <c r="I122" s="1914">
        <v>3.91</v>
      </c>
      <c r="J122" s="1914">
        <v>5.21</v>
      </c>
      <c r="K122" s="1914">
        <v>6</v>
      </c>
      <c r="L122" s="1914">
        <v>4.1100000000000003</v>
      </c>
      <c r="M122" s="1914">
        <v>5.94</v>
      </c>
      <c r="N122" s="1914">
        <v>6.91</v>
      </c>
      <c r="O122" s="1914">
        <v>1.58</v>
      </c>
      <c r="P122" s="1914">
        <v>3.14</v>
      </c>
      <c r="Q122" s="1914">
        <v>3.7</v>
      </c>
      <c r="T122" s="1377"/>
      <c r="U122" s="1377"/>
    </row>
    <row r="123" spans="3:21" hidden="1">
      <c r="C123" s="1021"/>
      <c r="D123" s="1025"/>
      <c r="E123" s="1002"/>
      <c r="F123" s="1913" t="s">
        <v>333</v>
      </c>
      <c r="I123" s="1914">
        <v>3.36</v>
      </c>
      <c r="J123" s="1914">
        <v>4.66</v>
      </c>
      <c r="K123" s="1914">
        <v>5.45</v>
      </c>
      <c r="L123" s="1914">
        <v>3.52</v>
      </c>
      <c r="M123" s="1914">
        <v>5.35</v>
      </c>
      <c r="N123" s="1914">
        <v>6.33</v>
      </c>
      <c r="O123" s="1914">
        <v>1.58</v>
      </c>
      <c r="P123" s="1914">
        <v>3.14</v>
      </c>
      <c r="Q123" s="1914">
        <v>3.7</v>
      </c>
      <c r="T123" s="1377"/>
      <c r="U123" s="1377"/>
    </row>
    <row r="124" spans="3:21" hidden="1">
      <c r="C124" s="1021"/>
      <c r="D124" s="1025"/>
      <c r="E124" s="1003"/>
      <c r="F124" s="1913" t="s">
        <v>48</v>
      </c>
      <c r="I124" s="1914">
        <v>2.81</v>
      </c>
      <c r="J124" s="1914">
        <v>4.66</v>
      </c>
      <c r="K124" s="1914">
        <v>5.27</v>
      </c>
      <c r="L124" s="1914">
        <v>2.94</v>
      </c>
      <c r="M124" s="1914">
        <v>5.35</v>
      </c>
      <c r="N124" s="1914">
        <v>6.13</v>
      </c>
      <c r="O124" s="1914">
        <v>1.58</v>
      </c>
      <c r="P124" s="1914">
        <v>3.14</v>
      </c>
      <c r="Q124" s="1914">
        <v>3.7</v>
      </c>
      <c r="T124" s="1377"/>
      <c r="U124" s="1377"/>
    </row>
    <row r="125" spans="3:21" hidden="1">
      <c r="C125" s="1021"/>
      <c r="D125" s="1025"/>
      <c r="E125" s="1912" t="s">
        <v>332</v>
      </c>
      <c r="F125" s="1913" t="s">
        <v>47</v>
      </c>
      <c r="I125" s="1914">
        <v>3.91</v>
      </c>
      <c r="J125" s="1914">
        <v>5.21</v>
      </c>
      <c r="K125" s="1914">
        <v>6</v>
      </c>
      <c r="L125" s="1914">
        <v>4.1100000000000003</v>
      </c>
      <c r="M125" s="1914">
        <v>5.94</v>
      </c>
      <c r="N125" s="1914">
        <v>6.91</v>
      </c>
      <c r="O125" s="1914">
        <v>1.58</v>
      </c>
      <c r="P125" s="1914">
        <v>3.14</v>
      </c>
      <c r="Q125" s="1914">
        <v>3.7</v>
      </c>
      <c r="T125" s="1377"/>
      <c r="U125" s="1377"/>
    </row>
    <row r="126" spans="3:21" hidden="1">
      <c r="C126" s="1021"/>
      <c r="D126" s="1025"/>
      <c r="E126" s="1002"/>
      <c r="F126" s="1913" t="s">
        <v>333</v>
      </c>
      <c r="I126" s="1914">
        <v>2.93</v>
      </c>
      <c r="J126" s="1914">
        <v>4.24</v>
      </c>
      <c r="K126" s="1914">
        <v>5.03</v>
      </c>
      <c r="L126" s="1914">
        <v>3.09</v>
      </c>
      <c r="M126" s="1914">
        <v>4.92</v>
      </c>
      <c r="N126" s="1914">
        <v>5.9</v>
      </c>
      <c r="O126" s="1914">
        <v>1.55</v>
      </c>
      <c r="P126" s="1914">
        <v>3.11</v>
      </c>
      <c r="Q126" s="1914">
        <v>3.66</v>
      </c>
      <c r="T126" s="1377"/>
      <c r="U126" s="1377"/>
    </row>
    <row r="127" spans="3:21" hidden="1">
      <c r="C127" s="1021"/>
      <c r="D127" s="1025"/>
      <c r="E127" s="1003"/>
      <c r="F127" s="1913" t="s">
        <v>48</v>
      </c>
      <c r="I127" s="1914">
        <v>1.96</v>
      </c>
      <c r="J127" s="1914">
        <v>4.24</v>
      </c>
      <c r="K127" s="1914">
        <v>4.7</v>
      </c>
      <c r="L127" s="1914">
        <v>2.0499999999999998</v>
      </c>
      <c r="M127" s="1914">
        <v>4.92</v>
      </c>
      <c r="N127" s="1914">
        <v>5.56</v>
      </c>
      <c r="O127" s="1914">
        <v>1.51</v>
      </c>
      <c r="P127" s="1914">
        <v>3.11</v>
      </c>
      <c r="Q127" s="1914">
        <v>3.65</v>
      </c>
      <c r="T127" s="1377"/>
      <c r="U127" s="1377"/>
    </row>
    <row r="128" spans="3:21" hidden="1">
      <c r="C128" s="1021"/>
      <c r="D128" s="1025"/>
      <c r="E128" s="1912" t="s">
        <v>47</v>
      </c>
      <c r="F128" s="1913" t="s">
        <v>47</v>
      </c>
      <c r="I128" s="1914">
        <v>3.06</v>
      </c>
      <c r="J128" s="1914">
        <v>4.57</v>
      </c>
      <c r="K128" s="1914">
        <v>5.43</v>
      </c>
      <c r="L128" s="1914">
        <v>3.24</v>
      </c>
      <c r="M128" s="1914">
        <v>5.29</v>
      </c>
      <c r="N128" s="1914">
        <v>6.33</v>
      </c>
      <c r="O128" s="1914">
        <v>1.51</v>
      </c>
      <c r="P128" s="1914">
        <v>3.09</v>
      </c>
      <c r="Q128" s="1914">
        <v>3.65</v>
      </c>
      <c r="T128" s="1377"/>
      <c r="U128" s="1377"/>
    </row>
    <row r="129" spans="3:21" hidden="1">
      <c r="C129" s="1021"/>
      <c r="D129" s="1025"/>
      <c r="E129" s="1002"/>
      <c r="F129" s="1913" t="s">
        <v>333</v>
      </c>
      <c r="I129" s="1914">
        <v>2.5099999999999998</v>
      </c>
      <c r="J129" s="1914">
        <v>4.0199999999999996</v>
      </c>
      <c r="K129" s="1914">
        <v>4.5999999999999996</v>
      </c>
      <c r="L129" s="1914">
        <v>2.66</v>
      </c>
      <c r="M129" s="1914">
        <v>4.7</v>
      </c>
      <c r="N129" s="1914">
        <v>5.46</v>
      </c>
      <c r="O129" s="1914">
        <v>1.51</v>
      </c>
      <c r="P129" s="1914">
        <v>3.09</v>
      </c>
      <c r="Q129" s="1914">
        <v>3.63</v>
      </c>
      <c r="T129" s="1377"/>
      <c r="U129" s="1377"/>
    </row>
    <row r="130" spans="3:21" hidden="1">
      <c r="C130" s="1021"/>
      <c r="D130" s="1025"/>
      <c r="E130" s="1003"/>
      <c r="F130" s="1913" t="s">
        <v>48</v>
      </c>
      <c r="I130" s="1914">
        <v>1.96</v>
      </c>
      <c r="J130" s="1914">
        <v>3.81</v>
      </c>
      <c r="K130" s="1914">
        <v>4.42</v>
      </c>
      <c r="L130" s="1914">
        <v>2.08</v>
      </c>
      <c r="M130" s="1914">
        <v>4.49</v>
      </c>
      <c r="N130" s="1914">
        <v>5.27</v>
      </c>
      <c r="O130" s="1914">
        <v>1.51</v>
      </c>
      <c r="P130" s="1914">
        <v>3.07</v>
      </c>
      <c r="Q130" s="1914">
        <v>3.63</v>
      </c>
      <c r="T130" s="1377"/>
      <c r="U130" s="1377"/>
    </row>
    <row r="131" spans="3:21" hidden="1">
      <c r="C131" s="1021"/>
      <c r="D131" s="1025"/>
      <c r="E131" s="1912" t="s">
        <v>333</v>
      </c>
      <c r="F131" s="1913" t="s">
        <v>47</v>
      </c>
      <c r="I131" s="1914">
        <v>3.06</v>
      </c>
      <c r="J131" s="1914">
        <v>4.3600000000000003</v>
      </c>
      <c r="K131" s="1914">
        <v>5.15</v>
      </c>
      <c r="L131" s="1914">
        <v>3.24</v>
      </c>
      <c r="M131" s="1914">
        <v>5.07</v>
      </c>
      <c r="N131" s="1914">
        <v>6.05</v>
      </c>
      <c r="O131" s="1914">
        <v>1.51</v>
      </c>
      <c r="P131" s="1914">
        <v>3.07</v>
      </c>
      <c r="Q131" s="1914">
        <v>3.63</v>
      </c>
      <c r="T131" s="1377"/>
      <c r="U131" s="1377"/>
    </row>
    <row r="132" spans="3:21" hidden="1">
      <c r="C132" s="1021"/>
      <c r="D132" s="1025"/>
      <c r="E132" s="1002"/>
      <c r="F132" s="1913" t="s">
        <v>333</v>
      </c>
      <c r="I132" s="1914">
        <v>2.5099999999999998</v>
      </c>
      <c r="J132" s="1914">
        <v>3.81</v>
      </c>
      <c r="K132" s="1914">
        <v>4.46</v>
      </c>
      <c r="L132" s="1914">
        <v>2.66</v>
      </c>
      <c r="M132" s="1914">
        <v>4.49</v>
      </c>
      <c r="N132" s="1914">
        <v>5.32</v>
      </c>
      <c r="O132" s="1914">
        <v>1.51</v>
      </c>
      <c r="P132" s="1914">
        <v>3.07</v>
      </c>
      <c r="Q132" s="1914">
        <v>3.62</v>
      </c>
      <c r="T132" s="1377"/>
      <c r="U132" s="1377"/>
    </row>
    <row r="133" spans="3:21" hidden="1">
      <c r="C133" s="1022"/>
      <c r="D133" s="1026"/>
      <c r="E133" s="1003"/>
      <c r="F133" s="1913" t="s">
        <v>48</v>
      </c>
      <c r="I133" s="1914">
        <v>1.96</v>
      </c>
      <c r="J133" s="1914">
        <v>3.81</v>
      </c>
      <c r="K133" s="1914">
        <v>4.28</v>
      </c>
      <c r="L133" s="1914">
        <v>2.08</v>
      </c>
      <c r="M133" s="1914">
        <v>4.49</v>
      </c>
      <c r="N133" s="1914">
        <v>5.12</v>
      </c>
      <c r="O133" s="1914">
        <v>1.51</v>
      </c>
      <c r="P133" s="1914">
        <v>3.07</v>
      </c>
      <c r="Q133" s="1914">
        <v>3.62</v>
      </c>
      <c r="T133" s="1377"/>
      <c r="U133" s="1377"/>
    </row>
    <row r="134" spans="3:21" hidden="1">
      <c r="C134" s="1910" t="s">
        <v>47</v>
      </c>
      <c r="D134" s="1911"/>
      <c r="E134" s="1912" t="s">
        <v>46</v>
      </c>
      <c r="F134" s="1913" t="s">
        <v>47</v>
      </c>
      <c r="I134" s="1914">
        <v>2.81</v>
      </c>
      <c r="J134" s="1914">
        <v>4.3899999999999997</v>
      </c>
      <c r="K134" s="1914">
        <v>5.27</v>
      </c>
      <c r="L134" s="1914">
        <v>2.94</v>
      </c>
      <c r="M134" s="1914">
        <v>5.0599999999999996</v>
      </c>
      <c r="N134" s="1914">
        <v>6.13</v>
      </c>
      <c r="O134" s="1914">
        <v>1.58</v>
      </c>
      <c r="P134" s="1914">
        <v>3.14</v>
      </c>
      <c r="Q134" s="1914">
        <v>3.7</v>
      </c>
      <c r="T134" s="1377"/>
      <c r="U134" s="1377"/>
    </row>
    <row r="135" spans="3:21" hidden="1">
      <c r="C135" s="1021"/>
      <c r="D135" s="1025"/>
      <c r="E135" s="1002"/>
      <c r="F135" s="1913" t="s">
        <v>333</v>
      </c>
      <c r="I135" s="1914">
        <v>2.81</v>
      </c>
      <c r="J135" s="1914">
        <v>4.3899999999999997</v>
      </c>
      <c r="K135" s="1914">
        <v>4.91</v>
      </c>
      <c r="L135" s="1914">
        <v>2.94</v>
      </c>
      <c r="M135" s="1914">
        <v>5.0599999999999996</v>
      </c>
      <c r="N135" s="1914">
        <v>5.75</v>
      </c>
      <c r="O135" s="1914">
        <v>1.58</v>
      </c>
      <c r="P135" s="1914">
        <v>3.14</v>
      </c>
      <c r="Q135" s="1914">
        <v>3.7</v>
      </c>
      <c r="T135" s="1377"/>
      <c r="U135" s="1377"/>
    </row>
    <row r="136" spans="3:21" hidden="1">
      <c r="C136" s="1021"/>
      <c r="D136" s="1025"/>
      <c r="E136" s="1003"/>
      <c r="F136" s="1913" t="s">
        <v>48</v>
      </c>
      <c r="I136" s="1914">
        <v>2.81</v>
      </c>
      <c r="J136" s="1914">
        <v>4.12</v>
      </c>
      <c r="K136" s="1914">
        <v>4.91</v>
      </c>
      <c r="L136" s="1914">
        <v>2.94</v>
      </c>
      <c r="M136" s="1914">
        <v>4.7699999999999996</v>
      </c>
      <c r="N136" s="1914">
        <v>5.75</v>
      </c>
      <c r="O136" s="1914">
        <v>1.58</v>
      </c>
      <c r="P136" s="1914">
        <v>3.14</v>
      </c>
      <c r="Q136" s="1914">
        <v>3.7</v>
      </c>
      <c r="T136" s="1377"/>
      <c r="U136" s="1377"/>
    </row>
    <row r="137" spans="3:21" hidden="1">
      <c r="C137" s="1021"/>
      <c r="D137" s="1025"/>
      <c r="E137" s="1912" t="s">
        <v>332</v>
      </c>
      <c r="F137" s="1913" t="s">
        <v>47</v>
      </c>
      <c r="I137" s="1914">
        <v>2.81</v>
      </c>
      <c r="J137" s="1914">
        <v>4.3899999999999997</v>
      </c>
      <c r="K137" s="1914">
        <v>5.27</v>
      </c>
      <c r="L137" s="1914">
        <v>2.94</v>
      </c>
      <c r="M137" s="1914">
        <v>5.0599999999999996</v>
      </c>
      <c r="N137" s="1914">
        <v>6.13</v>
      </c>
      <c r="O137" s="1914">
        <v>1.58</v>
      </c>
      <c r="P137" s="1914">
        <v>3.14</v>
      </c>
      <c r="Q137" s="1914">
        <v>3.7</v>
      </c>
      <c r="T137" s="1377"/>
      <c r="U137" s="1377"/>
    </row>
    <row r="138" spans="3:21" hidden="1">
      <c r="C138" s="1021"/>
      <c r="D138" s="1025"/>
      <c r="E138" s="1002"/>
      <c r="F138" s="1913" t="s">
        <v>333</v>
      </c>
      <c r="I138" s="1914">
        <v>2.39</v>
      </c>
      <c r="J138" s="1914">
        <v>3.96</v>
      </c>
      <c r="K138" s="1914">
        <v>4.4800000000000004</v>
      </c>
      <c r="L138" s="1914">
        <v>2.5099999999999998</v>
      </c>
      <c r="M138" s="1914">
        <v>4.63</v>
      </c>
      <c r="N138" s="1914">
        <v>5.31</v>
      </c>
      <c r="O138" s="1914">
        <v>1.55</v>
      </c>
      <c r="P138" s="1914">
        <v>3.11</v>
      </c>
      <c r="Q138" s="1914">
        <v>3.66</v>
      </c>
      <c r="T138" s="1377"/>
      <c r="U138" s="1377"/>
    </row>
    <row r="139" spans="3:21" hidden="1">
      <c r="C139" s="1021"/>
      <c r="D139" s="1025"/>
      <c r="E139" s="1003"/>
      <c r="F139" s="1913" t="s">
        <v>48</v>
      </c>
      <c r="I139" s="1914">
        <v>1.96</v>
      </c>
      <c r="J139" s="1914">
        <v>3.69</v>
      </c>
      <c r="K139" s="1914">
        <v>4.34</v>
      </c>
      <c r="L139" s="1914">
        <v>2.08</v>
      </c>
      <c r="M139" s="1914">
        <v>4.34</v>
      </c>
      <c r="N139" s="1914">
        <v>5.17</v>
      </c>
      <c r="O139" s="1914">
        <v>1.51</v>
      </c>
      <c r="P139" s="1914">
        <v>3.11</v>
      </c>
      <c r="Q139" s="1914">
        <v>3.65</v>
      </c>
      <c r="T139" s="1377"/>
      <c r="U139" s="1377"/>
    </row>
    <row r="140" spans="3:21" hidden="1">
      <c r="C140" s="1021"/>
      <c r="D140" s="1025"/>
      <c r="E140" s="1912" t="s">
        <v>47</v>
      </c>
      <c r="F140" s="1913" t="s">
        <v>47</v>
      </c>
      <c r="I140" s="1915">
        <v>1.96</v>
      </c>
      <c r="J140" s="1915">
        <v>3.75</v>
      </c>
      <c r="K140" s="1915">
        <v>4.7</v>
      </c>
      <c r="L140" s="1915">
        <v>2.08</v>
      </c>
      <c r="M140" s="1915">
        <v>4.41</v>
      </c>
      <c r="N140" s="1915">
        <v>5.56</v>
      </c>
      <c r="O140" s="1915">
        <v>1.51</v>
      </c>
      <c r="P140" s="1915">
        <v>3.09</v>
      </c>
      <c r="Q140" s="1915">
        <v>3.65</v>
      </c>
      <c r="T140" s="1377"/>
      <c r="U140" s="1377"/>
    </row>
    <row r="141" spans="3:21" hidden="1">
      <c r="C141" s="1021"/>
      <c r="D141" s="1025"/>
      <c r="E141" s="1002"/>
      <c r="F141" s="1913" t="s">
        <v>333</v>
      </c>
      <c r="I141" s="1915">
        <v>1.96</v>
      </c>
      <c r="J141" s="1915">
        <v>3.75</v>
      </c>
      <c r="K141" s="1915">
        <v>4.0599999999999996</v>
      </c>
      <c r="L141" s="1915">
        <v>2.08</v>
      </c>
      <c r="M141" s="1915">
        <v>4.41</v>
      </c>
      <c r="N141" s="1915">
        <v>4.88</v>
      </c>
      <c r="O141" s="1915">
        <v>1.51</v>
      </c>
      <c r="P141" s="1915">
        <v>3.09</v>
      </c>
      <c r="Q141" s="1915">
        <v>3.63</v>
      </c>
      <c r="T141" s="1377"/>
      <c r="U141" s="1377"/>
    </row>
    <row r="142" spans="3:21" hidden="1">
      <c r="C142" s="1021"/>
      <c r="D142" s="1025"/>
      <c r="E142" s="1003"/>
      <c r="F142" s="1913" t="s">
        <v>48</v>
      </c>
      <c r="I142" s="1914">
        <v>1.96</v>
      </c>
      <c r="J142" s="1914">
        <v>3.27</v>
      </c>
      <c r="K142" s="1914">
        <v>4.0599999999999996</v>
      </c>
      <c r="L142" s="1914">
        <v>2.08</v>
      </c>
      <c r="M142" s="1914">
        <v>3.9</v>
      </c>
      <c r="N142" s="1914">
        <v>4.88</v>
      </c>
      <c r="O142" s="1914">
        <v>1.51</v>
      </c>
      <c r="P142" s="1914">
        <v>3.07</v>
      </c>
      <c r="Q142" s="1914">
        <v>3.63</v>
      </c>
      <c r="T142" s="1377"/>
      <c r="U142" s="1377"/>
    </row>
    <row r="143" spans="3:21" hidden="1">
      <c r="C143" s="1021"/>
      <c r="D143" s="1025"/>
      <c r="E143" s="1912" t="s">
        <v>333</v>
      </c>
      <c r="F143" s="1913" t="s">
        <v>47</v>
      </c>
      <c r="I143" s="1914">
        <v>1.96</v>
      </c>
      <c r="J143" s="1914">
        <v>3.54</v>
      </c>
      <c r="K143" s="1914">
        <v>4.42</v>
      </c>
      <c r="L143" s="1914">
        <v>2.08</v>
      </c>
      <c r="M143" s="1914">
        <v>4.1900000000000004</v>
      </c>
      <c r="N143" s="1914">
        <v>5.27</v>
      </c>
      <c r="O143" s="1914">
        <v>1.51</v>
      </c>
      <c r="P143" s="1914">
        <v>3.07</v>
      </c>
      <c r="Q143" s="1914">
        <v>3.63</v>
      </c>
      <c r="T143" s="1377"/>
      <c r="U143" s="1377"/>
    </row>
    <row r="144" spans="3:21" hidden="1">
      <c r="C144" s="1021"/>
      <c r="D144" s="1025"/>
      <c r="E144" s="1002"/>
      <c r="F144" s="1913" t="s">
        <v>333</v>
      </c>
      <c r="I144" s="1914">
        <v>1.96</v>
      </c>
      <c r="J144" s="1914">
        <v>3.54</v>
      </c>
      <c r="K144" s="1914">
        <v>3.91</v>
      </c>
      <c r="L144" s="1914">
        <v>2.08</v>
      </c>
      <c r="M144" s="1914">
        <v>4.1900000000000004</v>
      </c>
      <c r="N144" s="1914">
        <v>4.74</v>
      </c>
      <c r="O144" s="1914">
        <v>1.51</v>
      </c>
      <c r="P144" s="1914">
        <v>3.07</v>
      </c>
      <c r="Q144" s="1914">
        <v>3.62</v>
      </c>
      <c r="T144" s="1377"/>
      <c r="U144" s="1377"/>
    </row>
    <row r="145" spans="3:21" hidden="1">
      <c r="C145" s="1022"/>
      <c r="D145" s="1026"/>
      <c r="E145" s="1003"/>
      <c r="F145" s="1913" t="s">
        <v>48</v>
      </c>
      <c r="I145" s="1914">
        <v>1.96</v>
      </c>
      <c r="J145" s="1914">
        <v>3.27</v>
      </c>
      <c r="K145" s="1914">
        <v>3.91</v>
      </c>
      <c r="L145" s="1914">
        <v>2.08</v>
      </c>
      <c r="M145" s="1914">
        <v>3.9</v>
      </c>
      <c r="N145" s="1914">
        <v>4.74</v>
      </c>
      <c r="O145" s="1914">
        <v>1.51</v>
      </c>
      <c r="P145" s="1914">
        <v>3.07</v>
      </c>
      <c r="Q145" s="1914">
        <v>3.62</v>
      </c>
      <c r="T145" s="1377"/>
      <c r="U145" s="1377"/>
    </row>
    <row r="146" spans="3:21" hidden="1">
      <c r="C146" s="1910" t="s">
        <v>333</v>
      </c>
      <c r="D146" s="1911"/>
      <c r="E146" s="1912" t="s">
        <v>46</v>
      </c>
      <c r="F146" s="1913" t="s">
        <v>47</v>
      </c>
      <c r="I146" s="1914">
        <v>2.81</v>
      </c>
      <c r="J146" s="1914">
        <v>4.12</v>
      </c>
      <c r="K146" s="1914">
        <v>4.91</v>
      </c>
      <c r="L146" s="1914">
        <v>2.94</v>
      </c>
      <c r="M146" s="1914">
        <v>4.7699999999999996</v>
      </c>
      <c r="N146" s="1914">
        <v>5.75</v>
      </c>
      <c r="O146" s="1914">
        <v>1.58</v>
      </c>
      <c r="P146" s="1914">
        <v>3.14</v>
      </c>
      <c r="Q146" s="1914">
        <v>3.7</v>
      </c>
      <c r="T146" s="1377"/>
      <c r="U146" s="1377"/>
    </row>
    <row r="147" spans="3:21" hidden="1">
      <c r="C147" s="1021"/>
      <c r="D147" s="1025"/>
      <c r="E147" s="1002"/>
      <c r="F147" s="1913" t="s">
        <v>333</v>
      </c>
      <c r="I147" s="1914">
        <v>2.81</v>
      </c>
      <c r="J147" s="1914">
        <v>4.12</v>
      </c>
      <c r="K147" s="1914">
        <v>4.72</v>
      </c>
      <c r="L147" s="1914">
        <v>2.94</v>
      </c>
      <c r="M147" s="1914">
        <v>4.7699999999999996</v>
      </c>
      <c r="N147" s="1914">
        <v>5.55</v>
      </c>
      <c r="O147" s="1914">
        <v>1.58</v>
      </c>
      <c r="P147" s="1914">
        <v>3.14</v>
      </c>
      <c r="Q147" s="1914">
        <v>3.7</v>
      </c>
      <c r="T147" s="1377"/>
      <c r="U147" s="1377"/>
    </row>
    <row r="148" spans="3:21" hidden="1">
      <c r="C148" s="1021"/>
      <c r="D148" s="1025"/>
      <c r="E148" s="1003"/>
      <c r="F148" s="1913" t="s">
        <v>48</v>
      </c>
      <c r="I148" s="1914">
        <v>2.81</v>
      </c>
      <c r="J148" s="1914">
        <v>4.12</v>
      </c>
      <c r="K148" s="1914">
        <v>4.72</v>
      </c>
      <c r="L148" s="1914">
        <v>2.94</v>
      </c>
      <c r="M148" s="1914">
        <v>4.7699999999999996</v>
      </c>
      <c r="N148" s="1914">
        <v>5.55</v>
      </c>
      <c r="O148" s="1914">
        <v>1.58</v>
      </c>
      <c r="P148" s="1914">
        <v>3.14</v>
      </c>
      <c r="Q148" s="1914">
        <v>3.7</v>
      </c>
      <c r="T148" s="1377"/>
      <c r="U148" s="1377"/>
    </row>
    <row r="149" spans="3:21" hidden="1">
      <c r="C149" s="1021"/>
      <c r="D149" s="1025"/>
      <c r="E149" s="1912" t="s">
        <v>332</v>
      </c>
      <c r="F149" s="1913" t="s">
        <v>47</v>
      </c>
      <c r="I149" s="1914">
        <v>2.81</v>
      </c>
      <c r="J149" s="1914">
        <v>4.12</v>
      </c>
      <c r="K149" s="1914">
        <v>4.91</v>
      </c>
      <c r="L149" s="1914">
        <v>2.94</v>
      </c>
      <c r="M149" s="1914">
        <v>4.7699999999999996</v>
      </c>
      <c r="N149" s="1914">
        <v>5.75</v>
      </c>
      <c r="O149" s="1914">
        <v>1.58</v>
      </c>
      <c r="P149" s="1914">
        <v>3.14</v>
      </c>
      <c r="Q149" s="1914">
        <v>3.7</v>
      </c>
      <c r="T149" s="1377"/>
      <c r="U149" s="1377"/>
    </row>
    <row r="150" spans="3:21" hidden="1">
      <c r="C150" s="1021"/>
      <c r="D150" s="1025"/>
      <c r="E150" s="1002"/>
      <c r="F150" s="1913" t="s">
        <v>333</v>
      </c>
      <c r="I150" s="1914">
        <v>2.39</v>
      </c>
      <c r="J150" s="1914">
        <v>3.69</v>
      </c>
      <c r="K150" s="1914">
        <v>4.3</v>
      </c>
      <c r="L150" s="1914">
        <v>2.5099999999999998</v>
      </c>
      <c r="M150" s="1914">
        <v>4.34</v>
      </c>
      <c r="N150" s="1914">
        <v>5.12</v>
      </c>
      <c r="O150" s="1914">
        <v>1.55</v>
      </c>
      <c r="P150" s="1914">
        <v>3.11</v>
      </c>
      <c r="Q150" s="1914">
        <v>3.66</v>
      </c>
      <c r="T150" s="1377"/>
      <c r="U150" s="1377"/>
    </row>
    <row r="151" spans="3:21" hidden="1">
      <c r="C151" s="1021"/>
      <c r="D151" s="1025"/>
      <c r="E151" s="1003"/>
      <c r="F151" s="1913" t="s">
        <v>48</v>
      </c>
      <c r="I151" s="1914">
        <v>1.96</v>
      </c>
      <c r="J151" s="1914">
        <v>3.69</v>
      </c>
      <c r="K151" s="1914">
        <v>4.16</v>
      </c>
      <c r="L151" s="1914">
        <v>2.08</v>
      </c>
      <c r="M151" s="1914">
        <v>4.34</v>
      </c>
      <c r="N151" s="1914">
        <v>4.97</v>
      </c>
      <c r="O151" s="1914">
        <v>1.51</v>
      </c>
      <c r="P151" s="1914">
        <v>3.11</v>
      </c>
      <c r="Q151" s="1914">
        <v>3.65</v>
      </c>
      <c r="T151" s="1377"/>
      <c r="U151" s="1377"/>
    </row>
    <row r="152" spans="3:21" hidden="1">
      <c r="C152" s="1021"/>
      <c r="D152" s="1025"/>
      <c r="E152" s="1912" t="s">
        <v>47</v>
      </c>
      <c r="F152" s="1913" t="s">
        <v>47</v>
      </c>
      <c r="I152" s="1914">
        <v>1.96</v>
      </c>
      <c r="J152" s="1914">
        <v>3.48</v>
      </c>
      <c r="K152" s="1914">
        <v>4.34</v>
      </c>
      <c r="L152" s="1914">
        <v>2.08</v>
      </c>
      <c r="M152" s="1914">
        <v>4.12</v>
      </c>
      <c r="N152" s="1914">
        <v>5.17</v>
      </c>
      <c r="O152" s="1914">
        <v>1.51</v>
      </c>
      <c r="P152" s="1914">
        <v>3.09</v>
      </c>
      <c r="Q152" s="1914">
        <v>3.65</v>
      </c>
      <c r="T152" s="1377"/>
      <c r="U152" s="1377"/>
    </row>
    <row r="153" spans="3:21" hidden="1">
      <c r="C153" s="1021"/>
      <c r="D153" s="1025"/>
      <c r="E153" s="1002"/>
      <c r="F153" s="1913" t="s">
        <v>333</v>
      </c>
      <c r="I153" s="1914">
        <v>1.96</v>
      </c>
      <c r="J153" s="1914">
        <v>3.48</v>
      </c>
      <c r="K153" s="1914">
        <v>3.87</v>
      </c>
      <c r="L153" s="1914">
        <v>2.08</v>
      </c>
      <c r="M153" s="1914">
        <v>4.12</v>
      </c>
      <c r="N153" s="1914">
        <v>4.68</v>
      </c>
      <c r="O153" s="1914">
        <v>1.51</v>
      </c>
      <c r="P153" s="1914">
        <v>3.09</v>
      </c>
      <c r="Q153" s="1914">
        <v>3.63</v>
      </c>
      <c r="T153" s="1377"/>
      <c r="U153" s="1377"/>
    </row>
    <row r="154" spans="3:21" hidden="1">
      <c r="C154" s="1021"/>
      <c r="D154" s="1025"/>
      <c r="E154" s="1003"/>
      <c r="F154" s="1913" t="s">
        <v>48</v>
      </c>
      <c r="I154" s="1914">
        <v>1.96</v>
      </c>
      <c r="J154" s="1914">
        <v>3.27</v>
      </c>
      <c r="K154" s="1914">
        <v>3.87</v>
      </c>
      <c r="L154" s="1914">
        <v>2.08</v>
      </c>
      <c r="M154" s="1914">
        <v>3.9</v>
      </c>
      <c r="N154" s="1914">
        <v>4.68</v>
      </c>
      <c r="O154" s="1914">
        <v>1.51</v>
      </c>
      <c r="P154" s="1914">
        <v>3.07</v>
      </c>
      <c r="Q154" s="1914">
        <v>3.63</v>
      </c>
      <c r="T154" s="1377"/>
      <c r="U154" s="1377"/>
    </row>
    <row r="155" spans="3:21" hidden="1">
      <c r="C155" s="1021"/>
      <c r="D155" s="1025"/>
      <c r="E155" s="1912" t="s">
        <v>333</v>
      </c>
      <c r="F155" s="1913" t="s">
        <v>47</v>
      </c>
      <c r="I155" s="1914">
        <v>1.96</v>
      </c>
      <c r="J155" s="1914">
        <v>3.27</v>
      </c>
      <c r="K155" s="1914">
        <v>4.0599999999999996</v>
      </c>
      <c r="L155" s="1914">
        <v>2.08</v>
      </c>
      <c r="M155" s="1914">
        <v>3.9</v>
      </c>
      <c r="N155" s="1914">
        <v>4.88</v>
      </c>
      <c r="O155" s="1914">
        <v>1.51</v>
      </c>
      <c r="P155" s="1914">
        <v>3.07</v>
      </c>
      <c r="Q155" s="1914">
        <v>3.63</v>
      </c>
      <c r="T155" s="1377"/>
      <c r="U155" s="1377"/>
    </row>
    <row r="156" spans="3:21" hidden="1">
      <c r="C156" s="1021"/>
      <c r="D156" s="1025"/>
      <c r="E156" s="1002"/>
      <c r="F156" s="1913" t="s">
        <v>333</v>
      </c>
      <c r="I156" s="1914">
        <v>1.96</v>
      </c>
      <c r="J156" s="1914">
        <v>3.27</v>
      </c>
      <c r="K156" s="1914">
        <v>3.73</v>
      </c>
      <c r="L156" s="1914">
        <v>2.08</v>
      </c>
      <c r="M156" s="1914">
        <v>3.9</v>
      </c>
      <c r="N156" s="1914">
        <v>4.54</v>
      </c>
      <c r="O156" s="1914">
        <v>1.51</v>
      </c>
      <c r="P156" s="1914">
        <v>3.07</v>
      </c>
      <c r="Q156" s="1914">
        <v>3.62</v>
      </c>
      <c r="T156" s="1377"/>
      <c r="U156" s="1377"/>
    </row>
    <row r="157" spans="3:21" hidden="1">
      <c r="C157" s="1022"/>
      <c r="D157" s="1026"/>
      <c r="E157" s="1003"/>
      <c r="F157" s="1913" t="s">
        <v>48</v>
      </c>
      <c r="I157" s="1914">
        <v>1.96</v>
      </c>
      <c r="J157" s="1914">
        <v>3.27</v>
      </c>
      <c r="K157" s="1914">
        <v>3.73</v>
      </c>
      <c r="L157" s="1914">
        <v>2.08</v>
      </c>
      <c r="M157" s="1914">
        <v>3.9</v>
      </c>
      <c r="N157" s="1914">
        <v>4.54</v>
      </c>
      <c r="O157" s="1914">
        <v>1.51</v>
      </c>
      <c r="P157" s="1914">
        <v>3.07</v>
      </c>
      <c r="Q157" s="1914">
        <v>3.62</v>
      </c>
      <c r="T157" s="1377"/>
      <c r="U157" s="1377"/>
    </row>
    <row r="158" spans="3:21" hidden="1">
      <c r="T158" s="1377"/>
      <c r="U158" s="1377"/>
    </row>
    <row r="159" spans="3:21" ht="16.5" hidden="1">
      <c r="C159" s="1916" t="s">
        <v>1225</v>
      </c>
      <c r="D159" s="1006"/>
      <c r="I159" s="1901" t="s">
        <v>1211</v>
      </c>
      <c r="J159" s="1127"/>
      <c r="K159" s="1127"/>
      <c r="L159" s="1128"/>
      <c r="M159" s="1128"/>
      <c r="N159" s="1128"/>
      <c r="O159" s="1128"/>
      <c r="P159" s="1128"/>
      <c r="Q159" s="1129"/>
      <c r="T159" s="1377"/>
      <c r="U159" s="1377"/>
    </row>
    <row r="160" spans="3:21" ht="14.25" hidden="1">
      <c r="C160" s="996"/>
      <c r="D160" s="996"/>
      <c r="E160" s="996"/>
      <c r="F160" s="988" t="s">
        <v>791</v>
      </c>
      <c r="I160" s="1902" t="s">
        <v>1212</v>
      </c>
      <c r="J160" s="1903"/>
      <c r="K160" s="1904"/>
      <c r="L160" s="1902" t="s">
        <v>1213</v>
      </c>
      <c r="M160" s="1903"/>
      <c r="N160" s="1904"/>
      <c r="O160" s="1902" t="s">
        <v>1214</v>
      </c>
      <c r="P160" s="1903"/>
      <c r="Q160" s="1133"/>
      <c r="T160" s="1377"/>
      <c r="U160" s="1377"/>
    </row>
    <row r="161" spans="3:21" ht="16.5" hidden="1">
      <c r="C161" s="1905" t="s">
        <v>1217</v>
      </c>
      <c r="D161" s="1906"/>
      <c r="E161" s="1907" t="s">
        <v>1218</v>
      </c>
      <c r="F161" s="1908" t="s">
        <v>1219</v>
      </c>
      <c r="I161" s="1909" t="s">
        <v>1150</v>
      </c>
      <c r="J161" s="1909" t="s">
        <v>1215</v>
      </c>
      <c r="K161" s="1909" t="s">
        <v>1216</v>
      </c>
      <c r="L161" s="1909" t="s">
        <v>1150</v>
      </c>
      <c r="M161" s="1909" t="s">
        <v>1215</v>
      </c>
      <c r="N161" s="1909" t="s">
        <v>1216</v>
      </c>
      <c r="O161" s="1909" t="s">
        <v>1150</v>
      </c>
      <c r="P161" s="1909" t="s">
        <v>1215</v>
      </c>
      <c r="Q161" s="1909" t="s">
        <v>1216</v>
      </c>
      <c r="T161" s="1377"/>
      <c r="U161" s="1377"/>
    </row>
    <row r="162" spans="3:21" hidden="1">
      <c r="C162" s="1910" t="s">
        <v>46</v>
      </c>
      <c r="D162" s="1911"/>
      <c r="E162" s="1912" t="s">
        <v>46</v>
      </c>
      <c r="F162" s="1913" t="s">
        <v>47</v>
      </c>
      <c r="I162" s="1914">
        <v>0.48</v>
      </c>
      <c r="J162" s="1914">
        <v>0.32</v>
      </c>
      <c r="K162" s="1914">
        <v>0.28999999999999998</v>
      </c>
      <c r="L162" s="1914">
        <v>0.69</v>
      </c>
      <c r="M162" s="1914">
        <v>0.43</v>
      </c>
      <c r="N162" s="1914">
        <v>0.36</v>
      </c>
      <c r="O162" s="1914">
        <v>1.0900000000000001</v>
      </c>
      <c r="P162" s="1914">
        <v>0.59</v>
      </c>
      <c r="Q162" s="1914">
        <v>0.42</v>
      </c>
      <c r="T162" s="1377"/>
      <c r="U162" s="1377"/>
    </row>
    <row r="163" spans="3:21" hidden="1">
      <c r="C163" s="1021"/>
      <c r="D163" s="1025"/>
      <c r="E163" s="1002"/>
      <c r="F163" s="1913" t="s">
        <v>333</v>
      </c>
      <c r="I163" s="1914">
        <v>0.48</v>
      </c>
      <c r="J163" s="1914">
        <v>0.32</v>
      </c>
      <c r="K163" s="1914">
        <v>0.28999999999999998</v>
      </c>
      <c r="L163" s="1914">
        <v>0.69</v>
      </c>
      <c r="M163" s="1914">
        <v>0.43</v>
      </c>
      <c r="N163" s="1914">
        <v>0.36</v>
      </c>
      <c r="O163" s="1914">
        <v>1.0900000000000001</v>
      </c>
      <c r="P163" s="1914">
        <v>0.59</v>
      </c>
      <c r="Q163" s="1914">
        <v>0.42</v>
      </c>
      <c r="T163" s="1377"/>
      <c r="U163" s="1377"/>
    </row>
    <row r="164" spans="3:21" hidden="1">
      <c r="C164" s="1021"/>
      <c r="D164" s="1025"/>
      <c r="E164" s="1003"/>
      <c r="F164" s="1913" t="s">
        <v>48</v>
      </c>
      <c r="I164" s="1914">
        <v>0.48</v>
      </c>
      <c r="J164" s="1914">
        <v>0.32</v>
      </c>
      <c r="K164" s="1914">
        <v>0.28999999999999998</v>
      </c>
      <c r="L164" s="1914">
        <v>0.69</v>
      </c>
      <c r="M164" s="1914">
        <v>0.43</v>
      </c>
      <c r="N164" s="1914">
        <v>0.36</v>
      </c>
      <c r="O164" s="1914">
        <v>1.0900000000000001</v>
      </c>
      <c r="P164" s="1914">
        <v>0.59</v>
      </c>
      <c r="Q164" s="1914">
        <v>0.42</v>
      </c>
      <c r="T164" s="1377"/>
      <c r="U164" s="1377"/>
    </row>
    <row r="165" spans="3:21" hidden="1">
      <c r="C165" s="1021"/>
      <c r="D165" s="1025"/>
      <c r="E165" s="1912" t="s">
        <v>332</v>
      </c>
      <c r="F165" s="1913" t="s">
        <v>47</v>
      </c>
      <c r="I165" s="1914">
        <v>0.48</v>
      </c>
      <c r="J165" s="1914">
        <v>0.32</v>
      </c>
      <c r="K165" s="1914">
        <v>0.28999999999999998</v>
      </c>
      <c r="L165" s="1914">
        <v>0.69</v>
      </c>
      <c r="M165" s="1914">
        <v>0.43</v>
      </c>
      <c r="N165" s="1914">
        <v>0.36</v>
      </c>
      <c r="O165" s="1914">
        <v>1.0900000000000001</v>
      </c>
      <c r="P165" s="1914">
        <v>0.59</v>
      </c>
      <c r="Q165" s="1914">
        <v>0.42</v>
      </c>
      <c r="T165" s="1377"/>
      <c r="U165" s="1377"/>
    </row>
    <row r="166" spans="3:21" hidden="1">
      <c r="C166" s="1021"/>
      <c r="D166" s="1025"/>
      <c r="E166" s="1002"/>
      <c r="F166" s="1913" t="s">
        <v>333</v>
      </c>
      <c r="I166" s="1914">
        <v>0.46</v>
      </c>
      <c r="J166" s="1914">
        <v>0.31</v>
      </c>
      <c r="K166" s="1914">
        <v>0.27</v>
      </c>
      <c r="L166" s="1914">
        <v>0.67</v>
      </c>
      <c r="M166" s="1914">
        <v>0.41</v>
      </c>
      <c r="N166" s="1914">
        <v>0.34</v>
      </c>
      <c r="O166" s="1914">
        <v>1.0900000000000001</v>
      </c>
      <c r="P166" s="1914">
        <v>0.59</v>
      </c>
      <c r="Q166" s="1914">
        <v>0.42</v>
      </c>
      <c r="T166" s="1377"/>
      <c r="U166" s="1377"/>
    </row>
    <row r="167" spans="3:21" hidden="1">
      <c r="C167" s="1021"/>
      <c r="D167" s="1025"/>
      <c r="E167" s="1003"/>
      <c r="F167" s="1913" t="s">
        <v>48</v>
      </c>
      <c r="I167" s="1914">
        <v>0.45</v>
      </c>
      <c r="J167" s="1914">
        <v>0.31</v>
      </c>
      <c r="K167" s="1914">
        <v>0.26</v>
      </c>
      <c r="L167" s="1914">
        <v>0.65</v>
      </c>
      <c r="M167" s="1914">
        <v>0.41</v>
      </c>
      <c r="N167" s="1914">
        <v>0.33</v>
      </c>
      <c r="O167" s="1914">
        <v>1.0900000000000001</v>
      </c>
      <c r="P167" s="1914">
        <v>0.59</v>
      </c>
      <c r="Q167" s="1914">
        <v>0.42</v>
      </c>
      <c r="T167" s="1377"/>
      <c r="U167" s="1377"/>
    </row>
    <row r="168" spans="3:21" hidden="1">
      <c r="C168" s="1021"/>
      <c r="D168" s="1025"/>
      <c r="E168" s="1912" t="s">
        <v>47</v>
      </c>
      <c r="F168" s="1913" t="s">
        <v>47</v>
      </c>
      <c r="I168" s="1914">
        <v>0.45</v>
      </c>
      <c r="J168" s="1914">
        <v>0.3</v>
      </c>
      <c r="K168" s="1914">
        <v>0.26</v>
      </c>
      <c r="L168" s="1914">
        <v>0.65</v>
      </c>
      <c r="M168" s="1914">
        <v>0.4</v>
      </c>
      <c r="N168" s="1914">
        <v>0.33</v>
      </c>
      <c r="O168" s="1914">
        <v>1.0900000000000001</v>
      </c>
      <c r="P168" s="1914">
        <v>0.59</v>
      </c>
      <c r="Q168" s="1914">
        <v>0.42</v>
      </c>
      <c r="T168" s="1377"/>
      <c r="U168" s="1377"/>
    </row>
    <row r="169" spans="3:21" hidden="1">
      <c r="C169" s="1021"/>
      <c r="D169" s="1025"/>
      <c r="E169" s="1002"/>
      <c r="F169" s="1913" t="s">
        <v>333</v>
      </c>
      <c r="I169" s="1914">
        <v>0.45</v>
      </c>
      <c r="J169" s="1914">
        <v>0.3</v>
      </c>
      <c r="K169" s="1914">
        <v>0.25</v>
      </c>
      <c r="L169" s="1914">
        <v>0.65</v>
      </c>
      <c r="M169" s="1914">
        <v>0.4</v>
      </c>
      <c r="N169" s="1914">
        <v>0.32</v>
      </c>
      <c r="O169" s="1914">
        <v>1.0900000000000001</v>
      </c>
      <c r="P169" s="1914">
        <v>0.59</v>
      </c>
      <c r="Q169" s="1914">
        <v>0.42</v>
      </c>
      <c r="T169" s="1377"/>
      <c r="U169" s="1377"/>
    </row>
    <row r="170" spans="3:21" hidden="1">
      <c r="C170" s="1021"/>
      <c r="D170" s="1025"/>
      <c r="E170" s="1003"/>
      <c r="F170" s="1913" t="s">
        <v>48</v>
      </c>
      <c r="I170" s="1914">
        <v>0.45</v>
      </c>
      <c r="J170" s="1914">
        <v>0.28999999999999998</v>
      </c>
      <c r="K170" s="1914">
        <v>0.25</v>
      </c>
      <c r="L170" s="1914">
        <v>0.65</v>
      </c>
      <c r="M170" s="1914">
        <v>0.39</v>
      </c>
      <c r="N170" s="1914">
        <v>0.32</v>
      </c>
      <c r="O170" s="1914">
        <v>1.0900000000000001</v>
      </c>
      <c r="P170" s="1914">
        <v>0.59</v>
      </c>
      <c r="Q170" s="1914">
        <v>0.42</v>
      </c>
      <c r="T170" s="1377"/>
      <c r="U170" s="1377"/>
    </row>
    <row r="171" spans="3:21" hidden="1">
      <c r="C171" s="1021"/>
      <c r="D171" s="1025"/>
      <c r="E171" s="1912" t="s">
        <v>333</v>
      </c>
      <c r="F171" s="1913" t="s">
        <v>47</v>
      </c>
      <c r="I171" s="1914">
        <v>0.45</v>
      </c>
      <c r="J171" s="1914">
        <v>0.28999999999999998</v>
      </c>
      <c r="K171" s="1914">
        <v>0.25</v>
      </c>
      <c r="L171" s="1914">
        <v>0.65</v>
      </c>
      <c r="M171" s="1914">
        <v>0.39</v>
      </c>
      <c r="N171" s="1914">
        <v>0.32</v>
      </c>
      <c r="O171" s="1914">
        <v>1.0900000000000001</v>
      </c>
      <c r="P171" s="1914">
        <v>0.59</v>
      </c>
      <c r="Q171" s="1914">
        <v>0.42</v>
      </c>
      <c r="T171" s="1377"/>
      <c r="U171" s="1377"/>
    </row>
    <row r="172" spans="3:21" hidden="1">
      <c r="C172" s="1021"/>
      <c r="D172" s="1025"/>
      <c r="E172" s="1002"/>
      <c r="F172" s="1913" t="s">
        <v>333</v>
      </c>
      <c r="I172" s="1914">
        <v>0.45</v>
      </c>
      <c r="J172" s="1914">
        <v>0.28999999999999998</v>
      </c>
      <c r="K172" s="1914">
        <v>0.24</v>
      </c>
      <c r="L172" s="1914">
        <v>0.65</v>
      </c>
      <c r="M172" s="1914">
        <v>0.39</v>
      </c>
      <c r="N172" s="1914">
        <v>0.31</v>
      </c>
      <c r="O172" s="1914">
        <v>1.0900000000000001</v>
      </c>
      <c r="P172" s="1914">
        <v>0.59</v>
      </c>
      <c r="Q172" s="1914">
        <v>0.42</v>
      </c>
      <c r="T172" s="1377"/>
      <c r="U172" s="1377"/>
    </row>
    <row r="173" spans="3:21" hidden="1">
      <c r="C173" s="1022"/>
      <c r="D173" s="1026"/>
      <c r="E173" s="1003"/>
      <c r="F173" s="1913" t="s">
        <v>48</v>
      </c>
      <c r="I173" s="1914">
        <v>0.45</v>
      </c>
      <c r="J173" s="1914">
        <v>0.28999999999999998</v>
      </c>
      <c r="K173" s="1914">
        <v>0.24</v>
      </c>
      <c r="L173" s="1914">
        <v>0.65</v>
      </c>
      <c r="M173" s="1914">
        <v>0.39</v>
      </c>
      <c r="N173" s="1914">
        <v>0.31</v>
      </c>
      <c r="O173" s="1914">
        <v>1.0900000000000001</v>
      </c>
      <c r="P173" s="1914">
        <v>0.59</v>
      </c>
      <c r="Q173" s="1914">
        <v>0.42</v>
      </c>
      <c r="T173" s="1377"/>
      <c r="U173" s="1377"/>
    </row>
    <row r="174" spans="3:21" hidden="1">
      <c r="C174" s="1910" t="s">
        <v>332</v>
      </c>
      <c r="D174" s="1911"/>
      <c r="E174" s="1912" t="s">
        <v>46</v>
      </c>
      <c r="F174" s="1913" t="s">
        <v>47</v>
      </c>
      <c r="I174" s="1914">
        <v>0.48</v>
      </c>
      <c r="J174" s="1914">
        <v>0.32</v>
      </c>
      <c r="K174" s="1914">
        <v>0.28999999999999998</v>
      </c>
      <c r="L174" s="1914">
        <v>0.69</v>
      </c>
      <c r="M174" s="1914">
        <v>0.43</v>
      </c>
      <c r="N174" s="1914">
        <v>0.36</v>
      </c>
      <c r="O174" s="1914">
        <v>1.0900000000000001</v>
      </c>
      <c r="P174" s="1914">
        <v>0.59</v>
      </c>
      <c r="Q174" s="1914">
        <v>0.42</v>
      </c>
      <c r="T174" s="1377"/>
      <c r="U174" s="1377"/>
    </row>
    <row r="175" spans="3:21" hidden="1">
      <c r="C175" s="1021"/>
      <c r="D175" s="1025"/>
      <c r="E175" s="1002"/>
      <c r="F175" s="1913" t="s">
        <v>333</v>
      </c>
      <c r="I175" s="1914">
        <v>0.47</v>
      </c>
      <c r="J175" s="1914">
        <v>0.31</v>
      </c>
      <c r="K175" s="1914">
        <v>0.27</v>
      </c>
      <c r="L175" s="1914">
        <v>0.67</v>
      </c>
      <c r="M175" s="1914">
        <v>0.41</v>
      </c>
      <c r="N175" s="1914">
        <v>0.34</v>
      </c>
      <c r="O175" s="1914">
        <v>1.0900000000000001</v>
      </c>
      <c r="P175" s="1914">
        <v>0.59</v>
      </c>
      <c r="Q175" s="1914">
        <v>0.42</v>
      </c>
      <c r="T175" s="1377"/>
      <c r="U175" s="1377"/>
    </row>
    <row r="176" spans="3:21" hidden="1">
      <c r="C176" s="1021"/>
      <c r="D176" s="1025"/>
      <c r="E176" s="1003"/>
      <c r="F176" s="1913" t="s">
        <v>48</v>
      </c>
      <c r="I176" s="1914">
        <v>0.45</v>
      </c>
      <c r="J176" s="1914">
        <v>0.31</v>
      </c>
      <c r="K176" s="1914">
        <v>0.26</v>
      </c>
      <c r="L176" s="1914">
        <v>0.66</v>
      </c>
      <c r="M176" s="1914">
        <v>0.41</v>
      </c>
      <c r="N176" s="1914">
        <v>0.34</v>
      </c>
      <c r="O176" s="1914">
        <v>1.0900000000000001</v>
      </c>
      <c r="P176" s="1914">
        <v>0.59</v>
      </c>
      <c r="Q176" s="1914">
        <v>0.42</v>
      </c>
      <c r="T176" s="1377"/>
      <c r="U176" s="1377"/>
    </row>
    <row r="177" spans="3:21" hidden="1">
      <c r="C177" s="1021"/>
      <c r="D177" s="1025"/>
      <c r="E177" s="1912" t="s">
        <v>332</v>
      </c>
      <c r="F177" s="1913" t="s">
        <v>47</v>
      </c>
      <c r="I177" s="1914">
        <v>0.48</v>
      </c>
      <c r="J177" s="1914">
        <v>0.32</v>
      </c>
      <c r="K177" s="1914">
        <v>0.28999999999999998</v>
      </c>
      <c r="L177" s="1914">
        <v>0.69</v>
      </c>
      <c r="M177" s="1914">
        <v>0.43</v>
      </c>
      <c r="N177" s="1914">
        <v>0.36</v>
      </c>
      <c r="O177" s="1914">
        <v>1.0900000000000001</v>
      </c>
      <c r="P177" s="1914">
        <v>0.59</v>
      </c>
      <c r="Q177" s="1914">
        <v>0.42</v>
      </c>
      <c r="T177" s="1377"/>
      <c r="U177" s="1377"/>
    </row>
    <row r="178" spans="3:21" hidden="1">
      <c r="C178" s="1021"/>
      <c r="D178" s="1025"/>
      <c r="E178" s="1002"/>
      <c r="F178" s="1913" t="s">
        <v>333</v>
      </c>
      <c r="I178" s="1914">
        <v>0.45</v>
      </c>
      <c r="J178" s="1914">
        <v>0.28999999999999998</v>
      </c>
      <c r="K178" s="1914">
        <v>0.25</v>
      </c>
      <c r="L178" s="1914">
        <v>0.65</v>
      </c>
      <c r="M178" s="1914">
        <v>0.4</v>
      </c>
      <c r="N178" s="1914">
        <v>0.32</v>
      </c>
      <c r="O178" s="1914">
        <v>1.0900000000000001</v>
      </c>
      <c r="P178" s="1914">
        <v>0.59</v>
      </c>
      <c r="Q178" s="1914">
        <v>0.42</v>
      </c>
      <c r="T178" s="1377"/>
      <c r="U178" s="1377"/>
    </row>
    <row r="179" spans="3:21" hidden="1">
      <c r="C179" s="1021"/>
      <c r="D179" s="1025"/>
      <c r="E179" s="1003"/>
      <c r="F179" s="1913" t="s">
        <v>48</v>
      </c>
      <c r="I179" s="1914">
        <v>0.41</v>
      </c>
      <c r="J179" s="1914">
        <v>0.28999999999999998</v>
      </c>
      <c r="K179" s="1914">
        <v>0.24</v>
      </c>
      <c r="L179" s="1914">
        <v>0.62</v>
      </c>
      <c r="M179" s="1914">
        <v>0.4</v>
      </c>
      <c r="N179" s="1914">
        <v>0.31</v>
      </c>
      <c r="O179" s="1914">
        <v>1.0900000000000001</v>
      </c>
      <c r="P179" s="1914">
        <v>0.59</v>
      </c>
      <c r="Q179" s="1914">
        <v>0.42</v>
      </c>
      <c r="T179" s="1377"/>
      <c r="U179" s="1377"/>
    </row>
    <row r="180" spans="3:21" hidden="1">
      <c r="C180" s="1021"/>
      <c r="D180" s="1025"/>
      <c r="E180" s="1912" t="s">
        <v>47</v>
      </c>
      <c r="F180" s="1913" t="s">
        <v>47</v>
      </c>
      <c r="I180" s="1914">
        <v>0.45</v>
      </c>
      <c r="J180" s="1914">
        <v>0.3</v>
      </c>
      <c r="K180" s="1914">
        <v>0.26</v>
      </c>
      <c r="L180" s="1914">
        <v>0.65</v>
      </c>
      <c r="M180" s="1914">
        <v>0.4</v>
      </c>
      <c r="N180" s="1914">
        <v>0.33</v>
      </c>
      <c r="O180" s="1914">
        <v>1.0900000000000001</v>
      </c>
      <c r="P180" s="1914">
        <v>0.59</v>
      </c>
      <c r="Q180" s="1914">
        <v>0.42</v>
      </c>
      <c r="T180" s="1377"/>
      <c r="U180" s="1377"/>
    </row>
    <row r="181" spans="3:21" hidden="1">
      <c r="C181" s="1021"/>
      <c r="D181" s="1025"/>
      <c r="E181" s="1002"/>
      <c r="F181" s="1913" t="s">
        <v>333</v>
      </c>
      <c r="I181" s="1914">
        <v>0.43</v>
      </c>
      <c r="J181" s="1914">
        <v>0.28000000000000003</v>
      </c>
      <c r="K181" s="1914">
        <v>0.23</v>
      </c>
      <c r="L181" s="1914">
        <v>0.64</v>
      </c>
      <c r="M181" s="1914">
        <v>0.39</v>
      </c>
      <c r="N181" s="1914">
        <v>0.3</v>
      </c>
      <c r="O181" s="1914">
        <v>1.0900000000000001</v>
      </c>
      <c r="P181" s="1914">
        <v>0.59</v>
      </c>
      <c r="Q181" s="1914">
        <v>0.42</v>
      </c>
      <c r="T181" s="1377"/>
      <c r="U181" s="1377"/>
    </row>
    <row r="182" spans="3:21" hidden="1">
      <c r="C182" s="1021"/>
      <c r="D182" s="1025"/>
      <c r="E182" s="1003"/>
      <c r="F182" s="1913" t="s">
        <v>48</v>
      </c>
      <c r="I182" s="1914">
        <v>0.41</v>
      </c>
      <c r="J182" s="1914">
        <v>0.27</v>
      </c>
      <c r="K182" s="1914">
        <v>0.23</v>
      </c>
      <c r="L182" s="1914">
        <v>0.62</v>
      </c>
      <c r="M182" s="1914">
        <v>0.38</v>
      </c>
      <c r="N182" s="1914">
        <v>0.3</v>
      </c>
      <c r="O182" s="1914">
        <v>1.0900000000000001</v>
      </c>
      <c r="P182" s="1914">
        <v>0.59</v>
      </c>
      <c r="Q182" s="1914">
        <v>0.42</v>
      </c>
      <c r="T182" s="1377"/>
      <c r="U182" s="1377"/>
    </row>
    <row r="183" spans="3:21" hidden="1">
      <c r="C183" s="1021"/>
      <c r="D183" s="1025"/>
      <c r="E183" s="1912" t="s">
        <v>333</v>
      </c>
      <c r="F183" s="1913" t="s">
        <v>47</v>
      </c>
      <c r="I183" s="1914">
        <v>0.45</v>
      </c>
      <c r="J183" s="1914">
        <v>0.28999999999999998</v>
      </c>
      <c r="K183" s="1914">
        <v>0.25</v>
      </c>
      <c r="L183" s="1914">
        <v>0.65</v>
      </c>
      <c r="M183" s="1914">
        <v>0.39</v>
      </c>
      <c r="N183" s="1914">
        <v>0.32</v>
      </c>
      <c r="O183" s="1914">
        <v>1.0900000000000001</v>
      </c>
      <c r="P183" s="1914">
        <v>0.59</v>
      </c>
      <c r="Q183" s="1914">
        <v>0.42</v>
      </c>
      <c r="T183" s="1377"/>
      <c r="U183" s="1377"/>
    </row>
    <row r="184" spans="3:21" hidden="1">
      <c r="C184" s="1021"/>
      <c r="D184" s="1025"/>
      <c r="E184" s="1002"/>
      <c r="F184" s="1913" t="s">
        <v>333</v>
      </c>
      <c r="I184" s="1914">
        <v>0.43</v>
      </c>
      <c r="J184" s="1914">
        <v>0.27</v>
      </c>
      <c r="K184" s="1914">
        <v>0.23</v>
      </c>
      <c r="L184" s="1914">
        <v>0.64</v>
      </c>
      <c r="M184" s="1914">
        <v>0.38</v>
      </c>
      <c r="N184" s="1914">
        <v>0.3</v>
      </c>
      <c r="O184" s="1914">
        <v>1.0900000000000001</v>
      </c>
      <c r="P184" s="1914">
        <v>0.59</v>
      </c>
      <c r="Q184" s="1914">
        <v>0.42</v>
      </c>
      <c r="T184" s="1377"/>
      <c r="U184" s="1377"/>
    </row>
    <row r="185" spans="3:21" hidden="1">
      <c r="C185" s="1022"/>
      <c r="D185" s="1026"/>
      <c r="E185" s="1003"/>
      <c r="F185" s="1913" t="s">
        <v>48</v>
      </c>
      <c r="I185" s="1914">
        <v>0.41</v>
      </c>
      <c r="J185" s="1914">
        <v>0.27</v>
      </c>
      <c r="K185" s="1914">
        <v>0.22</v>
      </c>
      <c r="L185" s="1914">
        <v>0.62</v>
      </c>
      <c r="M185" s="1914">
        <v>0.38</v>
      </c>
      <c r="N185" s="1914">
        <v>0.28999999999999998</v>
      </c>
      <c r="O185" s="1914">
        <v>1.0900000000000001</v>
      </c>
      <c r="P185" s="1914">
        <v>0.59</v>
      </c>
      <c r="Q185" s="1914">
        <v>0.42</v>
      </c>
      <c r="T185" s="1377"/>
      <c r="U185" s="1377"/>
    </row>
    <row r="186" spans="3:21" hidden="1">
      <c r="C186" s="1910" t="s">
        <v>47</v>
      </c>
      <c r="D186" s="1911"/>
      <c r="E186" s="1912" t="s">
        <v>46</v>
      </c>
      <c r="F186" s="1913" t="s">
        <v>47</v>
      </c>
      <c r="I186" s="1914">
        <v>0.45</v>
      </c>
      <c r="J186" s="1914">
        <v>0.3</v>
      </c>
      <c r="K186" s="1914">
        <v>0.26</v>
      </c>
      <c r="L186" s="1914">
        <v>0.66</v>
      </c>
      <c r="M186" s="1914">
        <v>0.41</v>
      </c>
      <c r="N186" s="1914">
        <v>0.34</v>
      </c>
      <c r="O186" s="1914">
        <v>1.0900000000000001</v>
      </c>
      <c r="P186" s="1914">
        <v>0.59</v>
      </c>
      <c r="Q186" s="1914">
        <v>0.42</v>
      </c>
      <c r="T186" s="1377"/>
      <c r="U186" s="1377"/>
    </row>
    <row r="187" spans="3:21" hidden="1">
      <c r="C187" s="1021"/>
      <c r="D187" s="1025"/>
      <c r="E187" s="1002"/>
      <c r="F187" s="1913" t="s">
        <v>333</v>
      </c>
      <c r="I187" s="1914">
        <v>0.45</v>
      </c>
      <c r="J187" s="1914">
        <v>0.3</v>
      </c>
      <c r="K187" s="1914">
        <v>0.25</v>
      </c>
      <c r="L187" s="1914">
        <v>0.66</v>
      </c>
      <c r="M187" s="1914">
        <v>0.41</v>
      </c>
      <c r="N187" s="1914">
        <v>0.32</v>
      </c>
      <c r="O187" s="1914">
        <v>1.0900000000000001</v>
      </c>
      <c r="P187" s="1914">
        <v>0.59</v>
      </c>
      <c r="Q187" s="1914">
        <v>0.42</v>
      </c>
      <c r="T187" s="1377"/>
      <c r="U187" s="1377"/>
    </row>
    <row r="188" spans="3:21" hidden="1">
      <c r="C188" s="1021"/>
      <c r="D188" s="1025"/>
      <c r="E188" s="1003"/>
      <c r="F188" s="1913" t="s">
        <v>48</v>
      </c>
      <c r="I188" s="1914">
        <v>0.45</v>
      </c>
      <c r="J188" s="1914">
        <v>0.28999999999999998</v>
      </c>
      <c r="K188" s="1914">
        <v>0.25</v>
      </c>
      <c r="L188" s="1914">
        <v>0.66</v>
      </c>
      <c r="M188" s="1914">
        <v>0.4</v>
      </c>
      <c r="N188" s="1914">
        <v>0.32</v>
      </c>
      <c r="O188" s="1914">
        <v>1.0900000000000001</v>
      </c>
      <c r="P188" s="1914">
        <v>0.59</v>
      </c>
      <c r="Q188" s="1914">
        <v>0.42</v>
      </c>
      <c r="T188" s="1377"/>
      <c r="U188" s="1377"/>
    </row>
    <row r="189" spans="3:21" hidden="1">
      <c r="C189" s="1021"/>
      <c r="D189" s="1025"/>
      <c r="E189" s="1912" t="s">
        <v>332</v>
      </c>
      <c r="F189" s="1913" t="s">
        <v>47</v>
      </c>
      <c r="I189" s="1914">
        <v>0.45</v>
      </c>
      <c r="J189" s="1914">
        <v>0.3</v>
      </c>
      <c r="K189" s="1914">
        <v>0.26</v>
      </c>
      <c r="L189" s="1914">
        <v>0.66</v>
      </c>
      <c r="M189" s="1914">
        <v>0.41</v>
      </c>
      <c r="N189" s="1914">
        <v>0.34</v>
      </c>
      <c r="O189" s="1914">
        <v>1.0900000000000001</v>
      </c>
      <c r="P189" s="1914">
        <v>0.59</v>
      </c>
      <c r="Q189" s="1914">
        <v>0.42</v>
      </c>
      <c r="T189" s="1377"/>
      <c r="U189" s="1377"/>
    </row>
    <row r="190" spans="3:21" hidden="1">
      <c r="C190" s="1021"/>
      <c r="D190" s="1025"/>
      <c r="E190" s="1002"/>
      <c r="F190" s="1913" t="s">
        <v>333</v>
      </c>
      <c r="I190" s="1914">
        <v>0.43</v>
      </c>
      <c r="J190" s="1914">
        <v>0.28000000000000003</v>
      </c>
      <c r="K190" s="1914">
        <v>0.24</v>
      </c>
      <c r="L190" s="1914">
        <v>0.64</v>
      </c>
      <c r="M190" s="1914">
        <v>0.39</v>
      </c>
      <c r="N190" s="1914">
        <v>0.31</v>
      </c>
      <c r="O190" s="1914">
        <v>1.0900000000000001</v>
      </c>
      <c r="P190" s="1914">
        <v>0.59</v>
      </c>
      <c r="Q190" s="1914">
        <v>0.42</v>
      </c>
      <c r="T190" s="1377"/>
      <c r="U190" s="1377"/>
    </row>
    <row r="191" spans="3:21" hidden="1">
      <c r="C191" s="1021"/>
      <c r="D191" s="1025"/>
      <c r="E191" s="1003"/>
      <c r="F191" s="1913" t="s">
        <v>48</v>
      </c>
      <c r="I191" s="1914">
        <v>0.41</v>
      </c>
      <c r="J191" s="1914">
        <v>0.27</v>
      </c>
      <c r="K191" s="1914">
        <v>0.23</v>
      </c>
      <c r="L191" s="1914">
        <v>0.62</v>
      </c>
      <c r="M191" s="1914">
        <v>0.38</v>
      </c>
      <c r="N191" s="1914">
        <v>0.3</v>
      </c>
      <c r="O191" s="1914">
        <v>1.0900000000000001</v>
      </c>
      <c r="P191" s="1914">
        <v>0.59</v>
      </c>
      <c r="Q191" s="1914">
        <v>0.42</v>
      </c>
      <c r="T191" s="1377"/>
      <c r="U191" s="1377"/>
    </row>
    <row r="192" spans="3:21" hidden="1">
      <c r="C192" s="1021"/>
      <c r="D192" s="1025"/>
      <c r="E192" s="1912" t="s">
        <v>47</v>
      </c>
      <c r="F192" s="1913" t="s">
        <v>47</v>
      </c>
      <c r="I192" s="1915">
        <v>0.41</v>
      </c>
      <c r="J192" s="1915">
        <v>0.27</v>
      </c>
      <c r="K192" s="1915">
        <v>0.24</v>
      </c>
      <c r="L192" s="1915">
        <v>0.62</v>
      </c>
      <c r="M192" s="1915">
        <v>0.38</v>
      </c>
      <c r="N192" s="1915">
        <v>0.31</v>
      </c>
      <c r="O192" s="1915">
        <v>1.0900000000000001</v>
      </c>
      <c r="P192" s="1915">
        <v>0.59</v>
      </c>
      <c r="Q192" s="1915">
        <v>0.42</v>
      </c>
      <c r="T192" s="1377"/>
      <c r="U192" s="1377"/>
    </row>
    <row r="193" spans="3:21" hidden="1">
      <c r="C193" s="1021"/>
      <c r="D193" s="1025"/>
      <c r="E193" s="1002"/>
      <c r="F193" s="1913" t="s">
        <v>333</v>
      </c>
      <c r="I193" s="1915">
        <v>0.41</v>
      </c>
      <c r="J193" s="1915">
        <v>0.27</v>
      </c>
      <c r="K193" s="1915">
        <v>0.22</v>
      </c>
      <c r="L193" s="1915">
        <v>0.62</v>
      </c>
      <c r="M193" s="1915">
        <v>0.38</v>
      </c>
      <c r="N193" s="1915">
        <v>0.28999999999999998</v>
      </c>
      <c r="O193" s="1915">
        <v>1.0900000000000001</v>
      </c>
      <c r="P193" s="1915">
        <v>0.59</v>
      </c>
      <c r="Q193" s="1915">
        <v>0.42</v>
      </c>
      <c r="T193" s="1377"/>
      <c r="U193" s="1377"/>
    </row>
    <row r="194" spans="3:21" hidden="1">
      <c r="C194" s="1021"/>
      <c r="D194" s="1025"/>
      <c r="E194" s="1003"/>
      <c r="F194" s="1913" t="s">
        <v>48</v>
      </c>
      <c r="I194" s="1914">
        <v>0.41</v>
      </c>
      <c r="J194" s="1914">
        <v>0.26</v>
      </c>
      <c r="K194" s="1914">
        <v>0.22</v>
      </c>
      <c r="L194" s="1914">
        <v>0.62</v>
      </c>
      <c r="M194" s="1914">
        <v>0.36</v>
      </c>
      <c r="N194" s="1914">
        <v>0.28999999999999998</v>
      </c>
      <c r="O194" s="1914">
        <v>1.0900000000000001</v>
      </c>
      <c r="P194" s="1914">
        <v>0.59</v>
      </c>
      <c r="Q194" s="1914">
        <v>0.42</v>
      </c>
      <c r="T194" s="1377"/>
      <c r="U194" s="1377"/>
    </row>
    <row r="195" spans="3:21" hidden="1">
      <c r="C195" s="1021"/>
      <c r="D195" s="1025"/>
      <c r="E195" s="1912" t="s">
        <v>333</v>
      </c>
      <c r="F195" s="1913" t="s">
        <v>47</v>
      </c>
      <c r="I195" s="1914">
        <v>0.41</v>
      </c>
      <c r="J195" s="1914">
        <v>0.26</v>
      </c>
      <c r="K195" s="1914">
        <v>0.23</v>
      </c>
      <c r="L195" s="1914">
        <v>0.62</v>
      </c>
      <c r="M195" s="1914">
        <v>0.37</v>
      </c>
      <c r="N195" s="1914">
        <v>0.3</v>
      </c>
      <c r="O195" s="1914">
        <v>1.0900000000000001</v>
      </c>
      <c r="P195" s="1914">
        <v>0.59</v>
      </c>
      <c r="Q195" s="1914">
        <v>0.42</v>
      </c>
      <c r="T195" s="1377"/>
      <c r="U195" s="1377"/>
    </row>
    <row r="196" spans="3:21" hidden="1">
      <c r="C196" s="1021"/>
      <c r="D196" s="1025"/>
      <c r="E196" s="1002"/>
      <c r="F196" s="1913" t="s">
        <v>333</v>
      </c>
      <c r="I196" s="1914">
        <v>0.41</v>
      </c>
      <c r="J196" s="1914">
        <v>0.26</v>
      </c>
      <c r="K196" s="1914">
        <v>0.21</v>
      </c>
      <c r="L196" s="1914">
        <v>0.62</v>
      </c>
      <c r="M196" s="1914">
        <v>0.37</v>
      </c>
      <c r="N196" s="1914">
        <v>0.28000000000000003</v>
      </c>
      <c r="O196" s="1914">
        <v>1.0900000000000001</v>
      </c>
      <c r="P196" s="1914">
        <v>0.59</v>
      </c>
      <c r="Q196" s="1914">
        <v>0.42</v>
      </c>
      <c r="T196" s="1377"/>
      <c r="U196" s="1377"/>
    </row>
    <row r="197" spans="3:21" hidden="1">
      <c r="C197" s="1022"/>
      <c r="D197" s="1026"/>
      <c r="E197" s="1003"/>
      <c r="F197" s="1913" t="s">
        <v>48</v>
      </c>
      <c r="I197" s="1914">
        <v>0.41</v>
      </c>
      <c r="J197" s="1914">
        <v>0.26</v>
      </c>
      <c r="K197" s="1914">
        <v>0.21</v>
      </c>
      <c r="L197" s="1914">
        <v>0.62</v>
      </c>
      <c r="M197" s="1914">
        <v>0.36</v>
      </c>
      <c r="N197" s="1914">
        <v>0.28000000000000003</v>
      </c>
      <c r="O197" s="1914">
        <v>1.0900000000000001</v>
      </c>
      <c r="P197" s="1914">
        <v>0.59</v>
      </c>
      <c r="Q197" s="1914">
        <v>0.42</v>
      </c>
      <c r="T197" s="1377"/>
      <c r="U197" s="1377"/>
    </row>
    <row r="198" spans="3:21" hidden="1">
      <c r="C198" s="1910" t="s">
        <v>333</v>
      </c>
      <c r="D198" s="1911"/>
      <c r="E198" s="1912" t="s">
        <v>46</v>
      </c>
      <c r="F198" s="1913" t="s">
        <v>47</v>
      </c>
      <c r="I198" s="1914">
        <v>0.45</v>
      </c>
      <c r="J198" s="1914">
        <v>0.28999999999999998</v>
      </c>
      <c r="K198" s="1914">
        <v>0.25</v>
      </c>
      <c r="L198" s="1914">
        <v>0.66</v>
      </c>
      <c r="M198" s="1914">
        <v>0.4</v>
      </c>
      <c r="N198" s="1914">
        <v>0.32</v>
      </c>
      <c r="O198" s="1914">
        <v>1.0900000000000001</v>
      </c>
      <c r="P198" s="1914">
        <v>0.59</v>
      </c>
      <c r="Q198" s="1914">
        <v>0.42</v>
      </c>
      <c r="T198" s="1377"/>
      <c r="U198" s="1377"/>
    </row>
    <row r="199" spans="3:21" hidden="1">
      <c r="C199" s="1021"/>
      <c r="D199" s="1025"/>
      <c r="E199" s="1002"/>
      <c r="F199" s="1913" t="s">
        <v>333</v>
      </c>
      <c r="I199" s="1914">
        <v>0.45</v>
      </c>
      <c r="J199" s="1914">
        <v>0.28999999999999998</v>
      </c>
      <c r="K199" s="1914">
        <v>0.25</v>
      </c>
      <c r="L199" s="1914">
        <v>0.66</v>
      </c>
      <c r="M199" s="1914">
        <v>0.4</v>
      </c>
      <c r="N199" s="1914">
        <v>0.32</v>
      </c>
      <c r="O199" s="1914">
        <v>1.0900000000000001</v>
      </c>
      <c r="P199" s="1914">
        <v>0.59</v>
      </c>
      <c r="Q199" s="1914">
        <v>0.42</v>
      </c>
      <c r="T199" s="1377"/>
      <c r="U199" s="1377"/>
    </row>
    <row r="200" spans="3:21" hidden="1">
      <c r="C200" s="1021"/>
      <c r="D200" s="1025"/>
      <c r="E200" s="1003"/>
      <c r="F200" s="1913" t="s">
        <v>48</v>
      </c>
      <c r="I200" s="1914">
        <v>0.45</v>
      </c>
      <c r="J200" s="1914">
        <v>0.28999999999999998</v>
      </c>
      <c r="K200" s="1914">
        <v>0.25</v>
      </c>
      <c r="L200" s="1914">
        <v>0.66</v>
      </c>
      <c r="M200" s="1914">
        <v>0.4</v>
      </c>
      <c r="N200" s="1914">
        <v>0.32</v>
      </c>
      <c r="O200" s="1914">
        <v>1.0900000000000001</v>
      </c>
      <c r="P200" s="1914">
        <v>0.59</v>
      </c>
      <c r="Q200" s="1914">
        <v>0.42</v>
      </c>
      <c r="T200" s="1377"/>
      <c r="U200" s="1377"/>
    </row>
    <row r="201" spans="3:21" hidden="1">
      <c r="C201" s="1021"/>
      <c r="D201" s="1025"/>
      <c r="E201" s="1912" t="s">
        <v>332</v>
      </c>
      <c r="F201" s="1913" t="s">
        <v>47</v>
      </c>
      <c r="I201" s="1914">
        <v>0.45</v>
      </c>
      <c r="J201" s="1914">
        <v>0.28999999999999998</v>
      </c>
      <c r="K201" s="1914">
        <v>0.25</v>
      </c>
      <c r="L201" s="1914">
        <v>0.66</v>
      </c>
      <c r="M201" s="1914">
        <v>0.4</v>
      </c>
      <c r="N201" s="1914">
        <v>0.32</v>
      </c>
      <c r="O201" s="1914">
        <v>1.0900000000000001</v>
      </c>
      <c r="P201" s="1914">
        <v>0.59</v>
      </c>
      <c r="Q201" s="1914">
        <v>0.42</v>
      </c>
      <c r="T201" s="1377"/>
      <c r="U201" s="1377"/>
    </row>
    <row r="202" spans="3:21" hidden="1">
      <c r="C202" s="1021"/>
      <c r="D202" s="1025"/>
      <c r="E202" s="1002"/>
      <c r="F202" s="1913" t="s">
        <v>333</v>
      </c>
      <c r="I202" s="1914">
        <v>0.43</v>
      </c>
      <c r="J202" s="1914">
        <v>0.27</v>
      </c>
      <c r="K202" s="1914">
        <v>0.23</v>
      </c>
      <c r="L202" s="1914">
        <v>0.64</v>
      </c>
      <c r="M202" s="1914">
        <v>0.38</v>
      </c>
      <c r="N202" s="1914">
        <v>0.3</v>
      </c>
      <c r="O202" s="1914">
        <v>1.0900000000000001</v>
      </c>
      <c r="P202" s="1914">
        <v>0.59</v>
      </c>
      <c r="Q202" s="1914">
        <v>0.42</v>
      </c>
      <c r="T202" s="1377"/>
      <c r="U202" s="1377"/>
    </row>
    <row r="203" spans="3:21" hidden="1">
      <c r="C203" s="1021"/>
      <c r="D203" s="1025"/>
      <c r="E203" s="1003"/>
      <c r="F203" s="1913" t="s">
        <v>48</v>
      </c>
      <c r="I203" s="1914">
        <v>0.41</v>
      </c>
      <c r="J203" s="1914">
        <v>0.27</v>
      </c>
      <c r="K203" s="1914">
        <v>0.22</v>
      </c>
      <c r="L203" s="1914">
        <v>0.62</v>
      </c>
      <c r="M203" s="1914">
        <v>0.38</v>
      </c>
      <c r="N203" s="1914">
        <v>0.28999999999999998</v>
      </c>
      <c r="O203" s="1914">
        <v>1.0900000000000001</v>
      </c>
      <c r="P203" s="1914">
        <v>0.59</v>
      </c>
      <c r="Q203" s="1914">
        <v>0.42</v>
      </c>
      <c r="T203" s="1377"/>
      <c r="U203" s="1377"/>
    </row>
    <row r="204" spans="3:21" hidden="1">
      <c r="C204" s="1021"/>
      <c r="D204" s="1025"/>
      <c r="E204" s="1912" t="s">
        <v>47</v>
      </c>
      <c r="F204" s="1913" t="s">
        <v>47</v>
      </c>
      <c r="I204" s="1914">
        <v>0.41</v>
      </c>
      <c r="J204" s="1914">
        <v>0.26</v>
      </c>
      <c r="K204" s="1914">
        <v>0.23</v>
      </c>
      <c r="L204" s="1914">
        <v>0.62</v>
      </c>
      <c r="M204" s="1914">
        <v>0.37</v>
      </c>
      <c r="N204" s="1914">
        <v>0.3</v>
      </c>
      <c r="O204" s="1914">
        <v>1.0900000000000001</v>
      </c>
      <c r="P204" s="1914">
        <v>0.59</v>
      </c>
      <c r="Q204" s="1914">
        <v>0.42</v>
      </c>
      <c r="T204" s="1377"/>
      <c r="U204" s="1377"/>
    </row>
    <row r="205" spans="3:21" hidden="1">
      <c r="C205" s="1021"/>
      <c r="D205" s="1025"/>
      <c r="E205" s="1002"/>
      <c r="F205" s="1913" t="s">
        <v>333</v>
      </c>
      <c r="I205" s="1914">
        <v>0.41</v>
      </c>
      <c r="J205" s="1914">
        <v>0.26</v>
      </c>
      <c r="K205" s="1914">
        <v>0.21</v>
      </c>
      <c r="L205" s="1914">
        <v>0.62</v>
      </c>
      <c r="M205" s="1914">
        <v>0.37</v>
      </c>
      <c r="N205" s="1914">
        <v>0.28000000000000003</v>
      </c>
      <c r="O205" s="1914">
        <v>1.0900000000000001</v>
      </c>
      <c r="P205" s="1914">
        <v>0.59</v>
      </c>
      <c r="Q205" s="1914">
        <v>0.42</v>
      </c>
      <c r="T205" s="1377"/>
      <c r="U205" s="1377"/>
    </row>
    <row r="206" spans="3:21" hidden="1">
      <c r="C206" s="1021"/>
      <c r="D206" s="1025"/>
      <c r="E206" s="1003"/>
      <c r="F206" s="1913" t="s">
        <v>48</v>
      </c>
      <c r="I206" s="1914">
        <v>0.41</v>
      </c>
      <c r="J206" s="1914">
        <v>0.26</v>
      </c>
      <c r="K206" s="1914">
        <v>0.21</v>
      </c>
      <c r="L206" s="1914">
        <v>0.62</v>
      </c>
      <c r="M206" s="1914">
        <v>0.36</v>
      </c>
      <c r="N206" s="1914">
        <v>0.28000000000000003</v>
      </c>
      <c r="O206" s="1914">
        <v>1.0900000000000001</v>
      </c>
      <c r="P206" s="1914">
        <v>0.59</v>
      </c>
      <c r="Q206" s="1914">
        <v>0.42</v>
      </c>
      <c r="T206" s="1377"/>
      <c r="U206" s="1377"/>
    </row>
    <row r="207" spans="3:21" hidden="1">
      <c r="C207" s="1021"/>
      <c r="D207" s="1025"/>
      <c r="E207" s="1912" t="s">
        <v>333</v>
      </c>
      <c r="F207" s="1913" t="s">
        <v>47</v>
      </c>
      <c r="I207" s="1914">
        <v>0.41</v>
      </c>
      <c r="J207" s="1914">
        <v>0.26</v>
      </c>
      <c r="K207" s="1914">
        <v>0.22</v>
      </c>
      <c r="L207" s="1914">
        <v>0.62</v>
      </c>
      <c r="M207" s="1914">
        <v>0.36</v>
      </c>
      <c r="N207" s="1914">
        <v>0.28999999999999998</v>
      </c>
      <c r="O207" s="1914">
        <v>1.0900000000000001</v>
      </c>
      <c r="P207" s="1914">
        <v>0.59</v>
      </c>
      <c r="Q207" s="1914">
        <v>0.42</v>
      </c>
      <c r="T207" s="1377"/>
      <c r="U207" s="1377"/>
    </row>
    <row r="208" spans="3:21" hidden="1">
      <c r="C208" s="1021"/>
      <c r="D208" s="1025"/>
      <c r="E208" s="1002"/>
      <c r="F208" s="1913" t="s">
        <v>333</v>
      </c>
      <c r="I208" s="1914">
        <v>0.41</v>
      </c>
      <c r="J208" s="1914">
        <v>0.26</v>
      </c>
      <c r="K208" s="1914">
        <v>0.2</v>
      </c>
      <c r="L208" s="1914">
        <v>0.62</v>
      </c>
      <c r="M208" s="1914">
        <v>0.36</v>
      </c>
      <c r="N208" s="1914">
        <v>0.28000000000000003</v>
      </c>
      <c r="O208" s="1914">
        <v>1.0900000000000001</v>
      </c>
      <c r="P208" s="1914">
        <v>0.59</v>
      </c>
      <c r="Q208" s="1914">
        <v>0.42</v>
      </c>
      <c r="T208" s="1377"/>
      <c r="U208" s="1377"/>
    </row>
    <row r="209" spans="3:21" hidden="1">
      <c r="C209" s="1022"/>
      <c r="D209" s="1026"/>
      <c r="E209" s="1003"/>
      <c r="F209" s="1913" t="s">
        <v>48</v>
      </c>
      <c r="I209" s="1914">
        <v>0.41</v>
      </c>
      <c r="J209" s="1914">
        <v>0.26</v>
      </c>
      <c r="K209" s="1914">
        <v>0.2</v>
      </c>
      <c r="L209" s="1914">
        <v>0.62</v>
      </c>
      <c r="M209" s="1914">
        <v>0.36</v>
      </c>
      <c r="N209" s="1914">
        <v>0.28000000000000003</v>
      </c>
      <c r="O209" s="1914">
        <v>1.0900000000000001</v>
      </c>
      <c r="P209" s="1914">
        <v>0.59</v>
      </c>
      <c r="Q209" s="1914">
        <v>0.42</v>
      </c>
      <c r="T209" s="1377"/>
      <c r="U209" s="1377"/>
    </row>
    <row r="210" spans="3:21" hidden="1">
      <c r="T210" s="1377"/>
      <c r="U210" s="1377"/>
    </row>
    <row r="211" spans="3:21" hidden="1">
      <c r="C211" s="1917" t="s">
        <v>1226</v>
      </c>
      <c r="E211" s="1748"/>
      <c r="F211" s="1748"/>
      <c r="H211" s="1748"/>
      <c r="I211" s="1748"/>
      <c r="T211" s="1377"/>
      <c r="U211" s="1377"/>
    </row>
    <row r="212" spans="3:21" hidden="1">
      <c r="C212" s="1748"/>
      <c r="D212" s="1750" t="s">
        <v>973</v>
      </c>
      <c r="E212" s="1751"/>
      <c r="F212" s="1752">
        <v>10.99</v>
      </c>
      <c r="H212" s="1752" t="s">
        <v>974</v>
      </c>
      <c r="I212" s="1752" t="s">
        <v>975</v>
      </c>
      <c r="K212" s="1401" t="s">
        <v>1023</v>
      </c>
      <c r="L212" s="1014">
        <v>20</v>
      </c>
      <c r="M212" s="1401" t="s">
        <v>1024</v>
      </c>
      <c r="T212" s="1377"/>
      <c r="U212" s="1377"/>
    </row>
    <row r="213" spans="3:21" hidden="1">
      <c r="C213" s="1748"/>
      <c r="D213" s="1750" t="s">
        <v>976</v>
      </c>
      <c r="E213" s="1751"/>
      <c r="F213" s="1752">
        <v>5.09</v>
      </c>
      <c r="H213" s="1752" t="s">
        <v>975</v>
      </c>
      <c r="I213" s="1752" t="s">
        <v>975</v>
      </c>
      <c r="T213" s="1377"/>
      <c r="U213" s="1377"/>
    </row>
    <row r="214" spans="3:21" hidden="1">
      <c r="C214" s="1748"/>
      <c r="D214" s="1750" t="s">
        <v>977</v>
      </c>
      <c r="E214" s="1751"/>
      <c r="F214" s="1752">
        <v>5.09</v>
      </c>
      <c r="H214" s="1752" t="s">
        <v>975</v>
      </c>
      <c r="I214" s="1752" t="s">
        <v>975</v>
      </c>
      <c r="T214" s="1377"/>
      <c r="U214" s="1377"/>
    </row>
    <row r="215" spans="3:21" hidden="1">
      <c r="C215" s="1748"/>
      <c r="D215" s="1750" t="s">
        <v>978</v>
      </c>
      <c r="E215" s="1751"/>
      <c r="F215" s="1752">
        <v>5.09</v>
      </c>
      <c r="H215" s="1752" t="s">
        <v>975</v>
      </c>
      <c r="I215" s="1752" t="s">
        <v>975</v>
      </c>
      <c r="T215" s="1377"/>
      <c r="U215" s="1377"/>
    </row>
    <row r="216" spans="3:21">
      <c r="T216" s="1377"/>
      <c r="U216" s="1377"/>
    </row>
    <row r="217" spans="3:21" ht="16.5">
      <c r="C217" s="1005" t="s">
        <v>1037</v>
      </c>
      <c r="T217" s="1401"/>
    </row>
    <row r="218" spans="3:21" customFormat="1" ht="14.25">
      <c r="C218" s="988" t="s">
        <v>789</v>
      </c>
      <c r="D218" s="1016"/>
      <c r="E218" s="1016" t="s">
        <v>1039</v>
      </c>
      <c r="F218" s="1013" t="s">
        <v>494</v>
      </c>
      <c r="G218" s="995"/>
      <c r="H218" s="1016"/>
      <c r="I218" s="1016"/>
      <c r="J218" s="1863" t="e">
        <f>電気排出係数!D5*1000</f>
        <v>#VALUE!</v>
      </c>
      <c r="K218" s="1733">
        <f>電気排出係数!B5</f>
        <v>0</v>
      </c>
      <c r="L218" s="1737"/>
      <c r="M218" s="1737"/>
      <c r="N218" s="1862" t="s">
        <v>697</v>
      </c>
      <c r="O218" s="1737" t="e">
        <f>電気排出係数!E5*1000</f>
        <v>#N/A</v>
      </c>
      <c r="P218" s="1865" t="s">
        <v>1129</v>
      </c>
      <c r="Q218" s="1864"/>
      <c r="R218" s="995"/>
    </row>
    <row r="219" spans="3:21" customFormat="1" ht="14.25">
      <c r="C219" s="1006"/>
      <c r="D219" s="1364"/>
      <c r="E219" s="1016"/>
      <c r="F219" s="1013" t="s">
        <v>1126</v>
      </c>
      <c r="G219" s="995"/>
      <c r="H219" s="1016"/>
      <c r="I219" s="1016"/>
      <c r="J219" s="1863" t="e">
        <f>J218/K219</f>
        <v>#VALUE!</v>
      </c>
      <c r="K219" s="1734">
        <v>9.76</v>
      </c>
      <c r="L219" s="1363" t="s">
        <v>1099</v>
      </c>
      <c r="M219" s="1016"/>
      <c r="N219" s="1016"/>
      <c r="O219" s="1016"/>
      <c r="P219" s="1016"/>
      <c r="Q219" s="1739"/>
      <c r="R219" s="995"/>
    </row>
    <row r="220" spans="3:21" customFormat="1" ht="14.25">
      <c r="C220" s="1006"/>
      <c r="D220" s="1364"/>
      <c r="E220" s="1016" t="s">
        <v>686</v>
      </c>
      <c r="F220" s="1013" t="s">
        <v>1127</v>
      </c>
      <c r="G220" s="995"/>
      <c r="H220" s="1016"/>
      <c r="I220" s="1016"/>
      <c r="J220" s="1863">
        <v>4.9799999999999997E-2</v>
      </c>
      <c r="K220" s="1734"/>
      <c r="L220" s="1016"/>
      <c r="M220" s="1016"/>
      <c r="N220" s="1016"/>
      <c r="O220" s="1016"/>
      <c r="P220" s="1016"/>
      <c r="Q220" s="1739"/>
      <c r="R220" s="995"/>
    </row>
    <row r="221" spans="3:21" customFormat="1" ht="14.25">
      <c r="C221" s="1006"/>
      <c r="D221" s="1364"/>
      <c r="E221" s="1016" t="s">
        <v>683</v>
      </c>
      <c r="F221" s="1013" t="s">
        <v>1128</v>
      </c>
      <c r="G221" s="995"/>
      <c r="H221" s="1016"/>
      <c r="I221" s="1016"/>
      <c r="J221" s="1863">
        <v>5.7000000000000002E-2</v>
      </c>
      <c r="K221" s="1734"/>
      <c r="L221" s="1016"/>
      <c r="M221" s="1016"/>
      <c r="N221" s="1016"/>
      <c r="O221" s="1016"/>
      <c r="P221" s="1016"/>
      <c r="Q221" s="1739"/>
      <c r="R221" s="995"/>
    </row>
    <row r="222" spans="3:21" customFormat="1" ht="14.25">
      <c r="C222" s="1006"/>
      <c r="D222" s="1364"/>
      <c r="E222" s="1016" t="s">
        <v>687</v>
      </c>
      <c r="F222" s="1013" t="s">
        <v>1012</v>
      </c>
      <c r="G222" s="995"/>
      <c r="H222" s="1016"/>
      <c r="I222" s="1016"/>
      <c r="J222" s="1863">
        <v>6.7799999999999999E-2</v>
      </c>
      <c r="K222" s="1734"/>
      <c r="L222" s="1016"/>
      <c r="M222" s="1016"/>
      <c r="N222" s="1016"/>
      <c r="O222" s="1016"/>
      <c r="P222" s="1016"/>
      <c r="Q222" s="1739"/>
      <c r="R222" s="995"/>
    </row>
    <row r="223" spans="3:21" customFormat="1" ht="14.25">
      <c r="C223" s="1006"/>
      <c r="D223" s="1364"/>
      <c r="E223" s="1016" t="s">
        <v>684</v>
      </c>
      <c r="F223" s="1013" t="s">
        <v>1126</v>
      </c>
      <c r="G223" s="995"/>
      <c r="H223" s="1016"/>
      <c r="I223" s="1016"/>
      <c r="J223" s="1863">
        <v>6.93E-2</v>
      </c>
      <c r="K223" s="1734"/>
      <c r="L223" s="1016"/>
      <c r="M223" s="1016"/>
      <c r="N223" s="1016"/>
      <c r="O223" s="1016"/>
      <c r="P223" s="1016"/>
      <c r="Q223" s="1739"/>
      <c r="R223" s="995"/>
    </row>
    <row r="224" spans="3:21" customFormat="1" ht="14.25">
      <c r="C224" s="1006"/>
      <c r="D224" s="1364"/>
      <c r="E224" s="1016" t="s">
        <v>688</v>
      </c>
      <c r="F224" s="1013" t="s">
        <v>1128</v>
      </c>
      <c r="G224" s="995"/>
      <c r="H224" s="1016"/>
      <c r="I224" s="1016"/>
      <c r="J224" s="1863">
        <v>6.855E-2</v>
      </c>
      <c r="K224" s="1773" t="s">
        <v>696</v>
      </c>
      <c r="L224" s="1016"/>
      <c r="M224" s="1016"/>
      <c r="N224" s="1016"/>
      <c r="O224" s="1016"/>
      <c r="P224" s="1016"/>
      <c r="Q224" s="1739"/>
      <c r="R224" s="995"/>
    </row>
    <row r="225" spans="3:27" customFormat="1" ht="14.25">
      <c r="C225" s="1006"/>
      <c r="D225" s="1364"/>
      <c r="E225" s="1016" t="s">
        <v>689</v>
      </c>
      <c r="F225" s="1013" t="s">
        <v>1128</v>
      </c>
      <c r="G225" s="995"/>
      <c r="H225" s="1016"/>
      <c r="I225" s="1016"/>
      <c r="J225" s="1863">
        <v>5.8999999999999997E-2</v>
      </c>
      <c r="K225" s="1735"/>
      <c r="L225" s="1738"/>
      <c r="M225" s="1738"/>
      <c r="N225" s="1738"/>
      <c r="O225" s="1738"/>
      <c r="P225" s="1738"/>
      <c r="Q225" s="1740"/>
      <c r="R225" s="995"/>
    </row>
    <row r="226" spans="3:27" customFormat="1">
      <c r="C226" s="1006"/>
      <c r="D226" s="1364"/>
      <c r="E226" s="1016"/>
      <c r="F226" s="1016"/>
      <c r="G226" s="995"/>
      <c r="H226" s="1016"/>
      <c r="I226" s="1016"/>
      <c r="J226" s="1731"/>
      <c r="K226" s="1363"/>
      <c r="L226" s="1016"/>
      <c r="M226" s="1016"/>
      <c r="N226" s="1016"/>
      <c r="O226" s="1016"/>
      <c r="P226" s="1016"/>
      <c r="Q226" s="1016"/>
      <c r="R226" s="995"/>
    </row>
    <row r="227" spans="3:27" customFormat="1" ht="14.25">
      <c r="C227" s="1006"/>
      <c r="D227" s="1006" t="s">
        <v>685</v>
      </c>
      <c r="E227" s="1016"/>
      <c r="F227" s="1016"/>
      <c r="G227" s="995"/>
      <c r="H227" s="1016"/>
      <c r="I227" s="1016"/>
      <c r="J227" s="1732" t="s">
        <v>695</v>
      </c>
      <c r="K227" s="1736" t="s">
        <v>1125</v>
      </c>
      <c r="L227" s="1016"/>
      <c r="M227" s="1016"/>
      <c r="N227" s="1016"/>
      <c r="O227" s="1016"/>
      <c r="P227" s="1016"/>
      <c r="Q227" s="1016"/>
      <c r="R227" s="995"/>
    </row>
    <row r="228" spans="3:27" customFormat="1">
      <c r="C228" s="1006"/>
      <c r="D228" s="1364"/>
      <c r="E228" s="1016" t="s">
        <v>690</v>
      </c>
      <c r="F228" s="1016"/>
      <c r="G228" s="995"/>
      <c r="H228" s="1016"/>
      <c r="I228" s="1016"/>
      <c r="J228" s="1861">
        <v>0.51400000000000001</v>
      </c>
      <c r="K228" s="1730" t="e">
        <f>J219*J228</f>
        <v>#VALUE!</v>
      </c>
      <c r="L228" s="1016"/>
      <c r="M228" s="1016"/>
      <c r="N228" s="1016"/>
      <c r="O228" s="1016"/>
      <c r="P228" s="1016"/>
      <c r="Q228" s="1016"/>
      <c r="R228" s="995"/>
    </row>
    <row r="229" spans="3:27" customFormat="1" ht="13.5" customHeight="1">
      <c r="C229" s="1006"/>
      <c r="D229" s="1364"/>
      <c r="E229" s="1016" t="s">
        <v>691</v>
      </c>
      <c r="F229" s="1016"/>
      <c r="G229" s="995"/>
      <c r="H229" s="1016"/>
      <c r="I229" s="1016"/>
      <c r="J229" s="1861">
        <v>0.215</v>
      </c>
      <c r="K229" s="1730">
        <f t="shared" ref="K229:K233" si="48">J220*J229</f>
        <v>1.0707E-2</v>
      </c>
      <c r="L229" s="1016"/>
      <c r="M229" s="1016"/>
      <c r="N229" s="1016"/>
      <c r="O229" s="1016"/>
      <c r="P229" s="1016"/>
      <c r="Q229" s="1016"/>
      <c r="R229" s="995"/>
    </row>
    <row r="230" spans="3:27" customFormat="1">
      <c r="C230" s="1006"/>
      <c r="D230" s="1364"/>
      <c r="E230" s="1016" t="s">
        <v>692</v>
      </c>
      <c r="F230" s="1016"/>
      <c r="G230" s="995"/>
      <c r="H230" s="1016"/>
      <c r="I230" s="1016"/>
      <c r="J230" s="1861">
        <v>0</v>
      </c>
      <c r="K230" s="1730">
        <f t="shared" si="48"/>
        <v>0</v>
      </c>
      <c r="L230" s="1016"/>
      <c r="M230" s="1016"/>
      <c r="N230" s="1016"/>
      <c r="O230" s="1016"/>
      <c r="P230" s="1016"/>
      <c r="Q230" s="1016"/>
      <c r="R230" s="1016"/>
    </row>
    <row r="231" spans="3:27" customFormat="1">
      <c r="C231" s="1006"/>
      <c r="D231" s="1364"/>
      <c r="E231" s="1016" t="s">
        <v>693</v>
      </c>
      <c r="F231" s="1016"/>
      <c r="G231" s="995"/>
      <c r="H231" s="1016"/>
      <c r="I231" s="1016"/>
      <c r="J231" s="1861">
        <v>0.156</v>
      </c>
      <c r="K231" s="1730">
        <f t="shared" si="48"/>
        <v>1.0576799999999999E-2</v>
      </c>
      <c r="L231" s="1016"/>
      <c r="M231" s="1016"/>
      <c r="N231" s="1016"/>
      <c r="O231" s="1016"/>
      <c r="P231" s="1016"/>
      <c r="Q231" s="1016"/>
      <c r="R231" s="1016"/>
    </row>
    <row r="232" spans="3:27" customFormat="1">
      <c r="C232" s="1006"/>
      <c r="D232" s="1364"/>
      <c r="E232" s="1016" t="s">
        <v>694</v>
      </c>
      <c r="F232" s="1016"/>
      <c r="G232" s="995"/>
      <c r="H232" s="1016"/>
      <c r="I232" s="1016"/>
      <c r="J232" s="1861">
        <v>0</v>
      </c>
      <c r="K232" s="1730">
        <f t="shared" si="48"/>
        <v>0</v>
      </c>
      <c r="L232" s="1016"/>
      <c r="M232" s="1016"/>
      <c r="N232" s="1016"/>
      <c r="O232" s="1016"/>
      <c r="P232" s="1016"/>
      <c r="Q232" s="1016"/>
      <c r="R232" s="1016"/>
    </row>
    <row r="233" spans="3:27" customFormat="1">
      <c r="C233" s="1006"/>
      <c r="D233" s="1364"/>
      <c r="E233" s="1729" t="s">
        <v>949</v>
      </c>
      <c r="G233" s="995"/>
      <c r="J233" s="1861">
        <v>0</v>
      </c>
      <c r="K233" s="1730">
        <f t="shared" si="48"/>
        <v>0</v>
      </c>
      <c r="L233" s="1016"/>
      <c r="M233" s="1016"/>
      <c r="N233" s="1016"/>
      <c r="O233" s="1016"/>
      <c r="P233" s="1016"/>
      <c r="Q233" s="1016"/>
      <c r="R233" s="1016"/>
    </row>
    <row r="234" spans="3:27" customFormat="1">
      <c r="C234" s="1006"/>
      <c r="D234" s="1364"/>
      <c r="E234" s="1016" t="s">
        <v>689</v>
      </c>
      <c r="F234" s="1016"/>
      <c r="G234" s="995"/>
      <c r="H234" s="1016"/>
      <c r="I234" s="1016"/>
      <c r="J234" s="1861">
        <v>0.107</v>
      </c>
      <c r="K234" s="1730">
        <f>J225*J234</f>
        <v>6.3129999999999992E-3</v>
      </c>
      <c r="L234" s="1016"/>
      <c r="M234" s="1016"/>
      <c r="N234" s="1016"/>
      <c r="O234" s="1016"/>
      <c r="P234" s="1016"/>
      <c r="Q234" s="1016"/>
      <c r="R234" s="1016"/>
    </row>
    <row r="235" spans="3:27" s="1899" customFormat="1">
      <c r="C235" s="1006"/>
      <c r="D235" s="1364"/>
      <c r="E235" s="1016" t="s">
        <v>1228</v>
      </c>
      <c r="F235" s="1918"/>
      <c r="G235" s="1919"/>
      <c r="H235" s="1918"/>
      <c r="I235" s="1918"/>
      <c r="J235" s="1861">
        <v>7.0000000000000001E-3</v>
      </c>
      <c r="K235" s="1730">
        <v>0</v>
      </c>
      <c r="L235" s="1016"/>
      <c r="M235" s="1016"/>
      <c r="N235" s="1016"/>
      <c r="O235" s="1016"/>
      <c r="P235" s="1016"/>
      <c r="Q235" s="1016"/>
      <c r="R235" s="1016"/>
    </row>
    <row r="236" spans="3:27" customFormat="1" ht="14.25">
      <c r="C236" s="1006"/>
      <c r="D236" s="1364"/>
      <c r="E236" s="1016"/>
      <c r="F236" s="1016"/>
      <c r="G236" s="995"/>
      <c r="H236" s="1016"/>
      <c r="I236" s="1016"/>
      <c r="J236" s="1013" t="s">
        <v>70</v>
      </c>
      <c r="K236" s="1730" t="e">
        <f>SUM(K228:K235)</f>
        <v>#VALUE!</v>
      </c>
      <c r="L236" s="1016" t="s">
        <v>1012</v>
      </c>
      <c r="M236" s="1016"/>
      <c r="N236" s="1016"/>
      <c r="O236" s="1016"/>
      <c r="P236" s="1016"/>
      <c r="Q236" s="1016"/>
      <c r="R236" s="1016"/>
    </row>
    <row r="237" spans="3:27" customFormat="1">
      <c r="G237" s="995"/>
    </row>
    <row r="238" spans="3:27" s="1747" customFormat="1">
      <c r="C238" s="1774"/>
      <c r="D238" s="1826" t="s">
        <v>1130</v>
      </c>
      <c r="E238" s="1774"/>
      <c r="F238" s="1774"/>
      <c r="H238" s="1774"/>
      <c r="I238" s="1774"/>
      <c r="J238" s="1774"/>
      <c r="K238" s="1774"/>
      <c r="L238" s="1774"/>
      <c r="M238" s="1774"/>
      <c r="N238" s="1774"/>
      <c r="P238" s="1774"/>
      <c r="Q238" s="1775" t="s">
        <v>989</v>
      </c>
    </row>
    <row r="239" spans="3:27" s="1747" customFormat="1" ht="14.25">
      <c r="C239" s="1774"/>
      <c r="D239" s="1776" t="s">
        <v>990</v>
      </c>
      <c r="E239" s="1777"/>
      <c r="F239" s="1778" t="s">
        <v>1131</v>
      </c>
      <c r="G239" s="1774"/>
      <c r="H239" s="1778"/>
      <c r="I239" s="1779" t="s">
        <v>991</v>
      </c>
      <c r="J239" s="1776" t="s">
        <v>992</v>
      </c>
      <c r="K239" s="1777"/>
      <c r="L239" s="1777"/>
      <c r="M239" s="1777"/>
      <c r="N239" s="1777"/>
      <c r="O239" s="1777"/>
      <c r="P239" s="1780" t="s">
        <v>1132</v>
      </c>
      <c r="Q239" s="1781"/>
      <c r="T239" s="1843" t="s">
        <v>1064</v>
      </c>
      <c r="U239" s="1832"/>
      <c r="V239" s="1832"/>
      <c r="W239" s="1832"/>
      <c r="X239" s="1832"/>
      <c r="Y239" s="1832"/>
      <c r="Z239" s="1832"/>
      <c r="AA239" s="1832"/>
    </row>
    <row r="240" spans="3:27" s="1747" customFormat="1">
      <c r="C240" s="1774"/>
      <c r="D240" s="1779" t="s">
        <v>993</v>
      </c>
      <c r="E240" s="1779" t="s">
        <v>994</v>
      </c>
      <c r="F240" s="1782" t="s">
        <v>995</v>
      </c>
      <c r="G240" s="1774"/>
      <c r="H240" s="1788">
        <v>1</v>
      </c>
      <c r="I240" s="1778">
        <f>メイン!C15</f>
        <v>0</v>
      </c>
      <c r="J240" s="1779">
        <v>1</v>
      </c>
      <c r="K240" s="1779">
        <v>2</v>
      </c>
      <c r="L240" s="1779">
        <v>3</v>
      </c>
      <c r="M240" s="1779">
        <v>4</v>
      </c>
      <c r="N240" s="1779">
        <v>5</v>
      </c>
      <c r="O240" s="1779">
        <v>6</v>
      </c>
      <c r="P240" s="1779">
        <v>7</v>
      </c>
      <c r="Q240" s="1779">
        <v>8</v>
      </c>
      <c r="T240" s="1840">
        <v>1</v>
      </c>
      <c r="U240" s="1840">
        <v>2</v>
      </c>
      <c r="V240" s="1840">
        <v>3</v>
      </c>
      <c r="W240" s="1840">
        <v>4</v>
      </c>
      <c r="X240" s="1840">
        <v>5</v>
      </c>
      <c r="Y240" s="1840">
        <v>6</v>
      </c>
      <c r="Z240" s="1840">
        <v>7</v>
      </c>
      <c r="AA240" s="1840">
        <v>8</v>
      </c>
    </row>
    <row r="241" spans="3:27" s="1747" customFormat="1">
      <c r="C241" s="1774"/>
      <c r="D241" s="1782"/>
      <c r="E241" s="1783"/>
      <c r="F241" s="1779" t="s">
        <v>258</v>
      </c>
      <c r="G241" s="1779" t="s">
        <v>996</v>
      </c>
      <c r="H241" s="1779">
        <v>2</v>
      </c>
      <c r="I241" s="1784" t="e">
        <f t="shared" ref="I241:I258" si="49">HLOOKUP($I$240,$J$240:$Q$258,H241)</f>
        <v>#N/A</v>
      </c>
      <c r="J241" s="1784">
        <v>1510</v>
      </c>
      <c r="K241" s="1784">
        <v>1315</v>
      </c>
      <c r="L241" s="1784">
        <v>1134</v>
      </c>
      <c r="M241" s="1784">
        <v>1316</v>
      </c>
      <c r="N241" s="1784">
        <v>1190</v>
      </c>
      <c r="O241" s="1784">
        <v>1119</v>
      </c>
      <c r="P241" s="1784">
        <v>985</v>
      </c>
      <c r="Q241" s="1784">
        <v>937</v>
      </c>
      <c r="T241" s="1841">
        <f t="shared" ref="T241:AA241" si="50">MAX(J241:J258)</f>
        <v>1777</v>
      </c>
      <c r="U241" s="1841">
        <f t="shared" si="50"/>
        <v>1542</v>
      </c>
      <c r="V241" s="1841">
        <f t="shared" si="50"/>
        <v>1325</v>
      </c>
      <c r="W241" s="1841">
        <f t="shared" si="50"/>
        <v>1543</v>
      </c>
      <c r="X241" s="1841">
        <f t="shared" si="50"/>
        <v>1393</v>
      </c>
      <c r="Y241" s="1841">
        <f t="shared" si="50"/>
        <v>1308</v>
      </c>
      <c r="Z241" s="1841">
        <f t="shared" si="50"/>
        <v>1147</v>
      </c>
      <c r="AA241" s="1841">
        <f t="shared" si="50"/>
        <v>1089</v>
      </c>
    </row>
    <row r="242" spans="3:27" s="1747" customFormat="1">
      <c r="C242" s="1774"/>
      <c r="D242" s="1782" t="s">
        <v>983</v>
      </c>
      <c r="E242" s="1774" t="s">
        <v>982</v>
      </c>
      <c r="F242" s="1779" t="s">
        <v>997</v>
      </c>
      <c r="G242" s="1779" t="s">
        <v>998</v>
      </c>
      <c r="H242" s="1779">
        <v>3</v>
      </c>
      <c r="I242" s="1784" t="e">
        <f t="shared" si="49"/>
        <v>#N/A</v>
      </c>
      <c r="J242" s="1784">
        <v>1777</v>
      </c>
      <c r="K242" s="1784">
        <v>1542</v>
      </c>
      <c r="L242" s="1784">
        <v>1325</v>
      </c>
      <c r="M242" s="1784">
        <v>1543</v>
      </c>
      <c r="N242" s="1784">
        <v>1393</v>
      </c>
      <c r="O242" s="1784">
        <v>1308</v>
      </c>
      <c r="P242" s="1784">
        <v>1147</v>
      </c>
      <c r="Q242" s="1784">
        <v>1089</v>
      </c>
      <c r="T242" s="1842">
        <f>J241</f>
        <v>1510</v>
      </c>
      <c r="U242" s="1842">
        <f>K241</f>
        <v>1315</v>
      </c>
      <c r="V242" s="1842">
        <f>L247</f>
        <v>1069</v>
      </c>
      <c r="W242" s="1842">
        <f>M247</f>
        <v>1218</v>
      </c>
      <c r="X242" s="1842">
        <f>N247</f>
        <v>1080</v>
      </c>
      <c r="Y242" s="1842">
        <f>O247</f>
        <v>1081</v>
      </c>
      <c r="Z242" s="1842">
        <f>P247</f>
        <v>965</v>
      </c>
      <c r="AA242" s="1842">
        <f>Q241</f>
        <v>937</v>
      </c>
    </row>
    <row r="243" spans="3:27" s="1747" customFormat="1">
      <c r="C243" s="1774"/>
      <c r="D243" s="1782"/>
      <c r="E243" s="1774"/>
      <c r="F243" s="1779" t="s">
        <v>1100</v>
      </c>
      <c r="G243" s="1779" t="s">
        <v>1101</v>
      </c>
      <c r="H243" s="1774">
        <v>4</v>
      </c>
      <c r="I243" s="1784" t="e">
        <f t="shared" si="49"/>
        <v>#N/A</v>
      </c>
      <c r="J243" s="1784">
        <v>1510</v>
      </c>
      <c r="K243" s="1784">
        <v>1315</v>
      </c>
      <c r="L243" s="1784">
        <v>1134</v>
      </c>
      <c r="M243" s="1784">
        <v>1316</v>
      </c>
      <c r="N243" s="1784">
        <v>1190</v>
      </c>
      <c r="O243" s="1784">
        <v>1119</v>
      </c>
      <c r="P243" s="1784">
        <v>985</v>
      </c>
      <c r="Q243" s="1784">
        <v>937</v>
      </c>
    </row>
    <row r="244" spans="3:27" s="1747" customFormat="1">
      <c r="C244" s="1774"/>
      <c r="D244" s="1785"/>
      <c r="E244" s="1778"/>
      <c r="F244" s="1781" t="s">
        <v>258</v>
      </c>
      <c r="G244" s="1779" t="s">
        <v>999</v>
      </c>
      <c r="H244" s="1779">
        <v>5</v>
      </c>
      <c r="I244" s="1784" t="e">
        <f t="shared" si="49"/>
        <v>#N/A</v>
      </c>
      <c r="J244" s="1784">
        <v>1492</v>
      </c>
      <c r="K244" s="1784">
        <v>1299</v>
      </c>
      <c r="L244" s="1784">
        <v>1096</v>
      </c>
      <c r="M244" s="1784">
        <v>1242</v>
      </c>
      <c r="N244" s="1784">
        <v>1109</v>
      </c>
      <c r="O244" s="1784">
        <v>926</v>
      </c>
      <c r="P244" s="1784">
        <v>740</v>
      </c>
      <c r="Q244" s="1784">
        <v>525</v>
      </c>
    </row>
    <row r="245" spans="3:27" s="1747" customFormat="1">
      <c r="C245" s="1774"/>
      <c r="D245" s="1786" t="s">
        <v>983</v>
      </c>
      <c r="E245" s="1782" t="s">
        <v>986</v>
      </c>
      <c r="F245" s="1781" t="s">
        <v>997</v>
      </c>
      <c r="G245" s="1779" t="s">
        <v>1000</v>
      </c>
      <c r="H245" s="1779">
        <v>6</v>
      </c>
      <c r="I245" s="1784" t="e">
        <f t="shared" si="49"/>
        <v>#N/A</v>
      </c>
      <c r="J245" s="1784">
        <v>1755</v>
      </c>
      <c r="K245" s="1784">
        <v>1523</v>
      </c>
      <c r="L245" s="1784">
        <v>1279</v>
      </c>
      <c r="M245" s="1784">
        <v>1455</v>
      </c>
      <c r="N245" s="1784">
        <v>1295</v>
      </c>
      <c r="O245" s="1784">
        <v>1076</v>
      </c>
      <c r="P245" s="1784">
        <v>852</v>
      </c>
      <c r="Q245" s="1784">
        <v>595</v>
      </c>
    </row>
    <row r="246" spans="3:27" s="1747" customFormat="1">
      <c r="C246" s="1774"/>
      <c r="D246" s="1787"/>
      <c r="E246" s="1788"/>
      <c r="F246" s="1779" t="s">
        <v>1100</v>
      </c>
      <c r="G246" s="1779" t="s">
        <v>1102</v>
      </c>
      <c r="H246" s="1774">
        <v>7</v>
      </c>
      <c r="I246" s="1784" t="e">
        <f t="shared" si="49"/>
        <v>#N/A</v>
      </c>
      <c r="J246" s="1784">
        <v>1492</v>
      </c>
      <c r="K246" s="1784">
        <v>1299</v>
      </c>
      <c r="L246" s="1784">
        <v>1096</v>
      </c>
      <c r="M246" s="1784">
        <v>1242</v>
      </c>
      <c r="N246" s="1784">
        <v>1109</v>
      </c>
      <c r="O246" s="1784">
        <v>926</v>
      </c>
      <c r="P246" s="1784">
        <v>740</v>
      </c>
      <c r="Q246" s="1784">
        <v>525</v>
      </c>
    </row>
    <row r="247" spans="3:27" s="1747" customFormat="1">
      <c r="C247" s="1774"/>
      <c r="D247" s="1778"/>
      <c r="E247" s="1778"/>
      <c r="F247" s="1779" t="s">
        <v>258</v>
      </c>
      <c r="G247" s="1779" t="s">
        <v>1001</v>
      </c>
      <c r="H247" s="1779">
        <v>8</v>
      </c>
      <c r="I247" s="1784" t="e">
        <f t="shared" si="49"/>
        <v>#N/A</v>
      </c>
      <c r="J247" s="1784">
        <v>1252</v>
      </c>
      <c r="K247" s="1784">
        <v>1176</v>
      </c>
      <c r="L247" s="1784">
        <v>1069</v>
      </c>
      <c r="M247" s="1784">
        <v>1218</v>
      </c>
      <c r="N247" s="1784">
        <v>1080</v>
      </c>
      <c r="O247" s="1784">
        <v>1081</v>
      </c>
      <c r="P247" s="1784">
        <v>965</v>
      </c>
      <c r="Q247" s="1784">
        <v>937</v>
      </c>
    </row>
    <row r="248" spans="3:27" s="1747" customFormat="1">
      <c r="C248" s="1774"/>
      <c r="D248" s="1782" t="s">
        <v>985</v>
      </c>
      <c r="E248" s="1782" t="s">
        <v>982</v>
      </c>
      <c r="F248" s="1779" t="s">
        <v>997</v>
      </c>
      <c r="G248" s="1779" t="s">
        <v>1002</v>
      </c>
      <c r="H248" s="1779">
        <v>9</v>
      </c>
      <c r="I248" s="1784" t="e">
        <f t="shared" si="49"/>
        <v>#N/A</v>
      </c>
      <c r="J248" s="1784">
        <v>1467</v>
      </c>
      <c r="K248" s="1784">
        <v>1376</v>
      </c>
      <c r="L248" s="1784">
        <v>1248</v>
      </c>
      <c r="M248" s="1784">
        <v>1426</v>
      </c>
      <c r="N248" s="1784">
        <v>1260</v>
      </c>
      <c r="O248" s="1784">
        <v>1261</v>
      </c>
      <c r="P248" s="1784">
        <v>1122</v>
      </c>
      <c r="Q248" s="1784">
        <v>1089</v>
      </c>
    </row>
    <row r="249" spans="3:27" s="1747" customFormat="1">
      <c r="C249" s="1774"/>
      <c r="D249" s="1782"/>
      <c r="E249" s="1782"/>
      <c r="F249" s="1779" t="s">
        <v>1100</v>
      </c>
      <c r="G249" s="1779" t="s">
        <v>1103</v>
      </c>
      <c r="H249" s="1774">
        <v>10</v>
      </c>
      <c r="I249" s="1784" t="e">
        <f t="shared" si="49"/>
        <v>#N/A</v>
      </c>
      <c r="J249" s="1784">
        <v>1252</v>
      </c>
      <c r="K249" s="1784">
        <v>1176</v>
      </c>
      <c r="L249" s="1784">
        <v>1069</v>
      </c>
      <c r="M249" s="1784">
        <v>1218</v>
      </c>
      <c r="N249" s="1784">
        <v>1080</v>
      </c>
      <c r="O249" s="1784">
        <v>1081</v>
      </c>
      <c r="P249" s="1784">
        <v>965</v>
      </c>
      <c r="Q249" s="1784">
        <v>937</v>
      </c>
    </row>
    <row r="250" spans="3:27" s="1747" customFormat="1">
      <c r="C250" s="1774"/>
      <c r="D250" s="1785"/>
      <c r="E250" s="1778"/>
      <c r="F250" s="1781" t="s">
        <v>258</v>
      </c>
      <c r="G250" s="1779" t="s">
        <v>1007</v>
      </c>
      <c r="H250" s="1779">
        <v>11</v>
      </c>
      <c r="I250" s="1784" t="e">
        <f t="shared" si="49"/>
        <v>#N/A</v>
      </c>
      <c r="J250" s="1784">
        <v>1233</v>
      </c>
      <c r="K250" s="1784">
        <v>1160</v>
      </c>
      <c r="L250" s="1784">
        <v>1031</v>
      </c>
      <c r="M250" s="1784">
        <v>1144</v>
      </c>
      <c r="N250" s="1784">
        <v>998</v>
      </c>
      <c r="O250" s="1784">
        <v>887</v>
      </c>
      <c r="P250" s="1784">
        <v>720</v>
      </c>
      <c r="Q250" s="1784">
        <v>525</v>
      </c>
    </row>
    <row r="251" spans="3:27" s="1747" customFormat="1">
      <c r="C251" s="1774"/>
      <c r="D251" s="1786" t="s">
        <v>985</v>
      </c>
      <c r="E251" s="1782" t="s">
        <v>986</v>
      </c>
      <c r="F251" s="1781" t="s">
        <v>997</v>
      </c>
      <c r="G251" s="1779" t="s">
        <v>1008</v>
      </c>
      <c r="H251" s="1779">
        <v>12</v>
      </c>
      <c r="I251" s="1784" t="e">
        <f t="shared" si="49"/>
        <v>#N/A</v>
      </c>
      <c r="J251" s="1784">
        <v>1444</v>
      </c>
      <c r="K251" s="1784">
        <v>1357</v>
      </c>
      <c r="L251" s="1784">
        <v>1202</v>
      </c>
      <c r="M251" s="1784">
        <v>1338</v>
      </c>
      <c r="N251" s="1784">
        <v>1163</v>
      </c>
      <c r="O251" s="1784">
        <v>1029</v>
      </c>
      <c r="P251" s="1784">
        <v>828</v>
      </c>
      <c r="Q251" s="1784">
        <v>595</v>
      </c>
    </row>
    <row r="252" spans="3:27" s="1747" customFormat="1">
      <c r="C252" s="1774"/>
      <c r="D252" s="1787"/>
      <c r="E252" s="1788"/>
      <c r="F252" s="1779" t="s">
        <v>1100</v>
      </c>
      <c r="G252" s="1779" t="s">
        <v>1104</v>
      </c>
      <c r="H252" s="1774">
        <v>13</v>
      </c>
      <c r="I252" s="1784" t="e">
        <f t="shared" si="49"/>
        <v>#N/A</v>
      </c>
      <c r="J252" s="1784">
        <v>1233</v>
      </c>
      <c r="K252" s="1784">
        <v>1160</v>
      </c>
      <c r="L252" s="1784">
        <v>1031</v>
      </c>
      <c r="M252" s="1784">
        <v>1144</v>
      </c>
      <c r="N252" s="1784">
        <v>998</v>
      </c>
      <c r="O252" s="1784">
        <v>887</v>
      </c>
      <c r="P252" s="1784">
        <v>720</v>
      </c>
      <c r="Q252" s="1784">
        <v>525</v>
      </c>
    </row>
    <row r="253" spans="3:27" s="1747" customFormat="1">
      <c r="C253" s="1774"/>
      <c r="D253" s="1778"/>
      <c r="E253" s="1789"/>
      <c r="F253" s="1779" t="s">
        <v>258</v>
      </c>
      <c r="G253" s="1779" t="s">
        <v>1003</v>
      </c>
      <c r="H253" s="1779">
        <v>14</v>
      </c>
      <c r="I253" s="1784" t="e">
        <f t="shared" si="49"/>
        <v>#N/A</v>
      </c>
      <c r="J253" s="1784">
        <v>957</v>
      </c>
      <c r="K253" s="1784">
        <v>905</v>
      </c>
      <c r="L253" s="1784">
        <v>839</v>
      </c>
      <c r="M253" s="1784">
        <v>924</v>
      </c>
      <c r="N253" s="1784">
        <v>813</v>
      </c>
      <c r="O253" s="1784">
        <v>870</v>
      </c>
      <c r="P253" s="1784">
        <v>848</v>
      </c>
      <c r="Q253" s="1784">
        <v>937</v>
      </c>
    </row>
    <row r="254" spans="3:27" s="1747" customFormat="1">
      <c r="C254" s="1774"/>
      <c r="D254" s="1782" t="s">
        <v>980</v>
      </c>
      <c r="E254" s="1790" t="s">
        <v>982</v>
      </c>
      <c r="F254" s="1779" t="s">
        <v>997</v>
      </c>
      <c r="G254" s="1779" t="s">
        <v>1004</v>
      </c>
      <c r="H254" s="1779">
        <v>15</v>
      </c>
      <c r="I254" s="1784" t="e">
        <f t="shared" si="49"/>
        <v>#N/A</v>
      </c>
      <c r="J254" s="1784">
        <v>1113</v>
      </c>
      <c r="K254" s="1784">
        <v>1051</v>
      </c>
      <c r="L254" s="1784">
        <v>972</v>
      </c>
      <c r="M254" s="1784">
        <v>1073</v>
      </c>
      <c r="N254" s="1784">
        <v>940</v>
      </c>
      <c r="O254" s="1784">
        <v>1009</v>
      </c>
      <c r="P254" s="1784">
        <v>983</v>
      </c>
      <c r="Q254" s="1784">
        <v>1089</v>
      </c>
    </row>
    <row r="255" spans="3:27" s="1747" customFormat="1">
      <c r="C255" s="1774"/>
      <c r="D255" s="1782"/>
      <c r="E255" s="1790"/>
      <c r="F255" s="1779" t="s">
        <v>1100</v>
      </c>
      <c r="G255" s="1779" t="s">
        <v>1105</v>
      </c>
      <c r="H255" s="1774">
        <v>16</v>
      </c>
      <c r="I255" s="1784" t="e">
        <f t="shared" si="49"/>
        <v>#N/A</v>
      </c>
      <c r="J255" s="1784">
        <v>957</v>
      </c>
      <c r="K255" s="1784">
        <v>905</v>
      </c>
      <c r="L255" s="1784">
        <v>839</v>
      </c>
      <c r="M255" s="1784">
        <v>924</v>
      </c>
      <c r="N255" s="1784">
        <v>813</v>
      </c>
      <c r="O255" s="1784">
        <v>870</v>
      </c>
      <c r="P255" s="1784">
        <v>848</v>
      </c>
      <c r="Q255" s="1784">
        <v>937</v>
      </c>
    </row>
    <row r="256" spans="3:27" s="1747" customFormat="1">
      <c r="C256" s="1774"/>
      <c r="D256" s="1785"/>
      <c r="E256" s="1778"/>
      <c r="F256" s="1781" t="s">
        <v>258</v>
      </c>
      <c r="G256" s="1779" t="s">
        <v>1005</v>
      </c>
      <c r="H256" s="1779">
        <v>17</v>
      </c>
      <c r="I256" s="1784" t="e">
        <f t="shared" si="49"/>
        <v>#N/A</v>
      </c>
      <c r="J256" s="1784">
        <v>939</v>
      </c>
      <c r="K256" s="1784">
        <v>889</v>
      </c>
      <c r="L256" s="1784">
        <v>801</v>
      </c>
      <c r="M256" s="1784">
        <v>850</v>
      </c>
      <c r="N256" s="1784">
        <v>732</v>
      </c>
      <c r="O256" s="1784">
        <v>677</v>
      </c>
      <c r="P256" s="1784">
        <v>603</v>
      </c>
      <c r="Q256" s="1784">
        <v>525</v>
      </c>
    </row>
    <row r="257" spans="3:18" s="1747" customFormat="1">
      <c r="C257" s="1774"/>
      <c r="D257" s="1786" t="s">
        <v>980</v>
      </c>
      <c r="E257" s="1782" t="s">
        <v>986</v>
      </c>
      <c r="F257" s="1781" t="s">
        <v>997</v>
      </c>
      <c r="G257" s="1779" t="s">
        <v>1006</v>
      </c>
      <c r="H257" s="1779">
        <v>18</v>
      </c>
      <c r="I257" s="1784" t="e">
        <f t="shared" si="49"/>
        <v>#N/A</v>
      </c>
      <c r="J257" s="1784">
        <v>1091</v>
      </c>
      <c r="K257" s="1784">
        <v>1031</v>
      </c>
      <c r="L257" s="1784">
        <v>926</v>
      </c>
      <c r="M257" s="1784">
        <v>985</v>
      </c>
      <c r="N257" s="1784">
        <v>843</v>
      </c>
      <c r="O257" s="1784">
        <v>777</v>
      </c>
      <c r="P257" s="1784">
        <v>689</v>
      </c>
      <c r="Q257" s="1784">
        <v>595</v>
      </c>
    </row>
    <row r="258" spans="3:18" s="1747" customFormat="1">
      <c r="C258" s="1774"/>
      <c r="D258" s="1787"/>
      <c r="E258" s="1788"/>
      <c r="F258" s="1779" t="s">
        <v>1100</v>
      </c>
      <c r="G258" s="1779" t="s">
        <v>1106</v>
      </c>
      <c r="H258" s="1779">
        <v>19</v>
      </c>
      <c r="I258" s="1784" t="e">
        <f t="shared" si="49"/>
        <v>#N/A</v>
      </c>
      <c r="J258" s="1784">
        <v>939</v>
      </c>
      <c r="K258" s="1784">
        <v>889</v>
      </c>
      <c r="L258" s="1784">
        <v>801</v>
      </c>
      <c r="M258" s="1784">
        <v>850</v>
      </c>
      <c r="N258" s="1784">
        <v>732</v>
      </c>
      <c r="O258" s="1784">
        <v>677</v>
      </c>
      <c r="P258" s="1784">
        <v>603</v>
      </c>
      <c r="Q258" s="1784">
        <v>525</v>
      </c>
    </row>
    <row r="259" spans="3:18" s="1747" customFormat="1" hidden="1">
      <c r="C259" s="1774"/>
      <c r="D259" s="1791" t="str">
        <f>採点LR1!F32</f>
        <v>－</v>
      </c>
      <c r="E259" s="1791" t="str">
        <f>採点LR1!K32</f>
        <v>－</v>
      </c>
      <c r="F259" s="1844" t="str">
        <f>採点LR1!J29</f>
        <v>算定プログラムによる評価</v>
      </c>
      <c r="G259" s="1831" t="str">
        <f>IFERROR(D259&amp;E259&amp;採点LR1!R29,"-")</f>
        <v>-</v>
      </c>
      <c r="H259" s="1831" t="str">
        <f>IFERROR(VLOOKUP(G259,G241:H258,2,0),"-")</f>
        <v>-</v>
      </c>
      <c r="I259" s="1830" t="e">
        <f>IF(H259="-",HLOOKUP($I$240,$T$240:$AA$242,2,FALSE),VLOOKUP(H259,$H$241:$I$258,2))</f>
        <v>#N/A</v>
      </c>
      <c r="J259" s="1774"/>
      <c r="K259" s="1774"/>
      <c r="L259" s="1774"/>
      <c r="M259" s="1774"/>
      <c r="N259" s="1774"/>
      <c r="O259" s="1774"/>
      <c r="P259" s="1774"/>
      <c r="Q259" s="1774"/>
    </row>
    <row r="260" spans="3:18" s="1747" customFormat="1" hidden="1">
      <c r="C260" s="1774"/>
      <c r="D260" s="1774"/>
      <c r="E260" s="1774"/>
      <c r="F260" s="1774"/>
      <c r="G260" s="1774" t="str">
        <f>D259&amp;E259&amp;0</f>
        <v>－－0</v>
      </c>
      <c r="H260" s="1831" t="str">
        <f>IFERROR(VLOOKUP(G260,G241:H258,2,0),"-")</f>
        <v>-</v>
      </c>
      <c r="I260" s="1830" t="e">
        <f>IF(H260="-",HLOOKUP($I$240,$T$240:$AA$242,3,FALSE),VLOOKUP(H260,$H$241:$I$258,2))</f>
        <v>#N/A</v>
      </c>
      <c r="J260" s="1363"/>
      <c r="K260" s="1363"/>
      <c r="L260" s="1363"/>
      <c r="M260" s="1363"/>
      <c r="N260" s="1363"/>
      <c r="O260" s="1363"/>
      <c r="P260" s="1363"/>
      <c r="Q260" s="1774"/>
    </row>
    <row r="261" spans="3:18" s="1747" customFormat="1">
      <c r="C261" s="1006"/>
      <c r="D261" s="1364"/>
      <c r="E261" s="1016"/>
      <c r="F261" s="1016"/>
      <c r="H261" s="1016"/>
      <c r="I261" s="1016"/>
      <c r="J261" s="1731"/>
      <c r="K261" s="1363"/>
      <c r="L261" s="1016"/>
      <c r="M261" s="1016"/>
      <c r="N261" s="1016"/>
      <c r="O261" s="1016"/>
      <c r="P261" s="1016"/>
      <c r="Q261" s="1016"/>
      <c r="R261" s="1016"/>
    </row>
    <row r="262" spans="3:18" ht="15.6" customHeight="1">
      <c r="C262" s="1005" t="s">
        <v>1038</v>
      </c>
      <c r="D262" s="997"/>
    </row>
    <row r="263" spans="3:18" ht="4.9000000000000004" customHeight="1">
      <c r="C263" s="993"/>
      <c r="F263" s="1016"/>
    </row>
    <row r="264" spans="3:18" ht="15.6" customHeight="1">
      <c r="C264" s="993"/>
    </row>
    <row r="265" spans="3:18" ht="15.6" customHeight="1">
      <c r="I265" s="1122" t="s">
        <v>353</v>
      </c>
      <c r="J265" s="1123"/>
      <c r="K265" s="1124"/>
      <c r="L265" s="1122" t="s">
        <v>354</v>
      </c>
      <c r="M265" s="1123"/>
      <c r="N265" s="1124"/>
      <c r="O265" s="1122" t="s">
        <v>355</v>
      </c>
      <c r="P265" s="1123"/>
      <c r="Q265" s="1125"/>
    </row>
    <row r="266" spans="3:18" ht="15.6" customHeight="1">
      <c r="F266" s="1118" t="s">
        <v>797</v>
      </c>
      <c r="H266" s="1135"/>
      <c r="I266" s="1126" t="s">
        <v>47</v>
      </c>
      <c r="J266" s="1126" t="s">
        <v>333</v>
      </c>
      <c r="K266" s="1126" t="s">
        <v>48</v>
      </c>
      <c r="L266" s="1126" t="s">
        <v>47</v>
      </c>
      <c r="M266" s="1126" t="s">
        <v>333</v>
      </c>
      <c r="N266" s="1126" t="s">
        <v>48</v>
      </c>
      <c r="O266" s="1126" t="s">
        <v>47</v>
      </c>
      <c r="P266" s="1126" t="s">
        <v>333</v>
      </c>
      <c r="Q266" s="1126" t="s">
        <v>48</v>
      </c>
    </row>
    <row r="267" spans="3:18" ht="15.6" customHeight="1">
      <c r="C267" s="1011" t="s">
        <v>339</v>
      </c>
      <c r="D267" s="1011"/>
      <c r="F267" s="1014"/>
      <c r="H267" s="992"/>
      <c r="I267" s="1012">
        <v>30</v>
      </c>
      <c r="J267" s="1012">
        <v>60</v>
      </c>
      <c r="K267" s="1012">
        <v>90</v>
      </c>
      <c r="L267" s="1012">
        <v>30</v>
      </c>
      <c r="M267" s="1012">
        <v>60</v>
      </c>
      <c r="N267" s="1012">
        <v>90</v>
      </c>
      <c r="O267" s="1012">
        <v>30</v>
      </c>
      <c r="P267" s="1012">
        <v>60</v>
      </c>
      <c r="Q267" s="1012">
        <v>90</v>
      </c>
    </row>
    <row r="268" spans="3:18" ht="9" customHeight="1">
      <c r="C268" s="1013"/>
      <c r="D268" s="1013"/>
      <c r="F268" s="1420"/>
      <c r="H268" s="992"/>
      <c r="I268" s="1015"/>
      <c r="J268" s="1015"/>
      <c r="K268" s="1015"/>
      <c r="L268" s="1015"/>
      <c r="M268" s="1015"/>
      <c r="N268" s="1015"/>
      <c r="O268" s="1015"/>
      <c r="P268" s="1015"/>
      <c r="Q268" s="1015"/>
    </row>
    <row r="269" spans="3:18" ht="16.5">
      <c r="D269" s="1011"/>
      <c r="H269" s="992"/>
      <c r="I269" s="1315" t="s">
        <v>794</v>
      </c>
      <c r="J269" s="1017"/>
      <c r="K269" s="1017"/>
      <c r="L269" s="1017"/>
      <c r="M269" s="1017"/>
      <c r="N269" s="1017"/>
      <c r="O269" s="1017"/>
      <c r="P269" s="1017"/>
      <c r="Q269" s="1018"/>
    </row>
    <row r="270" spans="3:18" ht="35.25" customHeight="1">
      <c r="C270" s="1137" t="s">
        <v>340</v>
      </c>
      <c r="D270" s="1011"/>
      <c r="F270" s="1136" t="s">
        <v>799</v>
      </c>
      <c r="I270" s="1138" t="s">
        <v>47</v>
      </c>
      <c r="J270" s="1138" t="s">
        <v>333</v>
      </c>
      <c r="K270" s="1138" t="s">
        <v>48</v>
      </c>
      <c r="L270" s="1138" t="s">
        <v>47</v>
      </c>
      <c r="M270" s="1138" t="s">
        <v>333</v>
      </c>
      <c r="N270" s="1138" t="s">
        <v>48</v>
      </c>
      <c r="O270" s="1138" t="s">
        <v>47</v>
      </c>
      <c r="P270" s="1138" t="s">
        <v>333</v>
      </c>
      <c r="Q270" s="1138" t="s">
        <v>48</v>
      </c>
    </row>
    <row r="271" spans="3:18">
      <c r="F271" s="1139">
        <v>1</v>
      </c>
      <c r="H271" s="992"/>
      <c r="I271" s="1019">
        <v>11</v>
      </c>
      <c r="J271" s="1019">
        <v>11</v>
      </c>
      <c r="K271" s="1019">
        <v>11</v>
      </c>
      <c r="L271" s="1019">
        <v>11</v>
      </c>
      <c r="M271" s="1019">
        <v>11</v>
      </c>
      <c r="N271" s="1019">
        <v>11</v>
      </c>
      <c r="O271" s="1019">
        <v>11</v>
      </c>
      <c r="P271" s="1019">
        <v>11</v>
      </c>
      <c r="Q271" s="1019">
        <v>11</v>
      </c>
    </row>
    <row r="272" spans="3:18">
      <c r="D272" s="1011"/>
      <c r="F272" s="1139">
        <v>2</v>
      </c>
      <c r="H272" s="992"/>
      <c r="I272" s="1019">
        <v>12</v>
      </c>
      <c r="J272" s="1019">
        <v>18</v>
      </c>
      <c r="K272" s="1019">
        <v>24</v>
      </c>
      <c r="L272" s="1019">
        <v>12</v>
      </c>
      <c r="M272" s="1019">
        <v>18</v>
      </c>
      <c r="N272" s="1019">
        <v>24</v>
      </c>
      <c r="O272" s="1019">
        <v>12</v>
      </c>
      <c r="P272" s="1019">
        <v>18</v>
      </c>
      <c r="Q272" s="1019">
        <v>24</v>
      </c>
    </row>
    <row r="273" spans="4:17">
      <c r="D273" s="1011"/>
      <c r="F273" s="1139">
        <v>3</v>
      </c>
      <c r="H273" s="992"/>
      <c r="I273" s="1019">
        <v>25</v>
      </c>
      <c r="J273" s="1019">
        <v>37</v>
      </c>
      <c r="K273" s="1019">
        <v>49</v>
      </c>
      <c r="L273" s="1019">
        <v>25</v>
      </c>
      <c r="M273" s="1019">
        <v>37</v>
      </c>
      <c r="N273" s="1019">
        <v>49</v>
      </c>
      <c r="O273" s="1019">
        <v>25</v>
      </c>
      <c r="P273" s="1019">
        <v>37</v>
      </c>
      <c r="Q273" s="1019">
        <v>49</v>
      </c>
    </row>
    <row r="274" spans="4:17">
      <c r="D274" s="1011"/>
      <c r="F274" s="1139">
        <v>4</v>
      </c>
      <c r="H274" s="992"/>
      <c r="I274" s="1019">
        <v>50</v>
      </c>
      <c r="J274" s="1019">
        <v>75</v>
      </c>
      <c r="K274" s="1019">
        <v>100</v>
      </c>
      <c r="L274" s="1019">
        <v>50</v>
      </c>
      <c r="M274" s="1019">
        <v>75</v>
      </c>
      <c r="N274" s="1019">
        <v>100</v>
      </c>
      <c r="O274" s="1019">
        <v>50</v>
      </c>
      <c r="P274" s="1019">
        <v>75</v>
      </c>
      <c r="Q274" s="1019">
        <v>100</v>
      </c>
    </row>
    <row r="275" spans="4:17">
      <c r="D275" s="1011"/>
      <c r="F275" s="1139">
        <v>5</v>
      </c>
      <c r="H275" s="992"/>
      <c r="I275" s="1019">
        <v>50</v>
      </c>
      <c r="J275" s="1019">
        <v>75</v>
      </c>
      <c r="K275" s="1019">
        <v>100</v>
      </c>
      <c r="L275" s="1019">
        <v>50</v>
      </c>
      <c r="M275" s="1019">
        <v>75</v>
      </c>
      <c r="N275" s="1019">
        <v>100</v>
      </c>
      <c r="O275" s="1019">
        <v>50</v>
      </c>
      <c r="P275" s="1019">
        <v>75</v>
      </c>
      <c r="Q275" s="1019">
        <v>100</v>
      </c>
    </row>
    <row r="276" spans="4:17" ht="4.9000000000000004" customHeight="1">
      <c r="D276" s="1011"/>
      <c r="E276" s="1011"/>
      <c r="F276" s="1011"/>
      <c r="G276" s="1011"/>
      <c r="H276" s="1011"/>
      <c r="I276" s="1011"/>
      <c r="J276" s="1011"/>
      <c r="K276" s="1011"/>
      <c r="L276" s="1011"/>
      <c r="M276" s="1011"/>
      <c r="N276" s="1011"/>
      <c r="O276" s="1011"/>
      <c r="P276" s="1011"/>
      <c r="Q276" s="1011"/>
    </row>
    <row r="277" spans="4:17" ht="9" hidden="1" customHeight="1"/>
    <row r="278" spans="4:17" hidden="1"/>
    <row r="279" spans="4:17" hidden="1"/>
    <row r="280" spans="4:17" hidden="1"/>
    <row r="281" spans="4:17" hidden="1"/>
    <row r="282" spans="4:17" hidden="1"/>
    <row r="283" spans="4:17" hidden="1"/>
    <row r="284" spans="4:17" hidden="1"/>
    <row r="285" spans="4:17" hidden="1"/>
    <row r="286" spans="4:17" hidden="1"/>
    <row r="287" spans="4:17" hidden="1"/>
    <row r="288" spans="4:17"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t="13.5" hidden="1" customHeight="1"/>
    <row r="318" ht="13.5" hidden="1"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sheetData>
  <sheetProtection algorithmName="SHA-512" hashValue="Vz3K9RAQJnhFNng5U6twMiuaD048GeDnk9ay0jCWfy+SLfH1Vr53vGSz48AOIwWCbZEls0J1TVMgGhXaBdI5oA==" saltValue="dA2mRg31U6DrKHraLubyYg==" spinCount="100000" sheet="1" objects="1" scenarios="1"/>
  <phoneticPr fontId="4"/>
  <conditionalFormatting sqref="F4 F56">
    <cfRule type="cellIs" dxfId="8" priority="7" stopIfTrue="1" operator="equal">
      <formula>5</formula>
    </cfRule>
    <cfRule type="cellIs" dxfId="7" priority="8" stopIfTrue="1" operator="equal">
      <formula>4</formula>
    </cfRule>
    <cfRule type="cellIs" dxfId="6" priority="9" stopIfTrue="1" operator="equal">
      <formula>2</formula>
    </cfRule>
  </conditionalFormatting>
  <conditionalFormatting sqref="F160">
    <cfRule type="cellIs" dxfId="5" priority="1" stopIfTrue="1" operator="equal">
      <formula>5</formula>
    </cfRule>
    <cfRule type="cellIs" dxfId="4" priority="2" stopIfTrue="1" operator="equal">
      <formula>4</formula>
    </cfRule>
    <cfRule type="cellIs" dxfId="3" priority="3" stopIfTrue="1" operator="equal">
      <formula>2</formula>
    </cfRule>
  </conditionalFormatting>
  <conditionalFormatting sqref="F108">
    <cfRule type="cellIs" dxfId="2" priority="4" stopIfTrue="1" operator="equal">
      <formula>5</formula>
    </cfRule>
    <cfRule type="cellIs" dxfId="1" priority="5" stopIfTrue="1" operator="equal">
      <formula>4</formula>
    </cfRule>
    <cfRule type="cellIs" dxfId="0" priority="6" stopIfTrue="1" operator="equal">
      <formula>2</formula>
    </cfRule>
  </conditionalFormatting>
  <printOptions horizontalCentered="1"/>
  <pageMargins left="0.59055118110236227" right="0.78740157480314965" top="0.78740157480314965" bottom="0.78740157480314965" header="0.51181102362204722" footer="0.51181102362204722"/>
  <pageSetup paperSize="9" scale="70" fitToHeight="0" orientation="portrait" horizontalDpi="300" verticalDpi="300" r:id="rId1"/>
  <headerFooter alignWithMargins="0">
    <oddHeader>&amp;L&amp;F&amp;R&amp;A</oddHeader>
    <oddFooter>&amp;C&amp;P/&amp;N</oddFooter>
  </headerFooter>
  <rowBreaks count="2" manualBreakCount="2">
    <brk id="54" max="16" man="1"/>
    <brk id="216" max="16" man="1"/>
  </rowBreaks>
  <ignoredErrors>
    <ignoredError sqref="T241:AA241"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I41"/>
  <sheetViews>
    <sheetView showGridLines="0" zoomScaleNormal="80" workbookViewId="0">
      <selection activeCell="E6" sqref="E6"/>
    </sheetView>
  </sheetViews>
  <sheetFormatPr defaultColWidth="0" defaultRowHeight="13.5" zeroHeight="1"/>
  <cols>
    <col min="1" max="1" width="2" customWidth="1"/>
    <col min="2" max="2" width="10.625" customWidth="1"/>
    <col min="3" max="3" width="11.875" customWidth="1"/>
    <col min="4" max="4" width="8.25" customWidth="1"/>
    <col min="5" max="5" width="22.625" customWidth="1"/>
    <col min="6" max="6" width="9.5" customWidth="1"/>
    <col min="7" max="7" width="22.625" customWidth="1"/>
    <col min="8" max="8" width="9.5" customWidth="1"/>
    <col min="9" max="9" width="16.125" customWidth="1"/>
    <col min="10" max="10" width="1.875" customWidth="1"/>
  </cols>
  <sheetData>
    <row r="1" spans="2:9" ht="6" customHeight="1">
      <c r="B1" s="23"/>
      <c r="C1" s="23"/>
      <c r="D1" s="23"/>
      <c r="E1" s="23"/>
      <c r="F1" s="23"/>
      <c r="G1" s="23"/>
      <c r="H1" s="23"/>
      <c r="I1" s="23"/>
    </row>
    <row r="2" spans="2:9" ht="14.25">
      <c r="B2" s="1424" t="s">
        <v>310</v>
      </c>
      <c r="C2" s="1425"/>
      <c r="D2" s="1425"/>
      <c r="E2" s="1425"/>
      <c r="F2" s="1425"/>
      <c r="G2" s="1073" t="s">
        <v>406</v>
      </c>
      <c r="H2" s="1425"/>
      <c r="I2" s="1074" t="str">
        <f>メイン!C10</f>
        <v>〇〇邸</v>
      </c>
    </row>
    <row r="3" spans="2:9" ht="15.75" customHeight="1">
      <c r="B3" s="23"/>
      <c r="C3" s="23"/>
      <c r="D3" s="23"/>
      <c r="E3" s="23"/>
      <c r="F3" s="23"/>
      <c r="G3" s="23"/>
      <c r="H3" s="23"/>
      <c r="I3" s="1426"/>
    </row>
    <row r="4" spans="2:9">
      <c r="B4" s="2526" t="s">
        <v>546</v>
      </c>
      <c r="C4" s="2527"/>
      <c r="D4" s="2528"/>
      <c r="E4" s="2532" t="s">
        <v>919</v>
      </c>
      <c r="F4" s="2533"/>
      <c r="G4" s="2515" t="s">
        <v>472</v>
      </c>
      <c r="H4" s="2516"/>
      <c r="I4" s="1427" t="s">
        <v>624</v>
      </c>
    </row>
    <row r="5" spans="2:9" ht="14.25" thickBot="1">
      <c r="B5" s="2529"/>
      <c r="C5" s="2530"/>
      <c r="D5" s="2531"/>
      <c r="E5" s="1428" t="s">
        <v>308</v>
      </c>
      <c r="F5" s="1428" t="s">
        <v>309</v>
      </c>
      <c r="G5" s="1428" t="s">
        <v>308</v>
      </c>
      <c r="H5" s="1428" t="s">
        <v>309</v>
      </c>
      <c r="I5" s="1427"/>
    </row>
    <row r="6" spans="2:9" ht="19.5" customHeight="1" thickBot="1">
      <c r="B6" s="1429" t="s">
        <v>307</v>
      </c>
      <c r="C6" s="2517" t="s">
        <v>775</v>
      </c>
      <c r="D6" s="2518"/>
      <c r="E6" s="1430"/>
      <c r="F6" s="1431">
        <f>CO2計算!P78</f>
        <v>6.13</v>
      </c>
      <c r="G6" s="1430"/>
      <c r="H6" s="1432" t="e">
        <f>CO2計算!M78</f>
        <v>#VALUE!</v>
      </c>
      <c r="I6" s="1433" t="s">
        <v>920</v>
      </c>
    </row>
    <row r="7" spans="2:9" ht="57" customHeight="1" thickBot="1">
      <c r="B7" s="1429"/>
      <c r="C7" s="2519" t="s">
        <v>312</v>
      </c>
      <c r="D7" s="2520"/>
      <c r="E7" s="2505"/>
      <c r="F7" s="2505"/>
      <c r="G7" s="2505"/>
      <c r="H7" s="2505"/>
      <c r="I7" s="1433"/>
    </row>
    <row r="8" spans="2:9" ht="24.75" thickBot="1">
      <c r="B8" s="1428" t="s">
        <v>484</v>
      </c>
      <c r="C8" s="2519" t="s">
        <v>775</v>
      </c>
      <c r="D8" s="2523"/>
      <c r="E8" s="1430"/>
      <c r="F8" s="1434">
        <f>CO2計算!P79</f>
        <v>2.37</v>
      </c>
      <c r="G8" s="1430"/>
      <c r="H8" s="1435" t="e">
        <f>CO2計算!M79</f>
        <v>#DIV/0!</v>
      </c>
      <c r="I8" s="1433" t="s">
        <v>920</v>
      </c>
    </row>
    <row r="9" spans="2:9" ht="57" customHeight="1" thickBot="1">
      <c r="B9" s="1429"/>
      <c r="C9" s="2519" t="s">
        <v>312</v>
      </c>
      <c r="D9" s="2520"/>
      <c r="E9" s="2505"/>
      <c r="F9" s="2505"/>
      <c r="G9" s="2505"/>
      <c r="H9" s="2505"/>
      <c r="I9" s="1433"/>
    </row>
    <row r="10" spans="2:9" ht="36.75" customHeight="1" thickBot="1">
      <c r="B10" s="2521" t="s">
        <v>921</v>
      </c>
      <c r="C10" s="2519" t="s">
        <v>485</v>
      </c>
      <c r="D10" s="2523"/>
      <c r="E10" s="1436"/>
      <c r="F10" s="1434" t="e">
        <f>CO2計算!P53</f>
        <v>#VALUE!</v>
      </c>
      <c r="G10" s="1437"/>
      <c r="H10" s="1432" t="e">
        <f>CO2計算!M53</f>
        <v>#VALUE!</v>
      </c>
      <c r="I10" s="1433" t="s">
        <v>920</v>
      </c>
    </row>
    <row r="11" spans="2:9" ht="36.75" customHeight="1" thickBot="1">
      <c r="B11" s="2522"/>
      <c r="C11" s="2524" t="s">
        <v>486</v>
      </c>
      <c r="D11" s="2525"/>
      <c r="E11" s="1438" t="s">
        <v>487</v>
      </c>
      <c r="F11" s="1439"/>
      <c r="G11" s="1440"/>
      <c r="H11" s="1441" t="e">
        <f>CO2計算!M70</f>
        <v>#VALUE!</v>
      </c>
      <c r="I11" s="1442" t="s">
        <v>920</v>
      </c>
    </row>
    <row r="12" spans="2:9" ht="18.75" customHeight="1">
      <c r="B12" s="2522"/>
      <c r="C12" s="1443"/>
      <c r="D12" s="1444" t="s">
        <v>628</v>
      </c>
      <c r="E12" s="1445" t="s">
        <v>317</v>
      </c>
      <c r="F12" s="1446"/>
      <c r="G12" s="1447"/>
      <c r="H12" s="1448" t="e">
        <f>H10-H11</f>
        <v>#VALUE!</v>
      </c>
      <c r="I12" s="1449" t="s">
        <v>920</v>
      </c>
    </row>
    <row r="13" spans="2:9" ht="18.75" customHeight="1">
      <c r="B13" s="2522"/>
      <c r="C13" s="1450"/>
      <c r="D13" s="1451"/>
      <c r="E13" s="1452"/>
      <c r="F13" s="1453"/>
      <c r="G13" s="1454"/>
      <c r="H13" s="1448">
        <v>0</v>
      </c>
      <c r="I13" s="1449" t="s">
        <v>920</v>
      </c>
    </row>
    <row r="14" spans="2:9" ht="18.75" customHeight="1" thickBot="1">
      <c r="B14" s="2522"/>
      <c r="C14" s="1450"/>
      <c r="D14" s="1455"/>
      <c r="E14" s="1456"/>
      <c r="F14" s="1457"/>
      <c r="G14" s="1458"/>
      <c r="H14" s="1459">
        <v>0</v>
      </c>
      <c r="I14" s="1460" t="s">
        <v>920</v>
      </c>
    </row>
    <row r="15" spans="2:9" ht="24.75" customHeight="1" thickBot="1">
      <c r="B15" s="2522"/>
      <c r="C15" s="2524" t="s">
        <v>488</v>
      </c>
      <c r="D15" s="2525"/>
      <c r="E15" s="1438" t="s">
        <v>487</v>
      </c>
      <c r="F15" s="1439"/>
      <c r="G15" s="1440"/>
      <c r="H15" s="1461" t="e">
        <f>H11-SUM(H16:H19)</f>
        <v>#VALUE!</v>
      </c>
      <c r="I15" s="1442" t="s">
        <v>920</v>
      </c>
    </row>
    <row r="16" spans="2:9" ht="25.5" customHeight="1">
      <c r="B16" s="2522"/>
      <c r="C16" s="1462"/>
      <c r="D16" s="1444" t="s">
        <v>628</v>
      </c>
      <c r="E16" s="1463" t="s">
        <v>318</v>
      </c>
      <c r="F16" s="1464"/>
      <c r="G16" s="1465"/>
      <c r="H16" s="1466" t="s">
        <v>902</v>
      </c>
      <c r="I16" s="1449" t="s">
        <v>920</v>
      </c>
    </row>
    <row r="17" spans="2:9" ht="25.5" customHeight="1">
      <c r="B17" s="2522"/>
      <c r="C17" s="1467"/>
      <c r="D17" s="1468"/>
      <c r="E17" s="1469" t="s">
        <v>489</v>
      </c>
      <c r="F17" s="1469"/>
      <c r="G17" s="1470"/>
      <c r="H17" s="1466" t="s">
        <v>490</v>
      </c>
      <c r="I17" s="1471" t="s">
        <v>920</v>
      </c>
    </row>
    <row r="18" spans="2:9" ht="25.5" customHeight="1">
      <c r="B18" s="2522"/>
      <c r="C18" s="1467"/>
      <c r="D18" s="1468"/>
      <c r="E18" s="1469" t="s">
        <v>491</v>
      </c>
      <c r="F18" s="1469"/>
      <c r="G18" s="1470"/>
      <c r="H18" s="1466" t="s">
        <v>490</v>
      </c>
      <c r="I18" s="1471" t="s">
        <v>920</v>
      </c>
    </row>
    <row r="19" spans="2:9" ht="39" customHeight="1">
      <c r="B19" s="2522"/>
      <c r="C19" s="1472"/>
      <c r="D19" s="1473"/>
      <c r="E19" s="1474" t="s">
        <v>492</v>
      </c>
      <c r="F19" s="1474"/>
      <c r="G19" s="1475"/>
      <c r="H19" s="1476" t="e">
        <f>H35</f>
        <v>#VALUE!</v>
      </c>
      <c r="I19" s="1477" t="s">
        <v>920</v>
      </c>
    </row>
    <row r="20" spans="2:9" ht="67.5" customHeight="1">
      <c r="B20" s="2513"/>
      <c r="C20" s="2519" t="s">
        <v>312</v>
      </c>
      <c r="D20" s="2520"/>
      <c r="E20" s="2505"/>
      <c r="F20" s="2505"/>
      <c r="G20" s="2505"/>
      <c r="H20" s="2505"/>
      <c r="I20" s="1427"/>
    </row>
    <row r="21" spans="2:9">
      <c r="B21" s="23"/>
      <c r="C21" s="23"/>
      <c r="D21" s="23"/>
      <c r="E21" s="23"/>
      <c r="F21" s="23"/>
      <c r="G21" s="23"/>
      <c r="H21" s="23"/>
      <c r="I21" s="23"/>
    </row>
    <row r="22" spans="2:9" ht="23.25" customHeight="1" thickBot="1">
      <c r="B22" s="1478" t="s">
        <v>315</v>
      </c>
      <c r="C22" s="23"/>
      <c r="D22" s="23"/>
      <c r="E22" s="23"/>
      <c r="F22" s="23"/>
      <c r="G22" s="23"/>
      <c r="H22" s="23"/>
      <c r="I22" s="23"/>
    </row>
    <row r="23" spans="2:9" ht="17.25" customHeight="1" thickBot="1">
      <c r="B23" s="1479"/>
      <c r="C23" s="1384" t="s">
        <v>316</v>
      </c>
      <c r="D23" s="23"/>
      <c r="E23" s="23"/>
      <c r="F23" s="23"/>
      <c r="G23" s="23"/>
      <c r="H23" s="23"/>
      <c r="I23" s="23"/>
    </row>
    <row r="24" spans="2:9" ht="17.25" customHeight="1">
      <c r="B24" s="1384" t="s">
        <v>319</v>
      </c>
      <c r="C24" s="23"/>
      <c r="D24" s="23"/>
      <c r="E24" s="23"/>
      <c r="F24" s="23"/>
      <c r="G24" s="23"/>
      <c r="H24" s="23"/>
      <c r="I24" s="23"/>
    </row>
    <row r="25" spans="2:9" ht="17.25" customHeight="1">
      <c r="B25" s="1384" t="s">
        <v>324</v>
      </c>
      <c r="C25" s="23"/>
      <c r="D25" s="23"/>
      <c r="E25" s="23"/>
      <c r="F25" s="23"/>
      <c r="G25" s="23"/>
      <c r="H25" s="23"/>
      <c r="I25" s="23"/>
    </row>
    <row r="26" spans="2:9">
      <c r="B26" s="23"/>
      <c r="C26" s="23"/>
      <c r="D26" s="23"/>
      <c r="E26" s="23"/>
      <c r="F26" s="23"/>
      <c r="G26" s="23"/>
      <c r="H26" s="23"/>
      <c r="I26" s="23"/>
    </row>
    <row r="27" spans="2:9">
      <c r="B27" s="1384"/>
      <c r="C27" s="1384" t="s">
        <v>493</v>
      </c>
      <c r="D27" s="1384"/>
      <c r="E27" s="1384"/>
      <c r="F27" s="1384"/>
      <c r="G27" s="1384"/>
      <c r="H27" s="1384"/>
      <c r="I27" s="1384"/>
    </row>
    <row r="28" spans="2:9" ht="25.5">
      <c r="B28" s="1480"/>
      <c r="C28" s="2506" t="s">
        <v>922</v>
      </c>
      <c r="D28" s="2507"/>
      <c r="E28" s="1481" t="e">
        <f>電気排出係数!D5*1000</f>
        <v>#VALUE!</v>
      </c>
      <c r="F28" s="1482" t="s">
        <v>494</v>
      </c>
      <c r="G28" s="1384"/>
      <c r="H28" s="1384"/>
      <c r="I28" s="1384"/>
    </row>
    <row r="29" spans="2:9" ht="25.5">
      <c r="B29" s="1480"/>
      <c r="C29" s="2508" t="s">
        <v>918</v>
      </c>
      <c r="D29" s="2509"/>
      <c r="E29" s="1483" t="e">
        <f>電気排出係数!E5*1000</f>
        <v>#N/A</v>
      </c>
      <c r="F29" s="1460" t="s">
        <v>495</v>
      </c>
      <c r="G29" s="1384"/>
      <c r="H29" s="1384"/>
      <c r="I29" s="1384"/>
    </row>
    <row r="30" spans="2:9">
      <c r="B30" s="1480"/>
      <c r="C30" s="1384"/>
      <c r="D30" s="1384"/>
      <c r="E30" s="1384"/>
      <c r="F30" s="1384"/>
      <c r="G30" s="1384"/>
      <c r="H30" s="1384"/>
      <c r="I30" s="1384"/>
    </row>
    <row r="31" spans="2:9">
      <c r="B31" s="1480"/>
      <c r="C31" s="1384" t="s">
        <v>1056</v>
      </c>
      <c r="D31" s="1384"/>
      <c r="E31" s="1384"/>
      <c r="F31" s="1384"/>
      <c r="G31" s="1384"/>
      <c r="H31" s="1384"/>
      <c r="I31" s="1384"/>
    </row>
    <row r="32" spans="2:9" ht="13.5" customHeight="1">
      <c r="B32" s="1480"/>
      <c r="C32" s="2510" t="s">
        <v>320</v>
      </c>
      <c r="D32" s="2511"/>
      <c r="E32" s="2511"/>
      <c r="F32" s="2512"/>
      <c r="G32" s="1819" t="s">
        <v>1058</v>
      </c>
      <c r="H32" s="1484" t="e">
        <f>H11</f>
        <v>#VALUE!</v>
      </c>
      <c r="I32" s="1433" t="s">
        <v>920</v>
      </c>
    </row>
    <row r="33" spans="2:9" s="1747" customFormat="1">
      <c r="B33" s="1480"/>
      <c r="C33" s="1820"/>
      <c r="D33" s="1821"/>
      <c r="E33" s="1821"/>
      <c r="F33" s="1473"/>
      <c r="G33" s="1819" t="s">
        <v>1057</v>
      </c>
      <c r="H33" s="1484" t="e">
        <f>H32*CO2データ!J228</f>
        <v>#VALUE!</v>
      </c>
      <c r="I33" s="1433" t="s">
        <v>920</v>
      </c>
    </row>
    <row r="34" spans="2:9" ht="13.5" customHeight="1">
      <c r="B34" s="1480"/>
      <c r="C34" s="2513" t="s">
        <v>321</v>
      </c>
      <c r="D34" s="2513"/>
      <c r="E34" s="2513"/>
      <c r="F34" s="2513"/>
      <c r="G34" s="1485" t="e">
        <f>ROUND(H33,2)&amp;" / "&amp;$E$28&amp;" * "&amp;$E$29&amp;" =　（B)"</f>
        <v>#VALUE!</v>
      </c>
      <c r="H34" s="1484" t="e">
        <f>H33/$E$28*$E$29</f>
        <v>#VALUE!</v>
      </c>
      <c r="I34" s="1433" t="s">
        <v>920</v>
      </c>
    </row>
    <row r="35" spans="2:9" ht="13.5" customHeight="1">
      <c r="B35" s="1480"/>
      <c r="C35" s="2514" t="s">
        <v>313</v>
      </c>
      <c r="D35" s="2514"/>
      <c r="E35" s="2514"/>
      <c r="F35" s="2514"/>
      <c r="G35" s="1485" t="s">
        <v>1033</v>
      </c>
      <c r="H35" s="1484" t="e">
        <f>H33-H34</f>
        <v>#VALUE!</v>
      </c>
      <c r="I35" s="1433" t="s">
        <v>920</v>
      </c>
    </row>
    <row r="36" spans="2:9">
      <c r="B36" s="1480"/>
      <c r="C36" s="1384"/>
      <c r="D36" s="1384"/>
      <c r="E36" s="1384"/>
      <c r="F36" s="1384"/>
      <c r="G36" s="1384"/>
      <c r="H36" s="1384"/>
      <c r="I36" s="1384"/>
    </row>
    <row r="37" spans="2:9" hidden="1">
      <c r="B37" s="1480"/>
      <c r="C37" s="1814" t="s">
        <v>323</v>
      </c>
      <c r="D37" s="1814"/>
      <c r="E37" s="1814"/>
      <c r="F37" s="1814"/>
      <c r="G37" s="1814"/>
      <c r="H37" s="1814"/>
      <c r="I37" s="1814"/>
    </row>
    <row r="38" spans="2:9" hidden="1">
      <c r="B38" s="1480"/>
      <c r="C38" s="2503" t="s">
        <v>320</v>
      </c>
      <c r="D38" s="2503"/>
      <c r="E38" s="2503"/>
      <c r="F38" s="2503"/>
      <c r="G38" s="1815" t="s">
        <v>322</v>
      </c>
      <c r="H38" s="1816">
        <f>G11</f>
        <v>0</v>
      </c>
      <c r="I38" s="1817" t="s">
        <v>920</v>
      </c>
    </row>
    <row r="39" spans="2:9" hidden="1">
      <c r="B39" s="1480"/>
      <c r="C39" s="2503" t="s">
        <v>321</v>
      </c>
      <c r="D39" s="2503"/>
      <c r="E39" s="2503"/>
      <c r="F39" s="2503"/>
      <c r="G39" s="1818" t="e">
        <f>ROUND(H38,2)&amp;" / "&amp;$E$28&amp;" * "&amp;$E$29&amp;" =　（D)"</f>
        <v>#VALUE!</v>
      </c>
      <c r="H39" s="1816" t="e">
        <f>G11/$E$28*$E$29</f>
        <v>#VALUE!</v>
      </c>
      <c r="I39" s="1817" t="s">
        <v>920</v>
      </c>
    </row>
    <row r="40" spans="2:9" hidden="1">
      <c r="B40" s="1480"/>
      <c r="C40" s="2504" t="s">
        <v>313</v>
      </c>
      <c r="D40" s="2504"/>
      <c r="E40" s="2504"/>
      <c r="F40" s="2504"/>
      <c r="G40" s="1818" t="s">
        <v>496</v>
      </c>
      <c r="H40" s="1816" t="e">
        <f>H38-H39</f>
        <v>#VALUE!</v>
      </c>
      <c r="I40" s="1817" t="s">
        <v>920</v>
      </c>
    </row>
    <row r="41" spans="2:9" hidden="1"/>
  </sheetData>
  <sheetProtection algorithmName="SHA-512" hashValue="pADTRjd1lqeBQ1HZdx5a3a7dQyul1zrvgVG5HQsF8NyZS2z3+kl+Ro9T48UKyJP7LQbHwlMnOrA+UEVjoTTioA==" saltValue="/GXmGg7/H+h7FsDptHZ2OQ==" spinCount="100000" sheet="1" objects="1" scenarios="1"/>
  <mergeCells count="26">
    <mergeCell ref="G4:H4"/>
    <mergeCell ref="C6:D6"/>
    <mergeCell ref="C7:D7"/>
    <mergeCell ref="B10:B20"/>
    <mergeCell ref="C10:D10"/>
    <mergeCell ref="C11:D11"/>
    <mergeCell ref="C15:D15"/>
    <mergeCell ref="C20:D20"/>
    <mergeCell ref="G7:H7"/>
    <mergeCell ref="G9:H9"/>
    <mergeCell ref="B4:D5"/>
    <mergeCell ref="E4:F4"/>
    <mergeCell ref="C8:D8"/>
    <mergeCell ref="C9:D9"/>
    <mergeCell ref="E7:F7"/>
    <mergeCell ref="E9:F9"/>
    <mergeCell ref="C38:F38"/>
    <mergeCell ref="C39:F39"/>
    <mergeCell ref="C40:F40"/>
    <mergeCell ref="G20:H20"/>
    <mergeCell ref="C28:D28"/>
    <mergeCell ref="C29:D29"/>
    <mergeCell ref="C32:F32"/>
    <mergeCell ref="C34:F34"/>
    <mergeCell ref="C35:F35"/>
    <mergeCell ref="E20:F20"/>
  </mergeCells>
  <phoneticPr fontId="4"/>
  <printOptions horizontalCentered="1"/>
  <pageMargins left="0.59055118110236227" right="0.59055118110236227" top="0.78740157480314965" bottom="0.59055118110236227" header="0.51181102362204722" footer="0.51181102362204722"/>
  <pageSetup paperSize="9" scale="81" orientation="portrait" verticalDpi="300" r:id="rId1"/>
  <headerFooter alignWithMargins="0">
    <oddHeader>&amp;L&amp;F&amp;R&amp;A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B1:IP104"/>
  <sheetViews>
    <sheetView showGridLines="0" zoomScaleNormal="100" workbookViewId="0">
      <selection activeCell="B2" sqref="B2:F2"/>
    </sheetView>
  </sheetViews>
  <sheetFormatPr defaultColWidth="0" defaultRowHeight="13.5" zeroHeight="1"/>
  <cols>
    <col min="1" max="1" width="1.625" customWidth="1"/>
    <col min="2" max="2" width="5.625" customWidth="1"/>
    <col min="3" max="3" width="33.625" customWidth="1"/>
    <col min="4" max="4" width="8.875" bestFit="1" customWidth="1"/>
    <col min="5" max="5" width="8.875" hidden="1" customWidth="1"/>
    <col min="6" max="6" width="1.625" customWidth="1"/>
    <col min="7" max="7" width="8.875" bestFit="1" customWidth="1"/>
    <col min="8" max="8" width="8.875" hidden="1" customWidth="1"/>
    <col min="9" max="9" width="8.875" bestFit="1" customWidth="1"/>
    <col min="10" max="10" width="8.875" hidden="1" customWidth="1"/>
    <col min="11" max="11" width="11.375" bestFit="1" customWidth="1"/>
    <col min="12" max="12" width="8.875" hidden="1" customWidth="1"/>
    <col min="13" max="13" width="8.875" bestFit="1" customWidth="1"/>
    <col min="14" max="14" width="8.875" hidden="1" customWidth="1"/>
    <col min="15" max="15" width="2.125" customWidth="1"/>
    <col min="16" max="16" width="22.5" hidden="1" customWidth="1"/>
    <col min="17" max="17" width="7.125" hidden="1" customWidth="1"/>
    <col min="18" max="18" width="34.625" hidden="1" customWidth="1"/>
    <col min="19" max="19" width="8" hidden="1" customWidth="1"/>
    <col min="20" max="22" width="2.125" hidden="1" customWidth="1"/>
    <col min="23" max="25" width="4.875" hidden="1" customWidth="1"/>
    <col min="26" max="30" width="2.125" hidden="1" customWidth="1"/>
    <col min="31" max="31" width="1.625" hidden="1" customWidth="1"/>
    <col min="32" max="32" width="15.75" hidden="1" customWidth="1"/>
    <col min="33" max="33" width="5.25" hidden="1" customWidth="1"/>
    <col min="34" max="34" width="7.125" hidden="1" customWidth="1"/>
    <col min="35" max="45" width="9" hidden="1" customWidth="1"/>
    <col min="46" max="46" width="2.625" hidden="1" customWidth="1"/>
    <col min="47" max="47" width="0.75" hidden="1" customWidth="1"/>
    <col min="48" max="48" width="7.875" customWidth="1"/>
    <col min="49" max="49" width="6.125" customWidth="1"/>
    <col min="50" max="50" width="34.625" bestFit="1" customWidth="1"/>
    <col min="51" max="51" width="8" bestFit="1" customWidth="1"/>
    <col min="52" max="52" width="1.125" customWidth="1"/>
    <col min="53" max="62" width="9" hidden="1" customWidth="1"/>
    <col min="63" max="225" width="4.75" hidden="1" customWidth="1"/>
    <col min="226" max="226" width="0.75" hidden="1" customWidth="1"/>
    <col min="227" max="249" width="4.75" hidden="1" customWidth="1"/>
    <col min="250" max="250" width="9" hidden="1" customWidth="1"/>
  </cols>
  <sheetData>
    <row r="1" spans="2:51"/>
    <row r="2" spans="2:51" ht="18.75">
      <c r="B2" s="1519" t="s">
        <v>477</v>
      </c>
      <c r="C2" s="1520"/>
      <c r="D2" s="1521"/>
      <c r="E2" s="1547"/>
      <c r="F2" s="1587"/>
      <c r="G2" s="1547"/>
      <c r="H2" s="1547"/>
      <c r="I2" s="1588"/>
      <c r="J2" s="1588"/>
      <c r="K2" s="1547"/>
      <c r="L2" s="1547"/>
      <c r="M2" s="1547"/>
      <c r="N2" s="1547"/>
      <c r="O2" s="1589"/>
      <c r="P2" s="1590" t="s">
        <v>40</v>
      </c>
      <c r="Q2" s="1557"/>
      <c r="R2" s="1591"/>
      <c r="S2" s="1555"/>
      <c r="T2" s="1555"/>
      <c r="U2" s="1555"/>
      <c r="V2" s="1555"/>
      <c r="W2" s="1555"/>
      <c r="X2" s="1555"/>
      <c r="Y2" s="1555"/>
      <c r="Z2" s="1555"/>
      <c r="AA2" s="1555"/>
      <c r="AB2" s="1555"/>
      <c r="AC2" s="1555"/>
      <c r="AD2" s="1555"/>
      <c r="AE2" s="1592"/>
      <c r="AF2" s="1591"/>
      <c r="AG2" s="1591"/>
      <c r="AH2" s="1591"/>
      <c r="AI2" s="1591"/>
      <c r="AJ2" s="1591"/>
      <c r="AK2" s="1591"/>
      <c r="AL2" s="1591"/>
      <c r="AM2" s="1591"/>
      <c r="AN2" s="1591"/>
      <c r="AO2" s="1591"/>
      <c r="AP2" s="1591"/>
      <c r="AQ2" s="1591"/>
      <c r="AR2" s="1591"/>
      <c r="AS2" s="1591"/>
      <c r="AT2" s="1591"/>
      <c r="AU2" s="1593"/>
      <c r="AV2" s="1594"/>
      <c r="AW2" s="1591"/>
      <c r="AX2" s="1595"/>
      <c r="AY2" s="1591"/>
    </row>
    <row r="3" spans="2:51" ht="17.25">
      <c r="B3" s="1522"/>
      <c r="C3" s="1520"/>
      <c r="D3" s="1521"/>
      <c r="E3" s="1547"/>
      <c r="F3" s="1587"/>
      <c r="G3" s="1547"/>
      <c r="H3" s="1547"/>
      <c r="I3" s="1588"/>
      <c r="J3" s="1588"/>
      <c r="K3" s="1547"/>
      <c r="L3" s="1547"/>
      <c r="M3" s="1547"/>
      <c r="N3" s="1547"/>
      <c r="O3" s="1589"/>
      <c r="P3" s="1596">
        <f>IF(メイン!E31="基本設計段階",1,2)</f>
        <v>2</v>
      </c>
      <c r="Q3" s="1591"/>
      <c r="R3" s="1597"/>
      <c r="S3" s="1555"/>
      <c r="T3" s="1555"/>
      <c r="U3" s="1555"/>
      <c r="V3" s="1555"/>
      <c r="W3" s="1555"/>
      <c r="X3" s="1555"/>
      <c r="Y3" s="1555"/>
      <c r="Z3" s="1555"/>
      <c r="AA3" s="1555"/>
      <c r="AB3" s="1555"/>
      <c r="AC3" s="1555"/>
      <c r="AD3" s="1555"/>
      <c r="AE3" s="1592"/>
      <c r="AF3" s="1598" t="s">
        <v>396</v>
      </c>
      <c r="AG3" s="1599"/>
      <c r="AH3" s="1600"/>
      <c r="AI3" s="1555"/>
      <c r="AJ3" s="1555"/>
      <c r="AK3" s="1555"/>
      <c r="AL3" s="1555"/>
      <c r="AM3" s="1555"/>
      <c r="AN3" s="1555"/>
      <c r="AO3" s="1555"/>
      <c r="AP3" s="1555"/>
      <c r="AQ3" s="1555"/>
      <c r="AR3" s="1555"/>
      <c r="AS3" s="1555"/>
      <c r="AT3" s="1555"/>
      <c r="AU3" s="1593"/>
      <c r="AV3" s="1552" t="s">
        <v>40</v>
      </c>
      <c r="AW3" s="1553"/>
      <c r="AX3" s="1554"/>
      <c r="AY3" s="1555"/>
    </row>
    <row r="4" spans="2:51" ht="4.5" customHeight="1">
      <c r="B4" s="1522"/>
      <c r="C4" s="1520"/>
      <c r="D4" s="1521"/>
      <c r="E4" s="1547"/>
      <c r="F4" s="1587"/>
      <c r="G4" s="1547"/>
      <c r="H4" s="1547"/>
      <c r="I4" s="1588"/>
      <c r="J4" s="1588"/>
      <c r="K4" s="1547"/>
      <c r="L4" s="1547"/>
      <c r="M4" s="1547"/>
      <c r="N4" s="1547"/>
      <c r="O4" s="1589"/>
      <c r="P4" s="1557"/>
      <c r="Q4" s="1557"/>
      <c r="R4" s="1597"/>
      <c r="S4" s="1555"/>
      <c r="T4" s="1555"/>
      <c r="U4" s="1555"/>
      <c r="V4" s="1555"/>
      <c r="W4" s="1555"/>
      <c r="X4" s="1555"/>
      <c r="Y4" s="1555"/>
      <c r="Z4" s="1555"/>
      <c r="AA4" s="1555"/>
      <c r="AB4" s="1555"/>
      <c r="AC4" s="1555"/>
      <c r="AD4" s="1555"/>
      <c r="AE4" s="1592"/>
      <c r="AF4" s="1557"/>
      <c r="AG4" s="1557"/>
      <c r="AH4" s="1597"/>
      <c r="AI4" s="1555"/>
      <c r="AJ4" s="1555"/>
      <c r="AK4" s="1555"/>
      <c r="AL4" s="1555"/>
      <c r="AM4" s="1555"/>
      <c r="AN4" s="1555"/>
      <c r="AO4" s="1555"/>
      <c r="AP4" s="1555"/>
      <c r="AQ4" s="1555"/>
      <c r="AR4" s="1555"/>
      <c r="AS4" s="1555"/>
      <c r="AT4" s="1555"/>
      <c r="AU4" s="1593"/>
      <c r="AV4" s="1556"/>
      <c r="AW4" s="1557"/>
      <c r="AX4" s="1558"/>
      <c r="AY4" s="1555"/>
    </row>
    <row r="5" spans="2:51">
      <c r="B5" s="2534"/>
      <c r="C5" s="2535"/>
      <c r="D5" s="1523" t="s">
        <v>72</v>
      </c>
      <c r="E5" s="1601"/>
      <c r="F5" s="1602"/>
      <c r="G5" s="1548" t="s">
        <v>71</v>
      </c>
      <c r="H5" s="1603"/>
      <c r="I5" s="1604" t="s">
        <v>221</v>
      </c>
      <c r="J5" s="1605"/>
      <c r="K5" s="1548" t="s">
        <v>460</v>
      </c>
      <c r="L5" s="1603"/>
      <c r="M5" s="1548" t="s">
        <v>110</v>
      </c>
      <c r="N5" s="1603"/>
      <c r="O5" s="1606"/>
      <c r="P5" s="1560"/>
      <c r="Q5" s="1560"/>
      <c r="R5" s="1560"/>
      <c r="S5" s="1607" t="s">
        <v>965</v>
      </c>
      <c r="T5" s="1607"/>
      <c r="U5" s="1607"/>
      <c r="V5" s="1607"/>
      <c r="W5" s="1607"/>
      <c r="X5" s="1607"/>
      <c r="Y5" s="1607"/>
      <c r="Z5" s="1607"/>
      <c r="AA5" s="1607"/>
      <c r="AB5" s="1607"/>
      <c r="AC5" s="1607"/>
      <c r="AD5" s="1607"/>
      <c r="AE5" s="1608"/>
      <c r="AF5" s="1560"/>
      <c r="AG5" s="1560"/>
      <c r="AH5" s="1560"/>
      <c r="AI5" s="1562"/>
      <c r="AJ5" s="1609"/>
      <c r="AK5" s="1609"/>
      <c r="AL5" s="1609"/>
      <c r="AM5" s="1609"/>
      <c r="AN5" s="1609"/>
      <c r="AO5" s="1609"/>
      <c r="AP5" s="1609"/>
      <c r="AQ5" s="1610"/>
      <c r="AR5" s="2538"/>
      <c r="AS5" s="2538"/>
      <c r="AT5" s="2538"/>
      <c r="AU5" s="1611"/>
      <c r="AV5" s="1559"/>
      <c r="AW5" s="1560"/>
      <c r="AX5" s="1561"/>
      <c r="AY5" s="1562" t="s">
        <v>965</v>
      </c>
    </row>
    <row r="6" spans="2:51" hidden="1">
      <c r="B6" s="2536"/>
      <c r="C6" s="2537"/>
      <c r="D6" s="1525" t="s">
        <v>966</v>
      </c>
      <c r="E6" s="1525" t="s">
        <v>220</v>
      </c>
      <c r="F6" s="1602"/>
      <c r="G6" s="1525" t="s">
        <v>966</v>
      </c>
      <c r="H6" s="1525" t="s">
        <v>220</v>
      </c>
      <c r="I6" s="1525" t="s">
        <v>966</v>
      </c>
      <c r="J6" s="1525" t="s">
        <v>220</v>
      </c>
      <c r="K6" s="1525" t="s">
        <v>966</v>
      </c>
      <c r="L6" s="1525" t="s">
        <v>220</v>
      </c>
      <c r="M6" s="1525" t="s">
        <v>966</v>
      </c>
      <c r="N6" s="1525" t="s">
        <v>220</v>
      </c>
      <c r="O6" s="1606"/>
      <c r="P6" s="1560"/>
      <c r="Q6" s="1560" t="s">
        <v>546</v>
      </c>
      <c r="R6" s="1560" t="s">
        <v>962</v>
      </c>
      <c r="S6" s="1563" t="s">
        <v>478</v>
      </c>
      <c r="T6" s="1563"/>
      <c r="U6" s="1563"/>
      <c r="V6" s="1563"/>
      <c r="W6" s="1563"/>
      <c r="X6" s="1563"/>
      <c r="Y6" s="1563"/>
      <c r="Z6" s="1612"/>
      <c r="AA6" s="1563"/>
      <c r="AB6" s="1613"/>
      <c r="AC6" s="1563"/>
      <c r="AD6" s="1563"/>
      <c r="AE6" s="1614"/>
      <c r="AF6" s="1560"/>
      <c r="AG6" s="1560" t="s">
        <v>546</v>
      </c>
      <c r="AH6" s="1560" t="s">
        <v>962</v>
      </c>
      <c r="AI6" s="1563"/>
      <c r="AJ6" s="1563"/>
      <c r="AK6" s="1563"/>
      <c r="AL6" s="1563"/>
      <c r="AM6" s="1563"/>
      <c r="AN6" s="1563"/>
      <c r="AO6" s="1563"/>
      <c r="AP6" s="1612"/>
      <c r="AQ6" s="1563"/>
      <c r="AR6" s="1613"/>
      <c r="AS6" s="1563"/>
      <c r="AT6" s="1563"/>
      <c r="AU6" s="1611"/>
      <c r="AV6" s="1559"/>
      <c r="AW6" s="1560" t="s">
        <v>546</v>
      </c>
      <c r="AX6" s="1561" t="s">
        <v>962</v>
      </c>
      <c r="AY6" s="1563" t="s">
        <v>551</v>
      </c>
    </row>
    <row r="7" spans="2:51">
      <c r="B7" s="1524"/>
      <c r="C7" s="1526" t="s">
        <v>742</v>
      </c>
      <c r="D7" s="1527">
        <f>1-E7</f>
        <v>1</v>
      </c>
      <c r="E7" s="1525"/>
      <c r="F7" s="1602"/>
      <c r="G7" s="1525"/>
      <c r="H7" s="1525"/>
      <c r="I7" s="1525"/>
      <c r="J7" s="1525"/>
      <c r="K7" s="1525"/>
      <c r="L7" s="1525"/>
      <c r="M7" s="1525"/>
      <c r="N7" s="1525"/>
      <c r="O7" s="1606"/>
      <c r="P7" s="1560"/>
      <c r="Q7" s="1560" t="s">
        <v>392</v>
      </c>
      <c r="R7" s="1560" t="s">
        <v>209</v>
      </c>
      <c r="S7" s="1615">
        <f>メイン!N9/メイン!N20</f>
        <v>1</v>
      </c>
      <c r="T7" s="1615">
        <f>メイン!N10/メイン!N20</f>
        <v>0</v>
      </c>
      <c r="U7" s="1615">
        <f>メイン!N12/メイン!N20</f>
        <v>0</v>
      </c>
      <c r="V7" s="1615">
        <f>メイン!N13/メイン!N20</f>
        <v>0</v>
      </c>
      <c r="W7" s="1615">
        <f>メイン!N15/メイン!N20</f>
        <v>0</v>
      </c>
      <c r="X7" s="1615">
        <f>メイン!N16/メイン!N20</f>
        <v>0</v>
      </c>
      <c r="Y7" s="1615">
        <f>メイン!N18/メイン!N20</f>
        <v>0</v>
      </c>
      <c r="Z7" s="1616">
        <f>メイン!N14/メイン!N20</f>
        <v>0</v>
      </c>
      <c r="AA7" s="1615">
        <f>メイン!N19/メイン!N20</f>
        <v>0</v>
      </c>
      <c r="AB7" s="1615">
        <f>W7</f>
        <v>0</v>
      </c>
      <c r="AC7" s="1615">
        <f>X7</f>
        <v>0</v>
      </c>
      <c r="AD7" s="1615">
        <f>Y7</f>
        <v>0</v>
      </c>
      <c r="AE7" s="1614"/>
      <c r="AF7" s="1560"/>
      <c r="AG7" s="1560"/>
      <c r="AH7" s="1560"/>
      <c r="AI7" s="1564"/>
      <c r="AJ7" s="1564"/>
      <c r="AK7" s="1564"/>
      <c r="AL7" s="1564"/>
      <c r="AM7" s="1564"/>
      <c r="AN7" s="1564"/>
      <c r="AO7" s="1564"/>
      <c r="AP7" s="1617"/>
      <c r="AQ7" s="1564"/>
      <c r="AR7" s="1564"/>
      <c r="AS7" s="1564"/>
      <c r="AT7" s="1564"/>
      <c r="AU7" s="1611"/>
      <c r="AV7" s="1559"/>
      <c r="AW7" s="1560"/>
      <c r="AX7" s="1561"/>
      <c r="AY7" s="1564"/>
    </row>
    <row r="8" spans="2:51" ht="16.5">
      <c r="B8" s="1528" t="s">
        <v>743</v>
      </c>
      <c r="C8" s="1529" t="str">
        <f>R8</f>
        <v>すまいの環境品質</v>
      </c>
      <c r="D8" s="1530"/>
      <c r="E8" s="1549"/>
      <c r="F8" s="829"/>
      <c r="G8" s="1549"/>
      <c r="H8" s="1549"/>
      <c r="I8" s="1549">
        <f>G9+G29+G44</f>
        <v>1</v>
      </c>
      <c r="J8" s="1549">
        <f>H9+H29+H44</f>
        <v>0</v>
      </c>
      <c r="K8" s="1549"/>
      <c r="L8" s="1549"/>
      <c r="M8" s="1549"/>
      <c r="N8" s="1549"/>
      <c r="O8" s="1618"/>
      <c r="P8" s="1619" t="str">
        <f t="shared" ref="P8:P18" si="0">IF($P$3=1,AF8,AV8)</f>
        <v>QH</v>
      </c>
      <c r="Q8" s="1565"/>
      <c r="R8" s="1619" t="str">
        <f t="shared" ref="R8:R17" si="1">IF($P$3=1,AH8,AX8)</f>
        <v>すまいの環境品質</v>
      </c>
      <c r="S8" s="1620"/>
      <c r="T8" s="1620"/>
      <c r="U8" s="1620"/>
      <c r="V8" s="1620"/>
      <c r="W8" s="1620">
        <f>1-メイン!I22</f>
        <v>1</v>
      </c>
      <c r="X8" s="1620">
        <f>1-メイン!I23</f>
        <v>1</v>
      </c>
      <c r="Y8" s="1620">
        <f>1-メイン!I24</f>
        <v>1</v>
      </c>
      <c r="Z8" s="1621"/>
      <c r="AA8" s="1620"/>
      <c r="AB8" s="1622">
        <f>メイン!I22</f>
        <v>0</v>
      </c>
      <c r="AC8" s="1623">
        <f>メイン!I23</f>
        <v>0</v>
      </c>
      <c r="AD8" s="1620">
        <f>メイン!I24</f>
        <v>0</v>
      </c>
      <c r="AE8" s="1624"/>
      <c r="AF8" s="1560"/>
      <c r="AG8" s="1560"/>
      <c r="AH8" s="1560"/>
      <c r="AI8" s="1625"/>
      <c r="AJ8" s="1625"/>
      <c r="AK8" s="1625"/>
      <c r="AL8" s="1625"/>
      <c r="AM8" s="1625"/>
      <c r="AN8" s="1625"/>
      <c r="AO8" s="1625"/>
      <c r="AP8" s="1626"/>
      <c r="AQ8" s="1625"/>
      <c r="AR8" s="1625"/>
      <c r="AS8" s="1625"/>
      <c r="AT8" s="1625"/>
      <c r="AU8" s="1611"/>
      <c r="AV8" s="1528" t="s">
        <v>743</v>
      </c>
      <c r="AW8" s="1565"/>
      <c r="AX8" s="1566" t="s">
        <v>744</v>
      </c>
      <c r="AY8" s="1567"/>
    </row>
    <row r="9" spans="2:51">
      <c r="B9" s="1531" t="s">
        <v>745</v>
      </c>
      <c r="C9" s="1532" t="str">
        <f t="shared" ref="C9:C18" si="2">R9</f>
        <v>室内環境を快適・健康・安心にする</v>
      </c>
      <c r="D9" s="1533">
        <f>IF(I$8=0,0,G9/I$8)</f>
        <v>0.45</v>
      </c>
      <c r="E9" s="1533">
        <f>IF(J$8=0,0,H9/J$8)</f>
        <v>0</v>
      </c>
      <c r="F9" s="1627"/>
      <c r="G9" s="1550">
        <f t="shared" ref="G9:G50" si="3">K9*((S$7*S9)+(T$7*T9)+(U$7*U9)+(V$7*V9)+(W$7*W9)+(X$7*X9)+(Y$7*Y9)+(Z$7*Z9)+(AA$7*AA9))</f>
        <v>0.45</v>
      </c>
      <c r="H9" s="1550">
        <f>L9*((AB$7*AB9)+(AC$7*AC9)+(AD$7*AD9))</f>
        <v>0</v>
      </c>
      <c r="I9" s="1550">
        <f>G10+G20+G25+G28</f>
        <v>1</v>
      </c>
      <c r="J9" s="1550">
        <f>H10+H20+H25+H28</f>
        <v>0</v>
      </c>
      <c r="K9" s="1550">
        <f>IF(スコア!Q9=0,0,1)</f>
        <v>1</v>
      </c>
      <c r="L9" s="1550">
        <f>IF(スコア!O9=0,0,1)</f>
        <v>0</v>
      </c>
      <c r="M9" s="1550">
        <f t="shared" ref="M9:M40" si="4">(S$7*S9)+(T$7*T9)+(U$7*U9)+(V$7*V9)+(W$7*W9)+(X$7*X9)+(Y$7*Y9)+(Z$7*Z9)+(AA$7*AA9)</f>
        <v>0.45</v>
      </c>
      <c r="N9" s="1550">
        <f t="shared" ref="N9:N40" si="5">(AB$7*AB9)+(AC$7*AC9)+(AD$7*AD9)</f>
        <v>0</v>
      </c>
      <c r="O9" s="1628"/>
      <c r="P9" s="1629" t="str">
        <f t="shared" si="0"/>
        <v>QH1</v>
      </c>
      <c r="Q9" s="1629" t="str">
        <f t="shared" ref="Q9:Q17" si="6">IF($P$3=1,AG9,AW9)</f>
        <v>1</v>
      </c>
      <c r="R9" s="1629" t="str">
        <f t="shared" si="1"/>
        <v>室内環境を快適・健康・安心にする</v>
      </c>
      <c r="S9" s="1630">
        <f t="shared" ref="S9:S17" si="7">IF($P$3=1,AI9,AY9)</f>
        <v>0.45</v>
      </c>
      <c r="T9" s="1630">
        <f t="shared" ref="T9:T17" si="8">IF($P$3=1,AJ9,AZ9)</f>
        <v>0</v>
      </c>
      <c r="U9" s="1630">
        <f t="shared" ref="U9:U17" si="9">IF($P$3=1,AK9,BA9)</f>
        <v>0</v>
      </c>
      <c r="V9" s="1630">
        <f t="shared" ref="V9:V17" si="10">IF($P$3=1,AL9,BB9)</f>
        <v>0</v>
      </c>
      <c r="W9" s="1630">
        <f t="shared" ref="W9:W17" si="11">IF($P$3=1,AM9,BC9)</f>
        <v>0</v>
      </c>
      <c r="X9" s="1630">
        <f t="shared" ref="X9:X17" si="12">IF($P$3=1,AN9,BD9)</f>
        <v>0</v>
      </c>
      <c r="Y9" s="1630">
        <f t="shared" ref="Y9:Y17" si="13">IF($P$3=1,AO9,BE9)</f>
        <v>0</v>
      </c>
      <c r="Z9" s="1630">
        <f t="shared" ref="Z9:Z17" si="14">IF($P$3=1,AP9,BF9)</f>
        <v>0</v>
      </c>
      <c r="AA9" s="1630">
        <f t="shared" ref="AA9:AA17" si="15">IF($P$3=1,AQ9,BG9)</f>
        <v>0</v>
      </c>
      <c r="AB9" s="1631">
        <f t="shared" ref="AB9:AB17" si="16">IF($P$3=1,AR9,BH9)</f>
        <v>0</v>
      </c>
      <c r="AC9" s="1630">
        <f t="shared" ref="AC9:AC17" si="17">IF($P$3=1,AS9,BI9)</f>
        <v>0</v>
      </c>
      <c r="AD9" s="1630">
        <f t="shared" ref="AD9:AD17" si="18">IF($P$3=1,AT9,BJ9)</f>
        <v>0</v>
      </c>
      <c r="AE9" s="1614"/>
      <c r="AF9" s="1560"/>
      <c r="AG9" s="1560"/>
      <c r="AH9" s="1560"/>
      <c r="AI9" s="1564"/>
      <c r="AJ9" s="1564"/>
      <c r="AK9" s="1564"/>
      <c r="AL9" s="1564"/>
      <c r="AM9" s="1564"/>
      <c r="AN9" s="1564"/>
      <c r="AO9" s="1564"/>
      <c r="AP9" s="1617"/>
      <c r="AQ9" s="1564"/>
      <c r="AR9" s="1564"/>
      <c r="AS9" s="1564"/>
      <c r="AT9" s="1564"/>
      <c r="AU9" s="1611"/>
      <c r="AV9" s="1531" t="s">
        <v>745</v>
      </c>
      <c r="AW9" s="1531" t="s">
        <v>600</v>
      </c>
      <c r="AX9" s="1532" t="s">
        <v>746</v>
      </c>
      <c r="AY9" s="1568">
        <v>0.45</v>
      </c>
    </row>
    <row r="10" spans="2:51">
      <c r="B10" s="1534">
        <f t="shared" ref="B10:B18" si="19">P10</f>
        <v>1</v>
      </c>
      <c r="C10" s="1535" t="str">
        <f t="shared" si="2"/>
        <v>暑さ・寒さ</v>
      </c>
      <c r="D10" s="1536">
        <f>IF(I$9=0,0,G10/I$9)</f>
        <v>0.5</v>
      </c>
      <c r="E10" s="1536">
        <f>IF(J$9=0,0,H10/J$9)</f>
        <v>0</v>
      </c>
      <c r="F10" s="1627"/>
      <c r="G10" s="1544">
        <f>K10*((S$7*S10)+(T$7*T10)+(U$7*U10)+(V$7*V10)+(W$7*W10)+(X$7*X10)+(Y$7*Y10)+(Z$7*Z10)+(AA$7*AA10))</f>
        <v>0.5</v>
      </c>
      <c r="H10" s="1544">
        <f t="shared" ref="H10:H50" si="20">L10*((AB$7*AB10)+(AC$7*AC10)+(AD$7*AD10))</f>
        <v>0</v>
      </c>
      <c r="I10" s="1544">
        <f>G11+G14+G17</f>
        <v>1</v>
      </c>
      <c r="J10" s="1546">
        <f>H11+H14+H17</f>
        <v>0</v>
      </c>
      <c r="K10" s="1544">
        <f>IF(スコア!M10=0,0,1)</f>
        <v>1</v>
      </c>
      <c r="L10" s="1544">
        <f>IF(スコア!O10=0,0,1)</f>
        <v>0</v>
      </c>
      <c r="M10" s="1544">
        <f t="shared" si="4"/>
        <v>0.5</v>
      </c>
      <c r="N10" s="1544">
        <f t="shared" si="5"/>
        <v>0</v>
      </c>
      <c r="O10" s="1628"/>
      <c r="P10" s="1534">
        <f t="shared" si="0"/>
        <v>1</v>
      </c>
      <c r="Q10" s="1534" t="str">
        <f t="shared" si="6"/>
        <v>1.1</v>
      </c>
      <c r="R10" s="1534" t="str">
        <f t="shared" si="1"/>
        <v>暑さ・寒さ</v>
      </c>
      <c r="S10" s="1632">
        <f t="shared" si="7"/>
        <v>0.5</v>
      </c>
      <c r="T10" s="1632">
        <f t="shared" si="8"/>
        <v>0</v>
      </c>
      <c r="U10" s="1632">
        <f t="shared" si="9"/>
        <v>0</v>
      </c>
      <c r="V10" s="1632">
        <f t="shared" si="10"/>
        <v>0</v>
      </c>
      <c r="W10" s="1632">
        <f t="shared" si="11"/>
        <v>0</v>
      </c>
      <c r="X10" s="1632">
        <f t="shared" si="12"/>
        <v>0</v>
      </c>
      <c r="Y10" s="1632">
        <f t="shared" si="13"/>
        <v>0</v>
      </c>
      <c r="Z10" s="1633">
        <f t="shared" si="14"/>
        <v>0</v>
      </c>
      <c r="AA10" s="1632">
        <f t="shared" si="15"/>
        <v>0</v>
      </c>
      <c r="AB10" s="1634">
        <f t="shared" si="16"/>
        <v>0</v>
      </c>
      <c r="AC10" s="1632">
        <f t="shared" si="17"/>
        <v>0</v>
      </c>
      <c r="AD10" s="1632">
        <f t="shared" si="18"/>
        <v>0</v>
      </c>
      <c r="AE10" s="1614"/>
      <c r="AF10" s="1560"/>
      <c r="AG10" s="1560"/>
      <c r="AH10" s="1560"/>
      <c r="AI10" s="1564"/>
      <c r="AJ10" s="1564"/>
      <c r="AK10" s="1564"/>
      <c r="AL10" s="1564"/>
      <c r="AM10" s="1564"/>
      <c r="AN10" s="1564"/>
      <c r="AO10" s="1564"/>
      <c r="AP10" s="1617"/>
      <c r="AQ10" s="1564"/>
      <c r="AR10" s="1564"/>
      <c r="AS10" s="1564"/>
      <c r="AT10" s="1564"/>
      <c r="AU10" s="1611"/>
      <c r="AV10" s="1569">
        <v>1</v>
      </c>
      <c r="AW10" s="1569" t="s">
        <v>601</v>
      </c>
      <c r="AX10" s="1535" t="s">
        <v>552</v>
      </c>
      <c r="AY10" s="1570">
        <v>0.5</v>
      </c>
    </row>
    <row r="11" spans="2:51">
      <c r="B11" s="1537">
        <f t="shared" si="19"/>
        <v>1.1000000000000001</v>
      </c>
      <c r="C11" s="1538" t="str">
        <f t="shared" si="2"/>
        <v>基本性能</v>
      </c>
      <c r="D11" s="1539">
        <f>IF(I$10=0,0,G11/I$10)</f>
        <v>0.5</v>
      </c>
      <c r="E11" s="1539">
        <f>IF(J$10=0,0,H11/J$10)</f>
        <v>0</v>
      </c>
      <c r="F11" s="1602"/>
      <c r="G11" s="1539">
        <f t="shared" si="3"/>
        <v>0.5</v>
      </c>
      <c r="H11" s="1551">
        <f t="shared" si="20"/>
        <v>0</v>
      </c>
      <c r="I11" s="1539">
        <f>SUM(G12:G13)</f>
        <v>1</v>
      </c>
      <c r="J11" s="1546">
        <f>SUM(H12:H13)</f>
        <v>0</v>
      </c>
      <c r="K11" s="1551">
        <f>IF(スコア!M11=0,0,1)</f>
        <v>1</v>
      </c>
      <c r="L11" s="1551">
        <f>IF(スコア!O11=0,0,1)</f>
        <v>0</v>
      </c>
      <c r="M11" s="1551">
        <f t="shared" si="4"/>
        <v>0.5</v>
      </c>
      <c r="N11" s="1551">
        <f t="shared" si="5"/>
        <v>0</v>
      </c>
      <c r="O11" s="1606"/>
      <c r="P11" s="1542">
        <f t="shared" si="0"/>
        <v>1.1000000000000001</v>
      </c>
      <c r="Q11" s="1542" t="str">
        <f t="shared" si="6"/>
        <v>1.1.1</v>
      </c>
      <c r="R11" s="1542" t="str">
        <f t="shared" si="1"/>
        <v>基本性能</v>
      </c>
      <c r="S11" s="1635">
        <f t="shared" si="7"/>
        <v>0.5</v>
      </c>
      <c r="T11" s="1635">
        <f t="shared" si="8"/>
        <v>0</v>
      </c>
      <c r="U11" s="1635">
        <f t="shared" si="9"/>
        <v>0</v>
      </c>
      <c r="V11" s="1635">
        <f t="shared" si="10"/>
        <v>0</v>
      </c>
      <c r="W11" s="1635">
        <f t="shared" si="11"/>
        <v>0</v>
      </c>
      <c r="X11" s="1635">
        <f t="shared" si="12"/>
        <v>0</v>
      </c>
      <c r="Y11" s="1635">
        <f t="shared" si="13"/>
        <v>0</v>
      </c>
      <c r="Z11" s="1635">
        <f t="shared" si="14"/>
        <v>0</v>
      </c>
      <c r="AA11" s="1635">
        <f t="shared" si="15"/>
        <v>0</v>
      </c>
      <c r="AB11" s="1636">
        <f t="shared" si="16"/>
        <v>0</v>
      </c>
      <c r="AC11" s="1635">
        <f t="shared" si="17"/>
        <v>0</v>
      </c>
      <c r="AD11" s="1635">
        <f t="shared" si="18"/>
        <v>0</v>
      </c>
      <c r="AE11" s="1614"/>
      <c r="AF11" s="1560"/>
      <c r="AG11" s="1560"/>
      <c r="AH11" s="1560"/>
      <c r="AI11" s="1564"/>
      <c r="AJ11" s="1564"/>
      <c r="AK11" s="1564"/>
      <c r="AL11" s="1564"/>
      <c r="AM11" s="1564"/>
      <c r="AN11" s="1564"/>
      <c r="AO11" s="1564"/>
      <c r="AP11" s="1617"/>
      <c r="AQ11" s="1564"/>
      <c r="AR11" s="1564"/>
      <c r="AS11" s="1564"/>
      <c r="AT11" s="1564"/>
      <c r="AU11" s="1611"/>
      <c r="AV11" s="1542">
        <v>1.1000000000000001</v>
      </c>
      <c r="AW11" s="1571" t="s">
        <v>544</v>
      </c>
      <c r="AX11" s="1538" t="s">
        <v>553</v>
      </c>
      <c r="AY11" s="1572">
        <v>0.5</v>
      </c>
    </row>
    <row r="12" spans="2:51">
      <c r="B12" s="1537" t="str">
        <f t="shared" si="19"/>
        <v>1.1.1</v>
      </c>
      <c r="C12" s="1538" t="str">
        <f t="shared" si="2"/>
        <v>断熱等性能の確保</v>
      </c>
      <c r="D12" s="1539">
        <f>IF(I$11=0,0,G12/I$11)</f>
        <v>0.8</v>
      </c>
      <c r="E12" s="1539">
        <f>IF(J$11=0,0,H12/J$11)</f>
        <v>0</v>
      </c>
      <c r="F12" s="1602"/>
      <c r="G12" s="1539">
        <f t="shared" si="3"/>
        <v>0.8</v>
      </c>
      <c r="H12" s="1551">
        <f t="shared" si="20"/>
        <v>0</v>
      </c>
      <c r="I12" s="1539"/>
      <c r="J12" s="1546"/>
      <c r="K12" s="1551">
        <f>IF(スコア!M12=0,0,1)</f>
        <v>1</v>
      </c>
      <c r="L12" s="1551">
        <f>IF(スコア!O12=0,0,1)</f>
        <v>0</v>
      </c>
      <c r="M12" s="1551">
        <f t="shared" si="4"/>
        <v>0.8</v>
      </c>
      <c r="N12" s="1551">
        <f t="shared" si="5"/>
        <v>0</v>
      </c>
      <c r="O12" s="1606"/>
      <c r="P12" s="1542" t="str">
        <f t="shared" si="0"/>
        <v>1.1.1</v>
      </c>
      <c r="Q12" s="1542" t="str">
        <f t="shared" si="6"/>
        <v>1.1.1.1</v>
      </c>
      <c r="R12" s="1542" t="str">
        <f t="shared" si="1"/>
        <v>断熱等性能の確保</v>
      </c>
      <c r="S12" s="1635">
        <f t="shared" si="7"/>
        <v>0.8</v>
      </c>
      <c r="T12" s="1635">
        <f t="shared" si="8"/>
        <v>0</v>
      </c>
      <c r="U12" s="1635">
        <f t="shared" si="9"/>
        <v>0</v>
      </c>
      <c r="V12" s="1635">
        <f t="shared" si="10"/>
        <v>0</v>
      </c>
      <c r="W12" s="1635">
        <f t="shared" si="11"/>
        <v>0</v>
      </c>
      <c r="X12" s="1635">
        <f t="shared" si="12"/>
        <v>0</v>
      </c>
      <c r="Y12" s="1635">
        <f t="shared" si="13"/>
        <v>0</v>
      </c>
      <c r="Z12" s="1635">
        <f t="shared" si="14"/>
        <v>0</v>
      </c>
      <c r="AA12" s="1635">
        <f t="shared" si="15"/>
        <v>0</v>
      </c>
      <c r="AB12" s="1636">
        <f t="shared" si="16"/>
        <v>0</v>
      </c>
      <c r="AC12" s="1635">
        <f t="shared" si="17"/>
        <v>0</v>
      </c>
      <c r="AD12" s="1635">
        <f t="shared" si="18"/>
        <v>0</v>
      </c>
      <c r="AE12" s="1614"/>
      <c r="AF12" s="1560"/>
      <c r="AG12" s="1560"/>
      <c r="AH12" s="1560"/>
      <c r="AI12" s="1564"/>
      <c r="AJ12" s="1564"/>
      <c r="AK12" s="1564"/>
      <c r="AL12" s="1564"/>
      <c r="AM12" s="1564"/>
      <c r="AN12" s="1564"/>
      <c r="AO12" s="1564"/>
      <c r="AP12" s="1617"/>
      <c r="AQ12" s="1564"/>
      <c r="AR12" s="1564"/>
      <c r="AS12" s="1564"/>
      <c r="AT12" s="1564"/>
      <c r="AU12" s="1611"/>
      <c r="AV12" s="1542" t="s">
        <v>544</v>
      </c>
      <c r="AW12" s="1571" t="s">
        <v>602</v>
      </c>
      <c r="AX12" s="1538" t="s">
        <v>1084</v>
      </c>
      <c r="AY12" s="1572">
        <v>0.8</v>
      </c>
    </row>
    <row r="13" spans="2:51">
      <c r="B13" s="1537" t="str">
        <f t="shared" si="19"/>
        <v>1.1.2</v>
      </c>
      <c r="C13" s="1538" t="str">
        <f t="shared" si="2"/>
        <v>日射の調整機能</v>
      </c>
      <c r="D13" s="1539">
        <f>IF(I$11=0,0,G13/I$11)</f>
        <v>0.2</v>
      </c>
      <c r="E13" s="1539">
        <f>IF(J$11=0,0,H13/J$11)</f>
        <v>0</v>
      </c>
      <c r="F13" s="1602"/>
      <c r="G13" s="1539">
        <f t="shared" si="3"/>
        <v>0.2</v>
      </c>
      <c r="H13" s="1551">
        <f t="shared" si="20"/>
        <v>0</v>
      </c>
      <c r="I13" s="1539"/>
      <c r="J13" s="1546"/>
      <c r="K13" s="1551">
        <f>IF(スコア!M13=0,0,1)</f>
        <v>1</v>
      </c>
      <c r="L13" s="1551">
        <f>IF(スコア!O13=0,0,1)</f>
        <v>0</v>
      </c>
      <c r="M13" s="1551">
        <f t="shared" si="4"/>
        <v>0.2</v>
      </c>
      <c r="N13" s="1551">
        <f t="shared" si="5"/>
        <v>0</v>
      </c>
      <c r="O13" s="1606"/>
      <c r="P13" s="1542" t="str">
        <f t="shared" si="0"/>
        <v>1.1.2</v>
      </c>
      <c r="Q13" s="1542" t="str">
        <f t="shared" si="6"/>
        <v>1.1.1.1</v>
      </c>
      <c r="R13" s="1542" t="str">
        <f t="shared" si="1"/>
        <v>日射の調整機能</v>
      </c>
      <c r="S13" s="1635">
        <f t="shared" si="7"/>
        <v>0.2</v>
      </c>
      <c r="T13" s="1635">
        <f t="shared" si="8"/>
        <v>0</v>
      </c>
      <c r="U13" s="1635">
        <f t="shared" si="9"/>
        <v>0</v>
      </c>
      <c r="V13" s="1635">
        <f t="shared" si="10"/>
        <v>0</v>
      </c>
      <c r="W13" s="1635">
        <f t="shared" si="11"/>
        <v>0</v>
      </c>
      <c r="X13" s="1635">
        <f t="shared" si="12"/>
        <v>0</v>
      </c>
      <c r="Y13" s="1635">
        <f t="shared" si="13"/>
        <v>0</v>
      </c>
      <c r="Z13" s="1635">
        <f t="shared" si="14"/>
        <v>0</v>
      </c>
      <c r="AA13" s="1635">
        <f t="shared" si="15"/>
        <v>0</v>
      </c>
      <c r="AB13" s="1636">
        <f t="shared" si="16"/>
        <v>0</v>
      </c>
      <c r="AC13" s="1635">
        <f t="shared" si="17"/>
        <v>0</v>
      </c>
      <c r="AD13" s="1635">
        <f t="shared" si="18"/>
        <v>0</v>
      </c>
      <c r="AE13" s="1614"/>
      <c r="AF13" s="1560"/>
      <c r="AG13" s="1560"/>
      <c r="AH13" s="1560"/>
      <c r="AI13" s="1564"/>
      <c r="AJ13" s="1564"/>
      <c r="AK13" s="1564"/>
      <c r="AL13" s="1564"/>
      <c r="AM13" s="1564"/>
      <c r="AN13" s="1564"/>
      <c r="AO13" s="1564"/>
      <c r="AP13" s="1617"/>
      <c r="AQ13" s="1564"/>
      <c r="AR13" s="1564"/>
      <c r="AS13" s="1564"/>
      <c r="AT13" s="1564"/>
      <c r="AU13" s="1611"/>
      <c r="AV13" s="1542" t="s">
        <v>545</v>
      </c>
      <c r="AW13" s="1571" t="s">
        <v>602</v>
      </c>
      <c r="AX13" s="1538" t="s">
        <v>554</v>
      </c>
      <c r="AY13" s="1572">
        <v>0.2</v>
      </c>
    </row>
    <row r="14" spans="2:51">
      <c r="B14" s="1540">
        <f t="shared" si="19"/>
        <v>1.2</v>
      </c>
      <c r="C14" s="1541" t="str">
        <f t="shared" si="2"/>
        <v>夏の暑さを防ぐ</v>
      </c>
      <c r="D14" s="1539">
        <f>IF(I$10=0,0,G14/I$10)</f>
        <v>0.25</v>
      </c>
      <c r="E14" s="1539">
        <f>IF(J$10=0,0,H14/J$10)</f>
        <v>0</v>
      </c>
      <c r="F14" s="1602"/>
      <c r="G14" s="1539">
        <f t="shared" si="3"/>
        <v>0.25</v>
      </c>
      <c r="H14" s="1551">
        <f t="shared" si="20"/>
        <v>0</v>
      </c>
      <c r="I14" s="1539">
        <f>SUM(G15:G16)</f>
        <v>1</v>
      </c>
      <c r="J14" s="1546">
        <f>SUM(H15:H16)</f>
        <v>0</v>
      </c>
      <c r="K14" s="1551">
        <f>IF(スコア!M14=0,0,1)</f>
        <v>1</v>
      </c>
      <c r="L14" s="1551">
        <f>IF(スコア!O14=0,0,1)</f>
        <v>0</v>
      </c>
      <c r="M14" s="1551">
        <f t="shared" si="4"/>
        <v>0.25</v>
      </c>
      <c r="N14" s="1551">
        <f t="shared" si="5"/>
        <v>0</v>
      </c>
      <c r="O14" s="1606"/>
      <c r="P14" s="1542">
        <f t="shared" si="0"/>
        <v>1.2</v>
      </c>
      <c r="Q14" s="1542" t="str">
        <f t="shared" si="6"/>
        <v>1.1.1</v>
      </c>
      <c r="R14" s="1542" t="str">
        <f t="shared" si="1"/>
        <v>夏の暑さを防ぐ</v>
      </c>
      <c r="S14" s="1635">
        <f t="shared" si="7"/>
        <v>0.25</v>
      </c>
      <c r="T14" s="1635">
        <f t="shared" si="8"/>
        <v>0</v>
      </c>
      <c r="U14" s="1635">
        <f t="shared" si="9"/>
        <v>0</v>
      </c>
      <c r="V14" s="1635">
        <f t="shared" si="10"/>
        <v>0</v>
      </c>
      <c r="W14" s="1635">
        <f t="shared" si="11"/>
        <v>0</v>
      </c>
      <c r="X14" s="1635">
        <f t="shared" si="12"/>
        <v>0</v>
      </c>
      <c r="Y14" s="1635">
        <f t="shared" si="13"/>
        <v>0</v>
      </c>
      <c r="Z14" s="1635">
        <f t="shared" si="14"/>
        <v>0</v>
      </c>
      <c r="AA14" s="1635">
        <f t="shared" si="15"/>
        <v>0</v>
      </c>
      <c r="AB14" s="1636">
        <f t="shared" si="16"/>
        <v>0</v>
      </c>
      <c r="AC14" s="1635">
        <f t="shared" si="17"/>
        <v>0</v>
      </c>
      <c r="AD14" s="1635">
        <f t="shared" si="18"/>
        <v>0</v>
      </c>
      <c r="AE14" s="1614"/>
      <c r="AF14" s="1560"/>
      <c r="AG14" s="1560"/>
      <c r="AH14" s="1560"/>
      <c r="AI14" s="1564"/>
      <c r="AJ14" s="1564"/>
      <c r="AK14" s="1564"/>
      <c r="AL14" s="1564"/>
      <c r="AM14" s="1564"/>
      <c r="AN14" s="1564"/>
      <c r="AO14" s="1564"/>
      <c r="AP14" s="1617"/>
      <c r="AQ14" s="1564"/>
      <c r="AR14" s="1564"/>
      <c r="AS14" s="1564"/>
      <c r="AT14" s="1564"/>
      <c r="AU14" s="1611"/>
      <c r="AV14" s="1542">
        <v>1.2</v>
      </c>
      <c r="AW14" s="1571" t="s">
        <v>544</v>
      </c>
      <c r="AX14" s="1573" t="s">
        <v>555</v>
      </c>
      <c r="AY14" s="1572">
        <v>0.25</v>
      </c>
    </row>
    <row r="15" spans="2:51">
      <c r="B15" s="1540" t="str">
        <f t="shared" si="19"/>
        <v>1.2.1</v>
      </c>
      <c r="C15" s="1541" t="str">
        <f t="shared" si="2"/>
        <v>風を取り込み、熱気を逃がす</v>
      </c>
      <c r="D15" s="1539">
        <f>IF(I$14=0,0,G15/I$14)</f>
        <v>0.5</v>
      </c>
      <c r="E15" s="1539">
        <f>IF(J$14=0,0,H15/J$14)</f>
        <v>0</v>
      </c>
      <c r="F15" s="1602"/>
      <c r="G15" s="1539">
        <f t="shared" si="3"/>
        <v>0.5</v>
      </c>
      <c r="H15" s="1551">
        <f t="shared" si="20"/>
        <v>0</v>
      </c>
      <c r="I15" s="1539"/>
      <c r="J15" s="1546"/>
      <c r="K15" s="1551">
        <f>IF(スコア!M15=0,0,1)</f>
        <v>1</v>
      </c>
      <c r="L15" s="1551">
        <f>IF(スコア!O15=0,0,1)</f>
        <v>0</v>
      </c>
      <c r="M15" s="1551">
        <f t="shared" si="4"/>
        <v>0.5</v>
      </c>
      <c r="N15" s="1551">
        <f t="shared" si="5"/>
        <v>0</v>
      </c>
      <c r="O15" s="1606"/>
      <c r="P15" s="1542" t="str">
        <f t="shared" si="0"/>
        <v>1.2.1</v>
      </c>
      <c r="Q15" s="1542" t="str">
        <f t="shared" si="6"/>
        <v>1.1.1.2</v>
      </c>
      <c r="R15" s="1542" t="str">
        <f t="shared" si="1"/>
        <v>風を取り込み、熱気を逃がす</v>
      </c>
      <c r="S15" s="1635">
        <f t="shared" si="7"/>
        <v>0.5</v>
      </c>
      <c r="T15" s="1635">
        <f t="shared" si="8"/>
        <v>0</v>
      </c>
      <c r="U15" s="1635">
        <f t="shared" si="9"/>
        <v>0</v>
      </c>
      <c r="V15" s="1635">
        <f t="shared" si="10"/>
        <v>0</v>
      </c>
      <c r="W15" s="1635">
        <f t="shared" si="11"/>
        <v>0</v>
      </c>
      <c r="X15" s="1635">
        <f t="shared" si="12"/>
        <v>0</v>
      </c>
      <c r="Y15" s="1635">
        <f t="shared" si="13"/>
        <v>0</v>
      </c>
      <c r="Z15" s="1637">
        <f t="shared" si="14"/>
        <v>0</v>
      </c>
      <c r="AA15" s="1635">
        <f t="shared" si="15"/>
        <v>0</v>
      </c>
      <c r="AB15" s="1636">
        <f t="shared" si="16"/>
        <v>0</v>
      </c>
      <c r="AC15" s="1635">
        <f t="shared" si="17"/>
        <v>0</v>
      </c>
      <c r="AD15" s="1635">
        <f t="shared" si="18"/>
        <v>0</v>
      </c>
      <c r="AE15" s="1614"/>
      <c r="AF15" s="1560"/>
      <c r="AG15" s="1560"/>
      <c r="AH15" s="1560"/>
      <c r="AI15" s="1564"/>
      <c r="AJ15" s="1564"/>
      <c r="AK15" s="1564"/>
      <c r="AL15" s="1564"/>
      <c r="AM15" s="1564"/>
      <c r="AN15" s="1564"/>
      <c r="AO15" s="1564"/>
      <c r="AP15" s="1617"/>
      <c r="AQ15" s="1564"/>
      <c r="AR15" s="1564"/>
      <c r="AS15" s="1564"/>
      <c r="AT15" s="1564"/>
      <c r="AU15" s="1611"/>
      <c r="AV15" s="1542" t="s">
        <v>603</v>
      </c>
      <c r="AW15" s="1571" t="s">
        <v>604</v>
      </c>
      <c r="AX15" s="1573" t="s">
        <v>556</v>
      </c>
      <c r="AY15" s="1572">
        <v>0.5</v>
      </c>
    </row>
    <row r="16" spans="2:51">
      <c r="B16" s="1540" t="str">
        <f t="shared" si="19"/>
        <v>1.2.2</v>
      </c>
      <c r="C16" s="1541" t="str">
        <f t="shared" si="2"/>
        <v>適切な冷房計画</v>
      </c>
      <c r="D16" s="1539">
        <f>IF(I$14=0,0,G16/I$14)</f>
        <v>0.5</v>
      </c>
      <c r="E16" s="1539">
        <f>IF(J$14=0,0,H16/J$14)</f>
        <v>0</v>
      </c>
      <c r="F16" s="1602"/>
      <c r="G16" s="1539">
        <f t="shared" si="3"/>
        <v>0.5</v>
      </c>
      <c r="H16" s="1551">
        <f t="shared" si="20"/>
        <v>0</v>
      </c>
      <c r="I16" s="1539"/>
      <c r="J16" s="1551"/>
      <c r="K16" s="1551">
        <f>IF(スコア!M16=0,0,1)</f>
        <v>1</v>
      </c>
      <c r="L16" s="1551">
        <f>IF(スコア!O16=0,0,1)</f>
        <v>0</v>
      </c>
      <c r="M16" s="1551">
        <f t="shared" si="4"/>
        <v>0.5</v>
      </c>
      <c r="N16" s="1551">
        <f t="shared" si="5"/>
        <v>0</v>
      </c>
      <c r="O16" s="1606"/>
      <c r="P16" s="1542" t="str">
        <f t="shared" si="0"/>
        <v>1.2.2</v>
      </c>
      <c r="Q16" s="1542" t="str">
        <f t="shared" si="6"/>
        <v>1.1.1.2</v>
      </c>
      <c r="R16" s="1542" t="str">
        <f t="shared" si="1"/>
        <v>適切な冷房計画</v>
      </c>
      <c r="S16" s="1635">
        <f t="shared" si="7"/>
        <v>0.5</v>
      </c>
      <c r="T16" s="1635">
        <f t="shared" si="8"/>
        <v>0</v>
      </c>
      <c r="U16" s="1635">
        <f t="shared" si="9"/>
        <v>0</v>
      </c>
      <c r="V16" s="1635">
        <f t="shared" si="10"/>
        <v>0</v>
      </c>
      <c r="W16" s="1635">
        <f t="shared" si="11"/>
        <v>0</v>
      </c>
      <c r="X16" s="1635">
        <f t="shared" si="12"/>
        <v>0</v>
      </c>
      <c r="Y16" s="1635">
        <f t="shared" si="13"/>
        <v>0</v>
      </c>
      <c r="Z16" s="1637">
        <f t="shared" si="14"/>
        <v>0</v>
      </c>
      <c r="AA16" s="1635">
        <f t="shared" si="15"/>
        <v>0</v>
      </c>
      <c r="AB16" s="1636">
        <f t="shared" si="16"/>
        <v>0</v>
      </c>
      <c r="AC16" s="1635">
        <f t="shared" si="17"/>
        <v>0</v>
      </c>
      <c r="AD16" s="1635">
        <f t="shared" si="18"/>
        <v>0</v>
      </c>
      <c r="AE16" s="1614"/>
      <c r="AF16" s="1560"/>
      <c r="AG16" s="1560"/>
      <c r="AH16" s="1560"/>
      <c r="AI16" s="1564"/>
      <c r="AJ16" s="1564"/>
      <c r="AK16" s="1564"/>
      <c r="AL16" s="1564"/>
      <c r="AM16" s="1564"/>
      <c r="AN16" s="1564"/>
      <c r="AO16" s="1564"/>
      <c r="AP16" s="1617"/>
      <c r="AQ16" s="1564"/>
      <c r="AR16" s="1564"/>
      <c r="AS16" s="1564"/>
      <c r="AT16" s="1564"/>
      <c r="AU16" s="1611"/>
      <c r="AV16" s="1542" t="s">
        <v>605</v>
      </c>
      <c r="AW16" s="1571" t="s">
        <v>604</v>
      </c>
      <c r="AX16" s="1573" t="s">
        <v>557</v>
      </c>
      <c r="AY16" s="1572">
        <v>0.5</v>
      </c>
    </row>
    <row r="17" spans="2:51">
      <c r="B17" s="1540">
        <f t="shared" si="19"/>
        <v>1.3</v>
      </c>
      <c r="C17" s="1541" t="str">
        <f t="shared" si="2"/>
        <v>冬の寒さを防ぐ</v>
      </c>
      <c r="D17" s="1539">
        <f>IF(I$10=0,0,G17/I$10)</f>
        <v>0.25</v>
      </c>
      <c r="E17" s="1539">
        <f>IF(J$10=0,0,H17/J$10)</f>
        <v>0</v>
      </c>
      <c r="F17" s="1602"/>
      <c r="G17" s="1539">
        <f t="shared" si="3"/>
        <v>0.25</v>
      </c>
      <c r="H17" s="1551">
        <f t="shared" si="20"/>
        <v>0</v>
      </c>
      <c r="I17" s="1539">
        <f>G18</f>
        <v>1</v>
      </c>
      <c r="J17" s="1546">
        <f>H18</f>
        <v>0</v>
      </c>
      <c r="K17" s="1551">
        <f>IF(スコア!M17=0,0,1)</f>
        <v>1</v>
      </c>
      <c r="L17" s="1551">
        <f>IF(スコア!O17=0,0,1)</f>
        <v>0</v>
      </c>
      <c r="M17" s="1551">
        <f t="shared" si="4"/>
        <v>0.25</v>
      </c>
      <c r="N17" s="1551">
        <f t="shared" si="5"/>
        <v>0</v>
      </c>
      <c r="O17" s="1606"/>
      <c r="P17" s="1542">
        <f t="shared" si="0"/>
        <v>1.3</v>
      </c>
      <c r="Q17" s="1542" t="str">
        <f t="shared" si="6"/>
        <v>1.1.1</v>
      </c>
      <c r="R17" s="1542" t="str">
        <f t="shared" si="1"/>
        <v>冬の寒さを防ぐ</v>
      </c>
      <c r="S17" s="1635">
        <f t="shared" si="7"/>
        <v>0.25</v>
      </c>
      <c r="T17" s="1635">
        <f t="shared" si="8"/>
        <v>0</v>
      </c>
      <c r="U17" s="1635">
        <f t="shared" si="9"/>
        <v>0</v>
      </c>
      <c r="V17" s="1635">
        <f t="shared" si="10"/>
        <v>0</v>
      </c>
      <c r="W17" s="1635">
        <f t="shared" si="11"/>
        <v>0</v>
      </c>
      <c r="X17" s="1635">
        <f t="shared" si="12"/>
        <v>0</v>
      </c>
      <c r="Y17" s="1635">
        <f t="shared" si="13"/>
        <v>0</v>
      </c>
      <c r="Z17" s="1637">
        <f t="shared" si="14"/>
        <v>0</v>
      </c>
      <c r="AA17" s="1635">
        <f t="shared" si="15"/>
        <v>0</v>
      </c>
      <c r="AB17" s="1636">
        <f t="shared" si="16"/>
        <v>0</v>
      </c>
      <c r="AC17" s="1635">
        <f t="shared" si="17"/>
        <v>0</v>
      </c>
      <c r="AD17" s="1635">
        <f t="shared" si="18"/>
        <v>0</v>
      </c>
      <c r="AE17" s="1614"/>
      <c r="AF17" s="1560"/>
      <c r="AG17" s="1560"/>
      <c r="AH17" s="1560"/>
      <c r="AI17" s="1564"/>
      <c r="AJ17" s="1564"/>
      <c r="AK17" s="1564"/>
      <c r="AL17" s="1564"/>
      <c r="AM17" s="1564"/>
      <c r="AN17" s="1564"/>
      <c r="AO17" s="1564"/>
      <c r="AP17" s="1617"/>
      <c r="AQ17" s="1564"/>
      <c r="AR17" s="1564"/>
      <c r="AS17" s="1564"/>
      <c r="AT17" s="1564"/>
      <c r="AU17" s="1611"/>
      <c r="AV17" s="1542">
        <v>1.3</v>
      </c>
      <c r="AW17" s="1571" t="s">
        <v>544</v>
      </c>
      <c r="AX17" s="1573" t="s">
        <v>558</v>
      </c>
      <c r="AY17" s="1572">
        <v>0.25</v>
      </c>
    </row>
    <row r="18" spans="2:51">
      <c r="B18" s="1540" t="str">
        <f t="shared" si="19"/>
        <v>1.3.1</v>
      </c>
      <c r="C18" s="1541" t="str">
        <f t="shared" si="2"/>
        <v>適切な暖房計画</v>
      </c>
      <c r="D18" s="1539">
        <f>IF(I$17=0,0,G18/I$17)</f>
        <v>1</v>
      </c>
      <c r="E18" s="1539">
        <f>IF(J$17=0,0,H18/J$17)</f>
        <v>0</v>
      </c>
      <c r="F18" s="1602"/>
      <c r="G18" s="1539">
        <f t="shared" si="3"/>
        <v>1</v>
      </c>
      <c r="H18" s="1551">
        <f t="shared" si="20"/>
        <v>0</v>
      </c>
      <c r="I18" s="1539"/>
      <c r="J18" s="1551"/>
      <c r="K18" s="1551">
        <f>IF(スコア!M18=0,0,1)</f>
        <v>1</v>
      </c>
      <c r="L18" s="1551">
        <f>IF(スコア!O18=0,0,1)</f>
        <v>0</v>
      </c>
      <c r="M18" s="1551">
        <f t="shared" si="4"/>
        <v>1</v>
      </c>
      <c r="N18" s="1551">
        <f t="shared" si="5"/>
        <v>0</v>
      </c>
      <c r="O18" s="1606"/>
      <c r="P18" s="1542" t="str">
        <f t="shared" si="0"/>
        <v>1.3.1</v>
      </c>
      <c r="Q18" s="1542" t="str">
        <f>IF($P$3=1,AG18,AW18)</f>
        <v>1.1.1.3</v>
      </c>
      <c r="R18" s="1542" t="str">
        <f>IF($P$3=1,AH18,AX18)</f>
        <v>適切な暖房計画</v>
      </c>
      <c r="S18" s="1635">
        <f>IF($P$3=1,AI18,AY18)</f>
        <v>1</v>
      </c>
      <c r="T18" s="1635"/>
      <c r="U18" s="1635"/>
      <c r="V18" s="1635"/>
      <c r="W18" s="1635"/>
      <c r="X18" s="1635"/>
      <c r="Y18" s="1635"/>
      <c r="Z18" s="1637"/>
      <c r="AA18" s="1635"/>
      <c r="AB18" s="1636"/>
      <c r="AC18" s="1635"/>
      <c r="AD18" s="1635"/>
      <c r="AE18" s="1614"/>
      <c r="AF18" s="1560"/>
      <c r="AG18" s="1560"/>
      <c r="AH18" s="1560"/>
      <c r="AI18" s="1564"/>
      <c r="AJ18" s="1564"/>
      <c r="AK18" s="1564"/>
      <c r="AL18" s="1564"/>
      <c r="AM18" s="1564"/>
      <c r="AN18" s="1564"/>
      <c r="AO18" s="1564"/>
      <c r="AP18" s="1617"/>
      <c r="AQ18" s="1564"/>
      <c r="AR18" s="1564"/>
      <c r="AS18" s="1564"/>
      <c r="AT18" s="1564"/>
      <c r="AU18" s="1611"/>
      <c r="AV18" s="1542" t="s">
        <v>606</v>
      </c>
      <c r="AW18" s="1571" t="s">
        <v>56</v>
      </c>
      <c r="AX18" s="1573" t="s">
        <v>559</v>
      </c>
      <c r="AY18" s="1572">
        <v>1</v>
      </c>
    </row>
    <row r="19" spans="2:51" hidden="1">
      <c r="B19" s="1540">
        <f>P19</f>
        <v>0</v>
      </c>
      <c r="C19" s="1541">
        <f>R19</f>
        <v>0</v>
      </c>
      <c r="D19" s="1539"/>
      <c r="E19" s="1539"/>
      <c r="F19" s="1602"/>
      <c r="G19" s="1539">
        <f t="shared" si="3"/>
        <v>0</v>
      </c>
      <c r="H19" s="1551">
        <f t="shared" si="20"/>
        <v>0</v>
      </c>
      <c r="I19" s="1539"/>
      <c r="J19" s="1551"/>
      <c r="K19" s="1551">
        <f>IF(スコア!M19=0,0,1)</f>
        <v>0</v>
      </c>
      <c r="L19" s="1551">
        <f>IF(スコア!O19=0,0,1)</f>
        <v>0</v>
      </c>
      <c r="M19" s="1551">
        <f t="shared" si="4"/>
        <v>0</v>
      </c>
      <c r="N19" s="1551">
        <f t="shared" si="5"/>
        <v>0</v>
      </c>
      <c r="O19" s="1606"/>
      <c r="P19" s="1542"/>
      <c r="Q19" s="1542"/>
      <c r="R19" s="1542"/>
      <c r="S19" s="1635">
        <f t="shared" ref="S19:S39" si="21">IF($P$3=1,AI19,AY19)</f>
        <v>0</v>
      </c>
      <c r="T19" s="1635"/>
      <c r="U19" s="1635"/>
      <c r="V19" s="1635"/>
      <c r="W19" s="1635"/>
      <c r="X19" s="1635"/>
      <c r="Y19" s="1635"/>
      <c r="Z19" s="1637"/>
      <c r="AA19" s="1635"/>
      <c r="AB19" s="1636"/>
      <c r="AC19" s="1635"/>
      <c r="AD19" s="1635"/>
      <c r="AE19" s="1614"/>
      <c r="AF19" s="1560"/>
      <c r="AG19" s="1560"/>
      <c r="AH19" s="1560"/>
      <c r="AI19" s="1564"/>
      <c r="AJ19" s="1564"/>
      <c r="AK19" s="1564"/>
      <c r="AL19" s="1564"/>
      <c r="AM19" s="1564"/>
      <c r="AN19" s="1564"/>
      <c r="AO19" s="1564"/>
      <c r="AP19" s="1617"/>
      <c r="AQ19" s="1564"/>
      <c r="AR19" s="1564"/>
      <c r="AS19" s="1564"/>
      <c r="AT19" s="1564"/>
      <c r="AU19" s="1611"/>
      <c r="AV19" s="1542" t="s">
        <v>498</v>
      </c>
      <c r="AW19" s="1571"/>
      <c r="AX19" s="1573" t="s">
        <v>109</v>
      </c>
      <c r="AY19" s="1572">
        <v>0</v>
      </c>
    </row>
    <row r="20" spans="2:51">
      <c r="B20" s="1534">
        <f t="shared" ref="B20:B50" si="22">P20</f>
        <v>2</v>
      </c>
      <c r="C20" s="1535" t="str">
        <f t="shared" ref="C20:C35" si="23">R20</f>
        <v>健康と安全・安心</v>
      </c>
      <c r="D20" s="1536">
        <f>IF(I$9=0,0,G20/I$9)</f>
        <v>0.3</v>
      </c>
      <c r="E20" s="1536">
        <f>IF(J$9=0,0,H20/J$9)</f>
        <v>0</v>
      </c>
      <c r="F20" s="1602"/>
      <c r="G20" s="1544">
        <f>K20*((S$7*S20)+(T$7*T20)+(U$7*U20)+(V$7*V20)+(W$7*W20)+(X$7*X20)+(Y$7*Y20)+(Z$7*Z20)+(AA$7*AA20))</f>
        <v>0.3</v>
      </c>
      <c r="H20" s="1544">
        <f t="shared" si="20"/>
        <v>0</v>
      </c>
      <c r="I20" s="1544">
        <f>G21+G22+G23+G24</f>
        <v>1</v>
      </c>
      <c r="J20" s="1544">
        <f>H21+H22+H23</f>
        <v>0</v>
      </c>
      <c r="K20" s="1544">
        <f>IF(スコア!M20=0,0,1)</f>
        <v>1</v>
      </c>
      <c r="L20" s="1544">
        <f>IF(スコア!N20=0,0,1)</f>
        <v>1</v>
      </c>
      <c r="M20" s="1544">
        <f t="shared" si="4"/>
        <v>0.3</v>
      </c>
      <c r="N20" s="1544">
        <f t="shared" si="5"/>
        <v>0</v>
      </c>
      <c r="O20" s="1606"/>
      <c r="P20" s="1534">
        <f t="shared" ref="P20:P32" si="24">IF($P$3=1,AF20,AV20)</f>
        <v>2</v>
      </c>
      <c r="Q20" s="1542" t="str">
        <f t="shared" ref="Q20:Q32" si="25">IF($P$3=1,AG20,AW20)</f>
        <v>1.1</v>
      </c>
      <c r="R20" s="1534" t="str">
        <f t="shared" ref="R20:R32" si="26">IF($P$3=1,AH20,AX20)</f>
        <v>健康と安全・安心</v>
      </c>
      <c r="S20" s="1632">
        <f t="shared" si="21"/>
        <v>0.3</v>
      </c>
      <c r="T20" s="1632">
        <f t="shared" ref="T20:AD28" si="27">IF($P$3=1,AJ20,AZ20)</f>
        <v>0</v>
      </c>
      <c r="U20" s="1632">
        <f t="shared" si="27"/>
        <v>0</v>
      </c>
      <c r="V20" s="1632">
        <f t="shared" si="27"/>
        <v>0</v>
      </c>
      <c r="W20" s="1632">
        <f t="shared" si="27"/>
        <v>0</v>
      </c>
      <c r="X20" s="1632">
        <f t="shared" si="27"/>
        <v>0</v>
      </c>
      <c r="Y20" s="1632">
        <f t="shared" si="27"/>
        <v>0</v>
      </c>
      <c r="Z20" s="1638">
        <f t="shared" si="27"/>
        <v>0</v>
      </c>
      <c r="AA20" s="1632">
        <f t="shared" si="27"/>
        <v>0</v>
      </c>
      <c r="AB20" s="1634">
        <f t="shared" si="27"/>
        <v>0</v>
      </c>
      <c r="AC20" s="1632">
        <f t="shared" si="27"/>
        <v>0</v>
      </c>
      <c r="AD20" s="1632">
        <f t="shared" si="27"/>
        <v>0</v>
      </c>
      <c r="AE20" s="1614"/>
      <c r="AF20" s="1560"/>
      <c r="AG20" s="1560"/>
      <c r="AH20" s="1560"/>
      <c r="AI20" s="1564"/>
      <c r="AJ20" s="1564"/>
      <c r="AK20" s="1564"/>
      <c r="AL20" s="1564"/>
      <c r="AM20" s="1564"/>
      <c r="AN20" s="1564"/>
      <c r="AO20" s="1564"/>
      <c r="AP20" s="1617"/>
      <c r="AQ20" s="1564"/>
      <c r="AR20" s="1564"/>
      <c r="AS20" s="1564"/>
      <c r="AT20" s="1564"/>
      <c r="AU20" s="1611"/>
      <c r="AV20" s="1569">
        <v>2</v>
      </c>
      <c r="AW20" s="1569" t="s">
        <v>601</v>
      </c>
      <c r="AX20" s="1574" t="s">
        <v>560</v>
      </c>
      <c r="AY20" s="1572">
        <v>0.3</v>
      </c>
    </row>
    <row r="21" spans="2:51">
      <c r="B21" s="1542">
        <f t="shared" si="22"/>
        <v>2.1</v>
      </c>
      <c r="C21" s="1542" t="str">
        <f t="shared" si="23"/>
        <v>化学汚染物質の対策</v>
      </c>
      <c r="D21" s="1539">
        <f t="shared" ref="D21:E23" si="28">IF(I$20=0,0,G21/I$20)</f>
        <v>0.25</v>
      </c>
      <c r="E21" s="1539">
        <f t="shared" si="28"/>
        <v>0</v>
      </c>
      <c r="F21" s="1602"/>
      <c r="G21" s="1551">
        <f t="shared" si="3"/>
        <v>0.25</v>
      </c>
      <c r="H21" s="1551">
        <f t="shared" si="20"/>
        <v>0</v>
      </c>
      <c r="I21" s="1551"/>
      <c r="J21" s="1551"/>
      <c r="K21" s="1551">
        <f>IF(スコア!M21=0,0,1)</f>
        <v>1</v>
      </c>
      <c r="L21" s="1551">
        <f>IF(スコア!N21=0,0,1)</f>
        <v>1</v>
      </c>
      <c r="M21" s="1551">
        <f t="shared" si="4"/>
        <v>0.25</v>
      </c>
      <c r="N21" s="1551">
        <f t="shared" si="5"/>
        <v>0</v>
      </c>
      <c r="O21" s="1606"/>
      <c r="P21" s="1542">
        <f t="shared" si="24"/>
        <v>2.1</v>
      </c>
      <c r="Q21" s="1542" t="str">
        <f t="shared" si="25"/>
        <v>1.1.2</v>
      </c>
      <c r="R21" s="1542" t="str">
        <f t="shared" si="26"/>
        <v>化学汚染物質の対策</v>
      </c>
      <c r="S21" s="1635">
        <f t="shared" si="21"/>
        <v>0.25</v>
      </c>
      <c r="T21" s="1635">
        <f t="shared" si="27"/>
        <v>0</v>
      </c>
      <c r="U21" s="1635">
        <f t="shared" si="27"/>
        <v>0</v>
      </c>
      <c r="V21" s="1635">
        <f t="shared" si="27"/>
        <v>0</v>
      </c>
      <c r="W21" s="1635">
        <f t="shared" si="27"/>
        <v>0</v>
      </c>
      <c r="X21" s="1635">
        <f t="shared" si="27"/>
        <v>0</v>
      </c>
      <c r="Y21" s="1635">
        <f t="shared" si="27"/>
        <v>0</v>
      </c>
      <c r="Z21" s="1639">
        <f t="shared" si="27"/>
        <v>0</v>
      </c>
      <c r="AA21" s="1635">
        <f t="shared" si="27"/>
        <v>0</v>
      </c>
      <c r="AB21" s="1636">
        <f t="shared" si="27"/>
        <v>0</v>
      </c>
      <c r="AC21" s="1635">
        <f t="shared" si="27"/>
        <v>0</v>
      </c>
      <c r="AD21" s="1635">
        <f t="shared" si="27"/>
        <v>0</v>
      </c>
      <c r="AE21" s="1614"/>
      <c r="AF21" s="1560"/>
      <c r="AG21" s="1560"/>
      <c r="AH21" s="1560"/>
      <c r="AI21" s="1564"/>
      <c r="AJ21" s="1564"/>
      <c r="AK21" s="1564"/>
      <c r="AL21" s="1564"/>
      <c r="AM21" s="1564"/>
      <c r="AN21" s="1564"/>
      <c r="AO21" s="1564"/>
      <c r="AP21" s="1617"/>
      <c r="AQ21" s="1564"/>
      <c r="AR21" s="1564"/>
      <c r="AS21" s="1564"/>
      <c r="AT21" s="1564"/>
      <c r="AU21" s="1611"/>
      <c r="AV21" s="1571">
        <v>2.1</v>
      </c>
      <c r="AW21" s="1571" t="s">
        <v>545</v>
      </c>
      <c r="AX21" s="1543" t="s">
        <v>561</v>
      </c>
      <c r="AY21" s="1572">
        <v>0.25</v>
      </c>
    </row>
    <row r="22" spans="2:51">
      <c r="B22" s="1542">
        <f t="shared" si="22"/>
        <v>2.2000000000000002</v>
      </c>
      <c r="C22" s="1543" t="str">
        <f t="shared" si="23"/>
        <v>適切な換気計画</v>
      </c>
      <c r="D22" s="1539">
        <f t="shared" si="28"/>
        <v>0.25</v>
      </c>
      <c r="E22" s="1539">
        <f t="shared" si="28"/>
        <v>0</v>
      </c>
      <c r="F22" s="1602"/>
      <c r="G22" s="1551">
        <f t="shared" si="3"/>
        <v>0.25</v>
      </c>
      <c r="H22" s="1551">
        <f t="shared" si="20"/>
        <v>0</v>
      </c>
      <c r="I22" s="1551"/>
      <c r="J22" s="1551"/>
      <c r="K22" s="1551">
        <f>IF(スコア!M22=0,0,1)</f>
        <v>1</v>
      </c>
      <c r="L22" s="1551">
        <f>IF(スコア!N22=0,0,1)</f>
        <v>1</v>
      </c>
      <c r="M22" s="1551">
        <f t="shared" si="4"/>
        <v>0.25</v>
      </c>
      <c r="N22" s="1551">
        <f t="shared" si="5"/>
        <v>0</v>
      </c>
      <c r="O22" s="1606"/>
      <c r="P22" s="1542">
        <f t="shared" si="24"/>
        <v>2.2000000000000002</v>
      </c>
      <c r="Q22" s="1542" t="str">
        <f t="shared" si="25"/>
        <v>1.1.2</v>
      </c>
      <c r="R22" s="1542" t="str">
        <f t="shared" si="26"/>
        <v>適切な換気計画</v>
      </c>
      <c r="S22" s="1635">
        <f t="shared" si="21"/>
        <v>0.25</v>
      </c>
      <c r="T22" s="1635">
        <f t="shared" si="27"/>
        <v>0</v>
      </c>
      <c r="U22" s="1635">
        <f t="shared" si="27"/>
        <v>0</v>
      </c>
      <c r="V22" s="1635">
        <f t="shared" si="27"/>
        <v>0</v>
      </c>
      <c r="W22" s="1635">
        <f t="shared" si="27"/>
        <v>0</v>
      </c>
      <c r="X22" s="1635">
        <f t="shared" si="27"/>
        <v>0</v>
      </c>
      <c r="Y22" s="1635">
        <f t="shared" si="27"/>
        <v>0</v>
      </c>
      <c r="Z22" s="1639">
        <f t="shared" si="27"/>
        <v>0</v>
      </c>
      <c r="AA22" s="1635">
        <f t="shared" si="27"/>
        <v>0</v>
      </c>
      <c r="AB22" s="1636">
        <f t="shared" si="27"/>
        <v>0</v>
      </c>
      <c r="AC22" s="1635">
        <f t="shared" si="27"/>
        <v>0</v>
      </c>
      <c r="AD22" s="1635">
        <f t="shared" si="27"/>
        <v>0</v>
      </c>
      <c r="AE22" s="1614"/>
      <c r="AF22" s="1560"/>
      <c r="AG22" s="1560"/>
      <c r="AH22" s="1560"/>
      <c r="AI22" s="1564"/>
      <c r="AJ22" s="1564"/>
      <c r="AK22" s="1564"/>
      <c r="AL22" s="1564"/>
      <c r="AM22" s="1564"/>
      <c r="AN22" s="1564"/>
      <c r="AO22" s="1564"/>
      <c r="AP22" s="1617"/>
      <c r="AQ22" s="1564"/>
      <c r="AR22" s="1564"/>
      <c r="AS22" s="1564"/>
      <c r="AT22" s="1564"/>
      <c r="AU22" s="1611"/>
      <c r="AV22" s="1571">
        <v>2.2000000000000002</v>
      </c>
      <c r="AW22" s="1571" t="s">
        <v>545</v>
      </c>
      <c r="AX22" s="1543" t="s">
        <v>815</v>
      </c>
      <c r="AY22" s="1572">
        <v>0.25</v>
      </c>
    </row>
    <row r="23" spans="2:51">
      <c r="B23" s="1537">
        <f t="shared" si="22"/>
        <v>2.2999999999999998</v>
      </c>
      <c r="C23" s="1538" t="str">
        <f t="shared" si="23"/>
        <v>犯罪に備える</v>
      </c>
      <c r="D23" s="1539">
        <f t="shared" si="28"/>
        <v>0.25</v>
      </c>
      <c r="E23" s="1539">
        <f t="shared" si="28"/>
        <v>0</v>
      </c>
      <c r="F23" s="1602"/>
      <c r="G23" s="1551">
        <f t="shared" si="3"/>
        <v>0.25</v>
      </c>
      <c r="H23" s="1551">
        <f t="shared" si="20"/>
        <v>0</v>
      </c>
      <c r="I23" s="1551"/>
      <c r="J23" s="1551"/>
      <c r="K23" s="1551">
        <f>IF(スコア!M23=0,0,1)</f>
        <v>1</v>
      </c>
      <c r="L23" s="1551">
        <f>IF(スコア!N23=0,0,1)</f>
        <v>1</v>
      </c>
      <c r="M23" s="1551">
        <f t="shared" si="4"/>
        <v>0.25</v>
      </c>
      <c r="N23" s="1551">
        <f t="shared" si="5"/>
        <v>0</v>
      </c>
      <c r="O23" s="1606"/>
      <c r="P23" s="1542">
        <f t="shared" si="24"/>
        <v>2.2999999999999998</v>
      </c>
      <c r="Q23" s="1542" t="str">
        <f t="shared" si="25"/>
        <v>1.1.2</v>
      </c>
      <c r="R23" s="1542" t="str">
        <f t="shared" si="26"/>
        <v>犯罪に備える</v>
      </c>
      <c r="S23" s="1635">
        <f t="shared" si="21"/>
        <v>0.25</v>
      </c>
      <c r="T23" s="1635">
        <f t="shared" si="27"/>
        <v>0</v>
      </c>
      <c r="U23" s="1635">
        <f t="shared" si="27"/>
        <v>0</v>
      </c>
      <c r="V23" s="1635">
        <f t="shared" si="27"/>
        <v>0</v>
      </c>
      <c r="W23" s="1635">
        <f t="shared" si="27"/>
        <v>0</v>
      </c>
      <c r="X23" s="1635">
        <f t="shared" si="27"/>
        <v>0</v>
      </c>
      <c r="Y23" s="1635">
        <f t="shared" si="27"/>
        <v>0</v>
      </c>
      <c r="Z23" s="1639">
        <f t="shared" si="27"/>
        <v>0</v>
      </c>
      <c r="AA23" s="1635">
        <f t="shared" si="27"/>
        <v>0</v>
      </c>
      <c r="AB23" s="1636">
        <f t="shared" si="27"/>
        <v>0</v>
      </c>
      <c r="AC23" s="1635">
        <f t="shared" si="27"/>
        <v>0</v>
      </c>
      <c r="AD23" s="1635">
        <f t="shared" si="27"/>
        <v>0</v>
      </c>
      <c r="AE23" s="1614"/>
      <c r="AF23" s="1560"/>
      <c r="AG23" s="1560"/>
      <c r="AH23" s="1560"/>
      <c r="AI23" s="1564"/>
      <c r="AJ23" s="1564"/>
      <c r="AK23" s="1564"/>
      <c r="AL23" s="1564"/>
      <c r="AM23" s="1564"/>
      <c r="AN23" s="1564"/>
      <c r="AO23" s="1564"/>
      <c r="AP23" s="1617"/>
      <c r="AQ23" s="1564"/>
      <c r="AR23" s="1564"/>
      <c r="AS23" s="1564"/>
      <c r="AT23" s="1564"/>
      <c r="AU23" s="1611"/>
      <c r="AV23" s="1571">
        <v>2.2999999999999998</v>
      </c>
      <c r="AW23" s="1571" t="s">
        <v>545</v>
      </c>
      <c r="AX23" s="1543" t="s">
        <v>562</v>
      </c>
      <c r="AY23" s="1572">
        <v>0.25</v>
      </c>
    </row>
    <row r="24" spans="2:51">
      <c r="B24" s="1537" t="str">
        <f>P24</f>
        <v>2.4</v>
      </c>
      <c r="C24" s="1538" t="str">
        <f>R24</f>
        <v>災害に備える</v>
      </c>
      <c r="D24" s="1539">
        <f>IF(I$20=0,0,G24/I$20)</f>
        <v>0.25</v>
      </c>
      <c r="E24" s="1539">
        <f>IF(J$20=0,0,H24/J$20)</f>
        <v>0</v>
      </c>
      <c r="F24" s="1602"/>
      <c r="G24" s="1551">
        <f>K24*((S$7*S24)+(T$7*T24)+(U$7*U24)+(V$7*V24)+(W$7*W24)+(X$7*X24)+(Y$7*Y24)+(Z$7*Z24)+(AA$7*AA24))</f>
        <v>0.25</v>
      </c>
      <c r="H24" s="1551">
        <f>L24*((AB$7*AB24)+(AC$7*AC24)+(AD$7*AD24))</f>
        <v>0</v>
      </c>
      <c r="I24" s="1551"/>
      <c r="J24" s="1551"/>
      <c r="K24" s="1551">
        <f>IF(スコア!M24=0,0,1)</f>
        <v>1</v>
      </c>
      <c r="L24" s="1551">
        <f>IF(スコア!N24=0,0,1)</f>
        <v>1</v>
      </c>
      <c r="M24" s="1551">
        <f>(S$7*S24)+(T$7*T24)+(U$7*U24)+(V$7*V24)+(W$7*W24)+(X$7*X24)+(Y$7*Y24)+(Z$7*Z24)+(AA$7*AA24)</f>
        <v>0.25</v>
      </c>
      <c r="N24" s="1551">
        <f>(AB$7*AB24)+(AC$7*AC24)+(AD$7*AD24)</f>
        <v>0</v>
      </c>
      <c r="O24" s="1606"/>
      <c r="P24" s="1542" t="str">
        <f t="shared" si="24"/>
        <v>2.4</v>
      </c>
      <c r="Q24" s="1542" t="str">
        <f t="shared" si="25"/>
        <v>1.1.2</v>
      </c>
      <c r="R24" s="1542" t="str">
        <f t="shared" si="26"/>
        <v>災害に備える</v>
      </c>
      <c r="S24" s="1635">
        <f t="shared" si="21"/>
        <v>0.25</v>
      </c>
      <c r="T24" s="1635"/>
      <c r="U24" s="1635"/>
      <c r="V24" s="1635"/>
      <c r="W24" s="1635"/>
      <c r="X24" s="1635"/>
      <c r="Y24" s="1635"/>
      <c r="Z24" s="1639"/>
      <c r="AA24" s="1635"/>
      <c r="AB24" s="1636"/>
      <c r="AC24" s="1635"/>
      <c r="AD24" s="1635"/>
      <c r="AE24" s="1614"/>
      <c r="AF24" s="1560"/>
      <c r="AG24" s="1560"/>
      <c r="AH24" s="1560"/>
      <c r="AI24" s="1564"/>
      <c r="AJ24" s="1564"/>
      <c r="AK24" s="1564"/>
      <c r="AL24" s="1564"/>
      <c r="AM24" s="1564"/>
      <c r="AN24" s="1564"/>
      <c r="AO24" s="1564"/>
      <c r="AP24" s="1617"/>
      <c r="AQ24" s="1564"/>
      <c r="AR24" s="1564"/>
      <c r="AS24" s="1564"/>
      <c r="AT24" s="1564"/>
      <c r="AU24" s="1611"/>
      <c r="AV24" s="1571" t="s">
        <v>702</v>
      </c>
      <c r="AW24" s="1571" t="s">
        <v>703</v>
      </c>
      <c r="AX24" s="1543" t="s">
        <v>635</v>
      </c>
      <c r="AY24" s="1572">
        <v>0.25</v>
      </c>
    </row>
    <row r="25" spans="2:51">
      <c r="B25" s="1534">
        <f t="shared" si="22"/>
        <v>3</v>
      </c>
      <c r="C25" s="1535" t="str">
        <f t="shared" si="23"/>
        <v>明るさ</v>
      </c>
      <c r="D25" s="1536">
        <f>IF(I$9=0,0,G25/I$9)</f>
        <v>0.1</v>
      </c>
      <c r="E25" s="1536">
        <f>IF(J$9=0,0,H25/J$9)</f>
        <v>0</v>
      </c>
      <c r="F25" s="1602"/>
      <c r="G25" s="1544">
        <f t="shared" si="3"/>
        <v>0.1</v>
      </c>
      <c r="H25" s="1544">
        <f t="shared" si="20"/>
        <v>0</v>
      </c>
      <c r="I25" s="1544">
        <f>G26+G27</f>
        <v>1</v>
      </c>
      <c r="J25" s="1544">
        <f>H26+H27</f>
        <v>0</v>
      </c>
      <c r="K25" s="1544">
        <f>IF(スコア!M25=0,0,1)</f>
        <v>1</v>
      </c>
      <c r="L25" s="1544">
        <f>IF(スコア!N25=0,0,1)</f>
        <v>1</v>
      </c>
      <c r="M25" s="1544">
        <f>(S$7*S25)+(T$7*T25)+(U$7*U25)+(V$7*V25)+(W$7*W25)+(X$7*X25)+(Y$7*Y25)+(Z$7*Z25)+(AA$7*AA25)</f>
        <v>0.1</v>
      </c>
      <c r="N25" s="1544">
        <f t="shared" si="5"/>
        <v>0</v>
      </c>
      <c r="O25" s="1606"/>
      <c r="P25" s="1534">
        <f t="shared" si="24"/>
        <v>3</v>
      </c>
      <c r="Q25" s="1542" t="str">
        <f t="shared" si="25"/>
        <v>1.1</v>
      </c>
      <c r="R25" s="1534" t="str">
        <f t="shared" si="26"/>
        <v>明るさ</v>
      </c>
      <c r="S25" s="1632">
        <f t="shared" si="21"/>
        <v>0.1</v>
      </c>
      <c r="T25" s="1632">
        <f t="shared" si="27"/>
        <v>0</v>
      </c>
      <c r="U25" s="1632">
        <f t="shared" si="27"/>
        <v>0</v>
      </c>
      <c r="V25" s="1632">
        <f t="shared" si="27"/>
        <v>0</v>
      </c>
      <c r="W25" s="1632">
        <f t="shared" si="27"/>
        <v>0</v>
      </c>
      <c r="X25" s="1632">
        <f t="shared" si="27"/>
        <v>0</v>
      </c>
      <c r="Y25" s="1632">
        <f t="shared" si="27"/>
        <v>0</v>
      </c>
      <c r="Z25" s="1638">
        <f t="shared" si="27"/>
        <v>0</v>
      </c>
      <c r="AA25" s="1632">
        <f t="shared" si="27"/>
        <v>0</v>
      </c>
      <c r="AB25" s="1634">
        <f t="shared" si="27"/>
        <v>0</v>
      </c>
      <c r="AC25" s="1632">
        <f t="shared" si="27"/>
        <v>0</v>
      </c>
      <c r="AD25" s="1632">
        <f t="shared" si="27"/>
        <v>0</v>
      </c>
      <c r="AE25" s="1614"/>
      <c r="AF25" s="1560"/>
      <c r="AG25" s="1560"/>
      <c r="AH25" s="1560"/>
      <c r="AI25" s="1564"/>
      <c r="AJ25" s="1564"/>
      <c r="AK25" s="1564"/>
      <c r="AL25" s="1564"/>
      <c r="AM25" s="1564"/>
      <c r="AN25" s="1564"/>
      <c r="AO25" s="1564"/>
      <c r="AP25" s="1617"/>
      <c r="AQ25" s="1564"/>
      <c r="AR25" s="1564"/>
      <c r="AS25" s="1564"/>
      <c r="AT25" s="1564"/>
      <c r="AU25" s="1611"/>
      <c r="AV25" s="1569">
        <v>3</v>
      </c>
      <c r="AW25" s="1569" t="s">
        <v>601</v>
      </c>
      <c r="AX25" s="1535" t="s">
        <v>563</v>
      </c>
      <c r="AY25" s="1572">
        <v>0.1</v>
      </c>
    </row>
    <row r="26" spans="2:51">
      <c r="B26" s="1537">
        <f t="shared" si="22"/>
        <v>3.1</v>
      </c>
      <c r="C26" s="1538" t="str">
        <f t="shared" si="23"/>
        <v>昼光の利用</v>
      </c>
      <c r="D26" s="1539">
        <f>IF(I$25=0,0,G26/I$25)</f>
        <v>1</v>
      </c>
      <c r="E26" s="1539">
        <f>IF(J$25=0,0,H26/J$25)</f>
        <v>0</v>
      </c>
      <c r="F26" s="1602"/>
      <c r="G26" s="1551">
        <f t="shared" si="3"/>
        <v>1</v>
      </c>
      <c r="H26" s="1551">
        <f t="shared" si="20"/>
        <v>0</v>
      </c>
      <c r="I26" s="1551"/>
      <c r="J26" s="1551"/>
      <c r="K26" s="1551">
        <f>IF(スコア!M26=0,0,1)</f>
        <v>1</v>
      </c>
      <c r="L26" s="1551">
        <f>IF(スコア!N26=0,0,1)</f>
        <v>1</v>
      </c>
      <c r="M26" s="1551">
        <f t="shared" si="4"/>
        <v>1</v>
      </c>
      <c r="N26" s="1551">
        <f t="shared" si="5"/>
        <v>0</v>
      </c>
      <c r="O26" s="1606"/>
      <c r="P26" s="1542">
        <f t="shared" si="24"/>
        <v>3.1</v>
      </c>
      <c r="Q26" s="1542" t="str">
        <f t="shared" si="25"/>
        <v>1.1.3</v>
      </c>
      <c r="R26" s="1542" t="str">
        <f t="shared" si="26"/>
        <v>昼光の利用</v>
      </c>
      <c r="S26" s="1635">
        <f t="shared" si="21"/>
        <v>1</v>
      </c>
      <c r="T26" s="1635">
        <f t="shared" si="27"/>
        <v>0</v>
      </c>
      <c r="U26" s="1635">
        <f t="shared" si="27"/>
        <v>0</v>
      </c>
      <c r="V26" s="1635">
        <f t="shared" si="27"/>
        <v>0</v>
      </c>
      <c r="W26" s="1635">
        <f t="shared" si="27"/>
        <v>0</v>
      </c>
      <c r="X26" s="1635">
        <f t="shared" si="27"/>
        <v>0</v>
      </c>
      <c r="Y26" s="1635">
        <f t="shared" si="27"/>
        <v>0</v>
      </c>
      <c r="Z26" s="1639">
        <f t="shared" si="27"/>
        <v>0</v>
      </c>
      <c r="AA26" s="1635">
        <f t="shared" si="27"/>
        <v>0</v>
      </c>
      <c r="AB26" s="1636">
        <f t="shared" si="27"/>
        <v>0</v>
      </c>
      <c r="AC26" s="1635">
        <f t="shared" si="27"/>
        <v>0</v>
      </c>
      <c r="AD26" s="1635">
        <f t="shared" si="27"/>
        <v>0</v>
      </c>
      <c r="AE26" s="1614"/>
      <c r="AF26" s="1560"/>
      <c r="AG26" s="1560"/>
      <c r="AH26" s="1560"/>
      <c r="AI26" s="1564"/>
      <c r="AJ26" s="1564"/>
      <c r="AK26" s="1564"/>
      <c r="AL26" s="1564"/>
      <c r="AM26" s="1564"/>
      <c r="AN26" s="1564"/>
      <c r="AO26" s="1564"/>
      <c r="AP26" s="1617"/>
      <c r="AQ26" s="1564"/>
      <c r="AR26" s="1564"/>
      <c r="AS26" s="1564"/>
      <c r="AT26" s="1564"/>
      <c r="AU26" s="1611"/>
      <c r="AV26" s="1571">
        <v>3.1</v>
      </c>
      <c r="AW26" s="1571" t="s">
        <v>607</v>
      </c>
      <c r="AX26" s="1543" t="s">
        <v>564</v>
      </c>
      <c r="AY26" s="1575">
        <v>1</v>
      </c>
    </row>
    <row r="27" spans="2:51" hidden="1">
      <c r="B27" s="1537" t="str">
        <f t="shared" si="22"/>
        <v>3.2</v>
      </c>
      <c r="C27" s="1538" t="str">
        <f t="shared" si="23"/>
        <v>評価しない</v>
      </c>
      <c r="D27" s="1539">
        <f>IF(I$25=0,0,G27/I$25)</f>
        <v>0</v>
      </c>
      <c r="E27" s="1539">
        <f>IF(J$25=0,0,H27/J$25)</f>
        <v>0</v>
      </c>
      <c r="F27" s="1602"/>
      <c r="G27" s="1551">
        <f t="shared" si="3"/>
        <v>0</v>
      </c>
      <c r="H27" s="1551">
        <f t="shared" si="20"/>
        <v>0</v>
      </c>
      <c r="I27" s="1551"/>
      <c r="J27" s="1551"/>
      <c r="K27" s="1551">
        <f>IF(スコア!M27=0,0,1)</f>
        <v>0</v>
      </c>
      <c r="L27" s="1551">
        <f>IF(スコア!N27=0,0,1)</f>
        <v>0</v>
      </c>
      <c r="M27" s="1551">
        <f t="shared" si="4"/>
        <v>0</v>
      </c>
      <c r="N27" s="1551">
        <f t="shared" si="5"/>
        <v>0</v>
      </c>
      <c r="O27" s="1628"/>
      <c r="P27" s="1542" t="str">
        <f t="shared" si="24"/>
        <v>3.2</v>
      </c>
      <c r="Q27" s="1542">
        <f t="shared" si="25"/>
        <v>0</v>
      </c>
      <c r="R27" s="1542" t="str">
        <f t="shared" si="26"/>
        <v>評価しない</v>
      </c>
      <c r="S27" s="1635">
        <f t="shared" si="21"/>
        <v>0</v>
      </c>
      <c r="T27" s="1635">
        <f t="shared" si="27"/>
        <v>0</v>
      </c>
      <c r="U27" s="1635">
        <f t="shared" si="27"/>
        <v>0</v>
      </c>
      <c r="V27" s="1635">
        <f t="shared" si="27"/>
        <v>0</v>
      </c>
      <c r="W27" s="1635">
        <f t="shared" si="27"/>
        <v>0</v>
      </c>
      <c r="X27" s="1635">
        <f t="shared" si="27"/>
        <v>0</v>
      </c>
      <c r="Y27" s="1635">
        <f t="shared" si="27"/>
        <v>0</v>
      </c>
      <c r="Z27" s="1639">
        <f t="shared" si="27"/>
        <v>0</v>
      </c>
      <c r="AA27" s="1635">
        <f t="shared" si="27"/>
        <v>0</v>
      </c>
      <c r="AB27" s="1636">
        <f t="shared" si="27"/>
        <v>0</v>
      </c>
      <c r="AC27" s="1635">
        <f t="shared" si="27"/>
        <v>0</v>
      </c>
      <c r="AD27" s="1635">
        <f t="shared" si="27"/>
        <v>0</v>
      </c>
      <c r="AE27" s="1614"/>
      <c r="AF27" s="1560"/>
      <c r="AG27" s="1560"/>
      <c r="AH27" s="1560"/>
      <c r="AI27" s="1564"/>
      <c r="AJ27" s="1564"/>
      <c r="AK27" s="1564"/>
      <c r="AL27" s="1564"/>
      <c r="AM27" s="1564"/>
      <c r="AN27" s="1564"/>
      <c r="AO27" s="1564"/>
      <c r="AP27" s="1617"/>
      <c r="AQ27" s="1564"/>
      <c r="AR27" s="1564"/>
      <c r="AS27" s="1564"/>
      <c r="AT27" s="1564"/>
      <c r="AU27" s="1611"/>
      <c r="AV27" s="1571" t="s">
        <v>499</v>
      </c>
      <c r="AW27" s="1571"/>
      <c r="AX27" s="1538" t="s">
        <v>109</v>
      </c>
      <c r="AY27" s="1572">
        <v>0</v>
      </c>
    </row>
    <row r="28" spans="2:51">
      <c r="B28" s="1534">
        <f t="shared" si="22"/>
        <v>4</v>
      </c>
      <c r="C28" s="1535" t="str">
        <f t="shared" si="23"/>
        <v>静かさ</v>
      </c>
      <c r="D28" s="1536">
        <f>IF(I$9=0,0,G28/I$9)</f>
        <v>0.1</v>
      </c>
      <c r="E28" s="1536">
        <f>IF(J$9=0,0,H28/J$9)</f>
        <v>0</v>
      </c>
      <c r="F28" s="1627"/>
      <c r="G28" s="1544">
        <f>K28*((S$7*S28)+(T$7*T28)+(U$7*U28)+(V$7*V28)+(W$7*W28)+(X$7*X28)+(Y$7*Y28)+(Z$7*Z28)+(AA$7*AA28))</f>
        <v>0.1</v>
      </c>
      <c r="H28" s="1544">
        <f t="shared" si="20"/>
        <v>0</v>
      </c>
      <c r="I28" s="1544"/>
      <c r="J28" s="1544"/>
      <c r="K28" s="1544">
        <f>IF(スコア!M28=0,0,1)</f>
        <v>1</v>
      </c>
      <c r="L28" s="1544">
        <f>IF(スコア!N28=0,0,1)</f>
        <v>1</v>
      </c>
      <c r="M28" s="1544">
        <f t="shared" si="4"/>
        <v>0.1</v>
      </c>
      <c r="N28" s="1544">
        <f t="shared" si="5"/>
        <v>0</v>
      </c>
      <c r="O28" s="1628"/>
      <c r="P28" s="1534">
        <f t="shared" si="24"/>
        <v>4</v>
      </c>
      <c r="Q28" s="1534" t="str">
        <f t="shared" si="25"/>
        <v>1.1</v>
      </c>
      <c r="R28" s="1534" t="str">
        <f t="shared" si="26"/>
        <v>静かさ</v>
      </c>
      <c r="S28" s="1632">
        <f t="shared" si="21"/>
        <v>0.1</v>
      </c>
      <c r="T28" s="1632">
        <f t="shared" si="27"/>
        <v>0</v>
      </c>
      <c r="U28" s="1632">
        <f t="shared" si="27"/>
        <v>0</v>
      </c>
      <c r="V28" s="1632">
        <f t="shared" si="27"/>
        <v>0</v>
      </c>
      <c r="W28" s="1632">
        <f t="shared" si="27"/>
        <v>0</v>
      </c>
      <c r="X28" s="1632">
        <f t="shared" si="27"/>
        <v>0</v>
      </c>
      <c r="Y28" s="1632">
        <f t="shared" si="27"/>
        <v>0</v>
      </c>
      <c r="Z28" s="1638">
        <f t="shared" si="27"/>
        <v>0</v>
      </c>
      <c r="AA28" s="1632">
        <f t="shared" si="27"/>
        <v>0</v>
      </c>
      <c r="AB28" s="1634">
        <f t="shared" si="27"/>
        <v>0</v>
      </c>
      <c r="AC28" s="1632">
        <f t="shared" si="27"/>
        <v>0</v>
      </c>
      <c r="AD28" s="1632">
        <f t="shared" si="27"/>
        <v>0</v>
      </c>
      <c r="AE28" s="1640"/>
      <c r="AF28" s="1565"/>
      <c r="AG28" s="1565"/>
      <c r="AH28" s="1565"/>
      <c r="AI28" s="1641"/>
      <c r="AJ28" s="1641"/>
      <c r="AK28" s="1641"/>
      <c r="AL28" s="1641"/>
      <c r="AM28" s="1641"/>
      <c r="AN28" s="1641"/>
      <c r="AO28" s="1641"/>
      <c r="AP28" s="1642"/>
      <c r="AQ28" s="1641"/>
      <c r="AR28" s="1641"/>
      <c r="AS28" s="1641"/>
      <c r="AT28" s="1641"/>
      <c r="AU28" s="1643"/>
      <c r="AV28" s="1569">
        <v>4</v>
      </c>
      <c r="AW28" s="1569" t="s">
        <v>601</v>
      </c>
      <c r="AX28" s="1574" t="s">
        <v>565</v>
      </c>
      <c r="AY28" s="1576">
        <v>0.1</v>
      </c>
    </row>
    <row r="29" spans="2:51">
      <c r="B29" s="1531" t="s">
        <v>500</v>
      </c>
      <c r="C29" s="1532" t="str">
        <f t="shared" si="23"/>
        <v>長く使い続ける</v>
      </c>
      <c r="D29" s="1533">
        <f>IF(I$8=0,0,G29/I$8)</f>
        <v>0.3</v>
      </c>
      <c r="E29" s="1533">
        <f>IF(J$8=0,0,H29/J$8)</f>
        <v>0</v>
      </c>
      <c r="F29" s="1644"/>
      <c r="G29" s="1550">
        <f t="shared" si="3"/>
        <v>0.3</v>
      </c>
      <c r="H29" s="1550">
        <f t="shared" si="20"/>
        <v>0</v>
      </c>
      <c r="I29" s="1550">
        <f>G30+G38+G41</f>
        <v>1</v>
      </c>
      <c r="J29" s="1550">
        <f>H30+H38+H41</f>
        <v>0</v>
      </c>
      <c r="K29" s="1550">
        <f>IF(スコア!Q29=0,0,1)</f>
        <v>1</v>
      </c>
      <c r="L29" s="1550">
        <f>IF(スコア!R29=0,0,1)</f>
        <v>0</v>
      </c>
      <c r="M29" s="1550">
        <f t="shared" si="4"/>
        <v>0.3</v>
      </c>
      <c r="N29" s="1550">
        <f t="shared" si="5"/>
        <v>0</v>
      </c>
      <c r="O29" s="1628"/>
      <c r="P29" s="1629" t="str">
        <f t="shared" si="24"/>
        <v>QH2</v>
      </c>
      <c r="Q29" s="1629" t="str">
        <f t="shared" si="25"/>
        <v>1</v>
      </c>
      <c r="R29" s="1629" t="str">
        <f t="shared" si="26"/>
        <v>長く使い続ける</v>
      </c>
      <c r="S29" s="1630">
        <f t="shared" si="21"/>
        <v>0.3</v>
      </c>
      <c r="T29" s="1630">
        <f t="shared" ref="T29:U32" si="29">IF($P$3=1,AJ29,AZ29)</f>
        <v>0</v>
      </c>
      <c r="U29" s="1630">
        <f t="shared" si="29"/>
        <v>0</v>
      </c>
      <c r="V29" s="1630">
        <f t="shared" ref="V29:AD40" si="30">IF($P$3=1,AL29,BB29)</f>
        <v>0</v>
      </c>
      <c r="W29" s="1630">
        <f t="shared" si="30"/>
        <v>0</v>
      </c>
      <c r="X29" s="1630">
        <f t="shared" si="30"/>
        <v>0</v>
      </c>
      <c r="Y29" s="1630">
        <f t="shared" si="30"/>
        <v>0</v>
      </c>
      <c r="Z29" s="1630">
        <f t="shared" si="30"/>
        <v>0</v>
      </c>
      <c r="AA29" s="1630">
        <f t="shared" si="30"/>
        <v>0</v>
      </c>
      <c r="AB29" s="1631">
        <f t="shared" si="30"/>
        <v>0</v>
      </c>
      <c r="AC29" s="1630">
        <f t="shared" si="30"/>
        <v>0</v>
      </c>
      <c r="AD29" s="1630">
        <f t="shared" si="30"/>
        <v>0</v>
      </c>
      <c r="AE29" s="1640"/>
      <c r="AF29" s="1565"/>
      <c r="AG29" s="1565"/>
      <c r="AH29" s="1565"/>
      <c r="AI29" s="1641"/>
      <c r="AJ29" s="1641"/>
      <c r="AK29" s="1641"/>
      <c r="AL29" s="1641"/>
      <c r="AM29" s="1641"/>
      <c r="AN29" s="1641"/>
      <c r="AO29" s="1641"/>
      <c r="AP29" s="1642"/>
      <c r="AQ29" s="1641"/>
      <c r="AR29" s="1641"/>
      <c r="AS29" s="1641"/>
      <c r="AT29" s="1641"/>
      <c r="AU29" s="1643"/>
      <c r="AV29" s="1531" t="s">
        <v>500</v>
      </c>
      <c r="AW29" s="1531" t="s">
        <v>600</v>
      </c>
      <c r="AX29" s="1532" t="s">
        <v>566</v>
      </c>
      <c r="AY29" s="1568">
        <v>0.3</v>
      </c>
    </row>
    <row r="30" spans="2:51">
      <c r="B30" s="1534">
        <f t="shared" si="22"/>
        <v>1</v>
      </c>
      <c r="C30" s="1535" t="str">
        <f t="shared" si="23"/>
        <v>長寿命に対する基本性能</v>
      </c>
      <c r="D30" s="1536">
        <f>IF(I$29=0,0,G30/I$29)</f>
        <v>0.5</v>
      </c>
      <c r="E30" s="1536">
        <f>IF(J$29=0,0,H30/J$29)</f>
        <v>0</v>
      </c>
      <c r="F30" s="1627"/>
      <c r="G30" s="1544">
        <f t="shared" si="3"/>
        <v>0.5</v>
      </c>
      <c r="H30" s="1544">
        <f t="shared" si="20"/>
        <v>0</v>
      </c>
      <c r="I30" s="1544">
        <f>G31+G32+G33+G34+G35</f>
        <v>1</v>
      </c>
      <c r="J30" s="1544">
        <f>H31+H32+H33+H34+H35</f>
        <v>0</v>
      </c>
      <c r="K30" s="1544">
        <f>IF(スコア!M30=0,0,1)</f>
        <v>1</v>
      </c>
      <c r="L30" s="1544">
        <f>IF(スコア!N30=0,0,1)</f>
        <v>1</v>
      </c>
      <c r="M30" s="1544">
        <f t="shared" si="4"/>
        <v>0.5</v>
      </c>
      <c r="N30" s="1544">
        <f t="shared" si="5"/>
        <v>0</v>
      </c>
      <c r="O30" s="1628"/>
      <c r="P30" s="1534">
        <f t="shared" si="24"/>
        <v>1</v>
      </c>
      <c r="Q30" s="1534" t="str">
        <f t="shared" si="25"/>
        <v>1.2</v>
      </c>
      <c r="R30" s="1534" t="str">
        <f t="shared" si="26"/>
        <v>長寿命に対する基本性能</v>
      </c>
      <c r="S30" s="1645">
        <f t="shared" si="21"/>
        <v>0.5</v>
      </c>
      <c r="T30" s="1645">
        <f t="shared" si="29"/>
        <v>0</v>
      </c>
      <c r="U30" s="1645">
        <f t="shared" si="29"/>
        <v>0</v>
      </c>
      <c r="V30" s="1645">
        <f t="shared" si="30"/>
        <v>0</v>
      </c>
      <c r="W30" s="1645">
        <f t="shared" si="30"/>
        <v>0</v>
      </c>
      <c r="X30" s="1645">
        <f t="shared" si="30"/>
        <v>0</v>
      </c>
      <c r="Y30" s="1645">
        <f t="shared" si="30"/>
        <v>0</v>
      </c>
      <c r="Z30" s="1638">
        <f t="shared" si="30"/>
        <v>0</v>
      </c>
      <c r="AA30" s="1645">
        <f t="shared" si="30"/>
        <v>0</v>
      </c>
      <c r="AB30" s="1646">
        <f t="shared" si="30"/>
        <v>0</v>
      </c>
      <c r="AC30" s="1645">
        <f t="shared" si="30"/>
        <v>0</v>
      </c>
      <c r="AD30" s="1645">
        <f t="shared" si="30"/>
        <v>0</v>
      </c>
      <c r="AE30" s="1640"/>
      <c r="AF30" s="1565"/>
      <c r="AG30" s="1565"/>
      <c r="AH30" s="1565"/>
      <c r="AI30" s="1641"/>
      <c r="AJ30" s="1641"/>
      <c r="AK30" s="1641"/>
      <c r="AL30" s="1641"/>
      <c r="AM30" s="1641"/>
      <c r="AN30" s="1641"/>
      <c r="AO30" s="1641"/>
      <c r="AP30" s="1642"/>
      <c r="AQ30" s="1641"/>
      <c r="AR30" s="1641"/>
      <c r="AS30" s="1641"/>
      <c r="AT30" s="1641"/>
      <c r="AU30" s="1643"/>
      <c r="AV30" s="1569">
        <v>1</v>
      </c>
      <c r="AW30" s="1569" t="s">
        <v>608</v>
      </c>
      <c r="AX30" s="1535" t="s">
        <v>618</v>
      </c>
      <c r="AY30" s="1576">
        <v>0.5</v>
      </c>
    </row>
    <row r="31" spans="2:51">
      <c r="B31" s="1542">
        <f t="shared" si="22"/>
        <v>1.1000000000000001</v>
      </c>
      <c r="C31" s="1543" t="str">
        <f t="shared" si="23"/>
        <v>躯体</v>
      </c>
      <c r="D31" s="1539">
        <f t="shared" ref="D31:E35" si="31">IF(I$30=0,0,G31/I$30)</f>
        <v>0.3</v>
      </c>
      <c r="E31" s="1539">
        <f t="shared" si="31"/>
        <v>0</v>
      </c>
      <c r="F31" s="1602"/>
      <c r="G31" s="1551">
        <f t="shared" si="3"/>
        <v>0.3</v>
      </c>
      <c r="H31" s="1551">
        <f t="shared" si="20"/>
        <v>0</v>
      </c>
      <c r="I31" s="1551"/>
      <c r="J31" s="1551"/>
      <c r="K31" s="1551">
        <f>IF(スコア!M31=0,0,1)</f>
        <v>1</v>
      </c>
      <c r="L31" s="1551">
        <f>IF(スコア!N31=0,0,1)</f>
        <v>1</v>
      </c>
      <c r="M31" s="1551">
        <f t="shared" si="4"/>
        <v>0.3</v>
      </c>
      <c r="N31" s="1551">
        <f t="shared" si="5"/>
        <v>0</v>
      </c>
      <c r="O31" s="1628"/>
      <c r="P31" s="1542">
        <f t="shared" si="24"/>
        <v>1.1000000000000001</v>
      </c>
      <c r="Q31" s="1542" t="str">
        <f t="shared" si="25"/>
        <v>1.2.1</v>
      </c>
      <c r="R31" s="1542" t="str">
        <f t="shared" si="26"/>
        <v>躯体</v>
      </c>
      <c r="S31" s="1635">
        <f t="shared" si="21"/>
        <v>0.3</v>
      </c>
      <c r="T31" s="1635">
        <f t="shared" si="29"/>
        <v>0</v>
      </c>
      <c r="U31" s="1635">
        <f t="shared" si="29"/>
        <v>0</v>
      </c>
      <c r="V31" s="1635">
        <f t="shared" si="30"/>
        <v>0</v>
      </c>
      <c r="W31" s="1635">
        <f t="shared" si="30"/>
        <v>0</v>
      </c>
      <c r="X31" s="1635">
        <f t="shared" si="30"/>
        <v>0</v>
      </c>
      <c r="Y31" s="1635">
        <f t="shared" si="30"/>
        <v>0</v>
      </c>
      <c r="Z31" s="1639">
        <f t="shared" si="30"/>
        <v>0</v>
      </c>
      <c r="AA31" s="1635">
        <f t="shared" si="30"/>
        <v>0</v>
      </c>
      <c r="AB31" s="1636">
        <f t="shared" si="30"/>
        <v>0</v>
      </c>
      <c r="AC31" s="1635">
        <f t="shared" si="30"/>
        <v>0</v>
      </c>
      <c r="AD31" s="1635">
        <f t="shared" si="30"/>
        <v>0</v>
      </c>
      <c r="AE31" s="1614"/>
      <c r="AF31" s="1560"/>
      <c r="AG31" s="1560"/>
      <c r="AH31" s="1560"/>
      <c r="AI31" s="1564"/>
      <c r="AJ31" s="1564"/>
      <c r="AK31" s="1564"/>
      <c r="AL31" s="1564"/>
      <c r="AM31" s="1564"/>
      <c r="AN31" s="1564"/>
      <c r="AO31" s="1564"/>
      <c r="AP31" s="1617"/>
      <c r="AQ31" s="1564"/>
      <c r="AR31" s="1564"/>
      <c r="AS31" s="1564"/>
      <c r="AT31" s="1564"/>
      <c r="AU31" s="1611"/>
      <c r="AV31" s="1571">
        <v>1.1000000000000001</v>
      </c>
      <c r="AW31" s="1571" t="s">
        <v>603</v>
      </c>
      <c r="AX31" s="1538" t="s">
        <v>226</v>
      </c>
      <c r="AY31" s="1572">
        <v>0.3</v>
      </c>
    </row>
    <row r="32" spans="2:51">
      <c r="B32" s="1542">
        <f t="shared" si="22"/>
        <v>1.2</v>
      </c>
      <c r="C32" s="1543" t="str">
        <f t="shared" si="23"/>
        <v>外壁材</v>
      </c>
      <c r="D32" s="1539">
        <f t="shared" si="31"/>
        <v>0.1</v>
      </c>
      <c r="E32" s="1539">
        <f t="shared" si="31"/>
        <v>0</v>
      </c>
      <c r="F32" s="1647"/>
      <c r="G32" s="1551">
        <f t="shared" si="3"/>
        <v>0.1</v>
      </c>
      <c r="H32" s="1551">
        <f t="shared" si="20"/>
        <v>0</v>
      </c>
      <c r="I32" s="1551"/>
      <c r="J32" s="1551"/>
      <c r="K32" s="1551">
        <f>IF(スコア!M32=0,0,1)</f>
        <v>1</v>
      </c>
      <c r="L32" s="1551">
        <f>IF(スコア!N32=0,0,1)</f>
        <v>1</v>
      </c>
      <c r="M32" s="1551">
        <f t="shared" si="4"/>
        <v>0.1</v>
      </c>
      <c r="N32" s="1551">
        <f t="shared" si="5"/>
        <v>0</v>
      </c>
      <c r="O32" s="1628"/>
      <c r="P32" s="1542">
        <f t="shared" si="24"/>
        <v>1.2</v>
      </c>
      <c r="Q32" s="1542" t="str">
        <f t="shared" si="25"/>
        <v>1.2.1</v>
      </c>
      <c r="R32" s="1542" t="str">
        <f t="shared" si="26"/>
        <v>外壁材</v>
      </c>
      <c r="S32" s="1635">
        <f t="shared" si="21"/>
        <v>0.1</v>
      </c>
      <c r="T32" s="1635">
        <f t="shared" si="29"/>
        <v>0</v>
      </c>
      <c r="U32" s="1635">
        <f t="shared" si="29"/>
        <v>0</v>
      </c>
      <c r="V32" s="1635">
        <f t="shared" si="30"/>
        <v>0</v>
      </c>
      <c r="W32" s="1635">
        <f t="shared" si="30"/>
        <v>0</v>
      </c>
      <c r="X32" s="1635">
        <f t="shared" si="30"/>
        <v>0</v>
      </c>
      <c r="Y32" s="1635">
        <f t="shared" si="30"/>
        <v>0</v>
      </c>
      <c r="Z32" s="1639">
        <f t="shared" si="30"/>
        <v>0</v>
      </c>
      <c r="AA32" s="1635">
        <f t="shared" si="30"/>
        <v>0</v>
      </c>
      <c r="AB32" s="1636">
        <f t="shared" si="30"/>
        <v>0</v>
      </c>
      <c r="AC32" s="1635">
        <f t="shared" si="30"/>
        <v>0</v>
      </c>
      <c r="AD32" s="1635">
        <f t="shared" si="30"/>
        <v>0</v>
      </c>
      <c r="AE32" s="1614"/>
      <c r="AF32" s="1560"/>
      <c r="AG32" s="1560"/>
      <c r="AH32" s="1560"/>
      <c r="AI32" s="1564"/>
      <c r="AJ32" s="1564"/>
      <c r="AK32" s="1564"/>
      <c r="AL32" s="1564"/>
      <c r="AM32" s="1564"/>
      <c r="AN32" s="1564"/>
      <c r="AO32" s="1564"/>
      <c r="AP32" s="1617"/>
      <c r="AQ32" s="1564"/>
      <c r="AR32" s="1564"/>
      <c r="AS32" s="1564"/>
      <c r="AT32" s="1564"/>
      <c r="AU32" s="1611"/>
      <c r="AV32" s="1571">
        <v>1.2</v>
      </c>
      <c r="AW32" s="1571" t="s">
        <v>603</v>
      </c>
      <c r="AX32" s="1538" t="s">
        <v>619</v>
      </c>
      <c r="AY32" s="1572">
        <v>0.1</v>
      </c>
    </row>
    <row r="33" spans="2:51">
      <c r="B33" s="1542">
        <f t="shared" si="22"/>
        <v>1.3</v>
      </c>
      <c r="C33" s="1543" t="str">
        <f t="shared" si="23"/>
        <v>屋根材、陸屋根</v>
      </c>
      <c r="D33" s="1539">
        <f t="shared" si="31"/>
        <v>0.1</v>
      </c>
      <c r="E33" s="1539">
        <f t="shared" si="31"/>
        <v>0</v>
      </c>
      <c r="F33" s="1602"/>
      <c r="G33" s="1551">
        <f t="shared" si="3"/>
        <v>0.1</v>
      </c>
      <c r="H33" s="1551">
        <f t="shared" si="20"/>
        <v>0</v>
      </c>
      <c r="I33" s="1551"/>
      <c r="J33" s="1551"/>
      <c r="K33" s="1551">
        <f>IF(スコア!M33=0,0,1)</f>
        <v>1</v>
      </c>
      <c r="L33" s="1551">
        <f>IF(スコア!N33=0,0,1)</f>
        <v>1</v>
      </c>
      <c r="M33" s="1551">
        <f t="shared" si="4"/>
        <v>0.1</v>
      </c>
      <c r="N33" s="1551">
        <f t="shared" si="5"/>
        <v>0</v>
      </c>
      <c r="O33" s="1628"/>
      <c r="P33" s="1542">
        <f t="shared" ref="P33:Q37" si="32">IF($P$3=1,AF33,AV33)</f>
        <v>1.3</v>
      </c>
      <c r="Q33" s="1542" t="str">
        <f t="shared" si="32"/>
        <v>1.2.1</v>
      </c>
      <c r="R33" s="1542" t="str">
        <f t="shared" ref="R33:R39" si="33">IF($P$3=1,AH33,AX33)</f>
        <v>屋根材、陸屋根</v>
      </c>
      <c r="S33" s="1635">
        <f t="shared" si="21"/>
        <v>0.1</v>
      </c>
      <c r="T33" s="1635"/>
      <c r="U33" s="1635"/>
      <c r="V33" s="1635"/>
      <c r="W33" s="1635"/>
      <c r="X33" s="1635"/>
      <c r="Y33" s="1635"/>
      <c r="Z33" s="1639"/>
      <c r="AA33" s="1635"/>
      <c r="AB33" s="1636"/>
      <c r="AC33" s="1636"/>
      <c r="AD33" s="1636"/>
      <c r="AE33" s="1614"/>
      <c r="AF33" s="1560"/>
      <c r="AG33" s="1560"/>
      <c r="AH33" s="1560"/>
      <c r="AI33" s="1564"/>
      <c r="AJ33" s="1564"/>
      <c r="AK33" s="1564"/>
      <c r="AL33" s="1564"/>
      <c r="AM33" s="1564"/>
      <c r="AN33" s="1564"/>
      <c r="AO33" s="1564"/>
      <c r="AP33" s="1617"/>
      <c r="AQ33" s="1564"/>
      <c r="AR33" s="1564"/>
      <c r="AS33" s="1564"/>
      <c r="AT33" s="1564"/>
      <c r="AU33" s="1611"/>
      <c r="AV33" s="1571">
        <v>1.3</v>
      </c>
      <c r="AW33" s="1571" t="s">
        <v>603</v>
      </c>
      <c r="AX33" s="1538" t="s">
        <v>334</v>
      </c>
      <c r="AY33" s="1572">
        <v>0.1</v>
      </c>
    </row>
    <row r="34" spans="2:51">
      <c r="B34" s="1542">
        <f t="shared" si="22"/>
        <v>1.4</v>
      </c>
      <c r="C34" s="1543" t="str">
        <f t="shared" si="23"/>
        <v>自然災害に耐える</v>
      </c>
      <c r="D34" s="1539">
        <f t="shared" si="31"/>
        <v>0.3</v>
      </c>
      <c r="E34" s="1539">
        <f t="shared" si="31"/>
        <v>0</v>
      </c>
      <c r="F34" s="1602"/>
      <c r="G34" s="1551">
        <f t="shared" si="3"/>
        <v>0.3</v>
      </c>
      <c r="H34" s="1551">
        <f t="shared" si="20"/>
        <v>0</v>
      </c>
      <c r="I34" s="1551"/>
      <c r="J34" s="1551"/>
      <c r="K34" s="1551">
        <f>IF(スコア!M34=0,0,1)</f>
        <v>1</v>
      </c>
      <c r="L34" s="1551">
        <f>IF(スコア!N34=0,0,1)</f>
        <v>1</v>
      </c>
      <c r="M34" s="1551">
        <f t="shared" si="4"/>
        <v>0.3</v>
      </c>
      <c r="N34" s="1551">
        <f t="shared" si="5"/>
        <v>0</v>
      </c>
      <c r="O34" s="1628"/>
      <c r="P34" s="1542">
        <f t="shared" si="32"/>
        <v>1.4</v>
      </c>
      <c r="Q34" s="1542" t="str">
        <f t="shared" si="32"/>
        <v>1.2.1</v>
      </c>
      <c r="R34" s="1542" t="str">
        <f t="shared" si="33"/>
        <v>自然災害に耐える</v>
      </c>
      <c r="S34" s="1635">
        <f t="shared" si="21"/>
        <v>0.3</v>
      </c>
      <c r="T34" s="1635"/>
      <c r="U34" s="1635"/>
      <c r="V34" s="1635"/>
      <c r="W34" s="1635"/>
      <c r="X34" s="1635"/>
      <c r="Y34" s="1635"/>
      <c r="Z34" s="1639"/>
      <c r="AA34" s="1635"/>
      <c r="AB34" s="1636"/>
      <c r="AC34" s="1636"/>
      <c r="AD34" s="1636"/>
      <c r="AE34" s="1614"/>
      <c r="AF34" s="1560"/>
      <c r="AG34" s="1560"/>
      <c r="AH34" s="1560"/>
      <c r="AI34" s="1564"/>
      <c r="AJ34" s="1564"/>
      <c r="AK34" s="1564"/>
      <c r="AL34" s="1564"/>
      <c r="AM34" s="1564"/>
      <c r="AN34" s="1564"/>
      <c r="AO34" s="1564"/>
      <c r="AP34" s="1617"/>
      <c r="AQ34" s="1564"/>
      <c r="AR34" s="1564"/>
      <c r="AS34" s="1564"/>
      <c r="AT34" s="1564"/>
      <c r="AU34" s="1611"/>
      <c r="AV34" s="1571">
        <v>1.4</v>
      </c>
      <c r="AW34" s="1571" t="s">
        <v>603</v>
      </c>
      <c r="AX34" s="1538" t="s">
        <v>568</v>
      </c>
      <c r="AY34" s="1572">
        <v>0.3</v>
      </c>
    </row>
    <row r="35" spans="2:51">
      <c r="B35" s="1542">
        <f t="shared" si="22"/>
        <v>1.5</v>
      </c>
      <c r="C35" s="1542" t="str">
        <f t="shared" si="23"/>
        <v>火災に備える</v>
      </c>
      <c r="D35" s="1539">
        <f t="shared" si="31"/>
        <v>0.2</v>
      </c>
      <c r="E35" s="1539">
        <f t="shared" si="31"/>
        <v>0</v>
      </c>
      <c r="F35" s="1602"/>
      <c r="G35" s="1551">
        <f t="shared" si="3"/>
        <v>0.2</v>
      </c>
      <c r="H35" s="1551">
        <f t="shared" si="20"/>
        <v>0</v>
      </c>
      <c r="I35" s="1551">
        <f>G36+G37</f>
        <v>0.35</v>
      </c>
      <c r="J35" s="1551">
        <f>H36+H37</f>
        <v>0</v>
      </c>
      <c r="K35" s="1551">
        <f>IF(スコア!M35=0,0,1)</f>
        <v>1</v>
      </c>
      <c r="L35" s="1551">
        <f>IF(スコア!N35=0,0,1)</f>
        <v>1</v>
      </c>
      <c r="M35" s="1551">
        <f t="shared" si="4"/>
        <v>0.2</v>
      </c>
      <c r="N35" s="1551">
        <f t="shared" si="5"/>
        <v>0</v>
      </c>
      <c r="O35" s="1628"/>
      <c r="P35" s="1542">
        <f t="shared" si="32"/>
        <v>1.5</v>
      </c>
      <c r="Q35" s="1542" t="str">
        <f t="shared" si="32"/>
        <v>1.2.1</v>
      </c>
      <c r="R35" s="1542" t="str">
        <f t="shared" si="33"/>
        <v>火災に備える</v>
      </c>
      <c r="S35" s="1635">
        <f t="shared" si="21"/>
        <v>0.2</v>
      </c>
      <c r="T35" s="1635"/>
      <c r="U35" s="1635"/>
      <c r="V35" s="1635"/>
      <c r="W35" s="1635"/>
      <c r="X35" s="1635"/>
      <c r="Y35" s="1635"/>
      <c r="Z35" s="1639"/>
      <c r="AA35" s="1635"/>
      <c r="AB35" s="1636"/>
      <c r="AC35" s="1636"/>
      <c r="AD35" s="1636"/>
      <c r="AE35" s="1614"/>
      <c r="AF35" s="1560"/>
      <c r="AG35" s="1560"/>
      <c r="AH35" s="1560"/>
      <c r="AI35" s="1564"/>
      <c r="AJ35" s="1564"/>
      <c r="AK35" s="1564"/>
      <c r="AL35" s="1564"/>
      <c r="AM35" s="1564"/>
      <c r="AN35" s="1564"/>
      <c r="AO35" s="1564"/>
      <c r="AP35" s="1617"/>
      <c r="AQ35" s="1564"/>
      <c r="AR35" s="1564"/>
      <c r="AS35" s="1564"/>
      <c r="AT35" s="1564"/>
      <c r="AU35" s="1611"/>
      <c r="AV35" s="1571">
        <v>1.5</v>
      </c>
      <c r="AW35" s="1571" t="s">
        <v>603</v>
      </c>
      <c r="AX35" s="1538" t="s">
        <v>569</v>
      </c>
      <c r="AY35" s="1572">
        <v>0.2</v>
      </c>
    </row>
    <row r="36" spans="2:51">
      <c r="B36" s="1542" t="str">
        <f t="shared" si="22"/>
        <v>1.5.1</v>
      </c>
      <c r="C36" s="1543" t="str">
        <f t="shared" ref="C36:C56" si="34">R36</f>
        <v>火災に耐える構造</v>
      </c>
      <c r="D36" s="1539">
        <f>IF(I$35=0,0,G36/I$35)</f>
        <v>0</v>
      </c>
      <c r="E36" s="1539">
        <f>IF(J$35=0,0,H36/J$35)</f>
        <v>0</v>
      </c>
      <c r="F36" s="1602"/>
      <c r="G36" s="1551">
        <f t="shared" si="3"/>
        <v>0</v>
      </c>
      <c r="H36" s="1551">
        <f t="shared" si="20"/>
        <v>0</v>
      </c>
      <c r="I36" s="1551"/>
      <c r="J36" s="1551"/>
      <c r="K36" s="1551">
        <f>IF(スコア!M36=0,0,1)</f>
        <v>0</v>
      </c>
      <c r="L36" s="1551">
        <f>IF(スコア!N36=0,0,1)</f>
        <v>0</v>
      </c>
      <c r="M36" s="1551">
        <f t="shared" si="4"/>
        <v>0.65</v>
      </c>
      <c r="N36" s="1551">
        <f t="shared" si="5"/>
        <v>0</v>
      </c>
      <c r="O36" s="1628"/>
      <c r="P36" s="1542" t="str">
        <f t="shared" si="32"/>
        <v>1.5.1</v>
      </c>
      <c r="Q36" s="1542" t="str">
        <f t="shared" si="32"/>
        <v>1.2.1.1</v>
      </c>
      <c r="R36" s="1542" t="str">
        <f t="shared" si="33"/>
        <v>火災に耐える構造</v>
      </c>
      <c r="S36" s="1635">
        <f t="shared" si="21"/>
        <v>0.65</v>
      </c>
      <c r="T36" s="1635"/>
      <c r="U36" s="1635"/>
      <c r="V36" s="1635"/>
      <c r="W36" s="1635"/>
      <c r="X36" s="1635"/>
      <c r="Y36" s="1635"/>
      <c r="Z36" s="1639"/>
      <c r="AA36" s="1635"/>
      <c r="AB36" s="1636"/>
      <c r="AC36" s="1636"/>
      <c r="AD36" s="1636"/>
      <c r="AE36" s="1614"/>
      <c r="AF36" s="1560"/>
      <c r="AG36" s="1560"/>
      <c r="AH36" s="1560"/>
      <c r="AI36" s="1564"/>
      <c r="AJ36" s="1564"/>
      <c r="AK36" s="1564"/>
      <c r="AL36" s="1564"/>
      <c r="AM36" s="1564"/>
      <c r="AN36" s="1564"/>
      <c r="AO36" s="1564"/>
      <c r="AP36" s="1617"/>
      <c r="AQ36" s="1564"/>
      <c r="AR36" s="1564"/>
      <c r="AS36" s="1564"/>
      <c r="AT36" s="1564"/>
      <c r="AU36" s="1611"/>
      <c r="AV36" s="1571" t="s">
        <v>609</v>
      </c>
      <c r="AW36" s="1571" t="s">
        <v>57</v>
      </c>
      <c r="AX36" s="1538" t="s">
        <v>299</v>
      </c>
      <c r="AY36" s="1572">
        <v>0.65</v>
      </c>
    </row>
    <row r="37" spans="2:51">
      <c r="B37" s="1537" t="str">
        <f t="shared" si="22"/>
        <v>1.5.2</v>
      </c>
      <c r="C37" s="1538" t="str">
        <f t="shared" si="34"/>
        <v>火災の早期感知</v>
      </c>
      <c r="D37" s="1539">
        <f>IF(I$35=0,0,G37/I$35)</f>
        <v>1</v>
      </c>
      <c r="E37" s="1539">
        <f>IF(J$35=0,0,H37/J$35)</f>
        <v>0</v>
      </c>
      <c r="F37" s="1602"/>
      <c r="G37" s="1551">
        <f t="shared" si="3"/>
        <v>0.35</v>
      </c>
      <c r="H37" s="1551">
        <f t="shared" si="20"/>
        <v>0</v>
      </c>
      <c r="I37" s="1551"/>
      <c r="J37" s="1551"/>
      <c r="K37" s="1551">
        <f>IF(スコア!M37=0,0,1)</f>
        <v>1</v>
      </c>
      <c r="L37" s="1551">
        <f>IF(スコア!N37=0,0,1)</f>
        <v>1</v>
      </c>
      <c r="M37" s="1551">
        <f t="shared" si="4"/>
        <v>0.35</v>
      </c>
      <c r="N37" s="1551">
        <f t="shared" si="5"/>
        <v>0</v>
      </c>
      <c r="O37" s="1628"/>
      <c r="P37" s="1542" t="str">
        <f t="shared" si="32"/>
        <v>1.5.2</v>
      </c>
      <c r="Q37" s="1542" t="str">
        <f t="shared" si="32"/>
        <v>1.2.1.1</v>
      </c>
      <c r="R37" s="1542" t="str">
        <f t="shared" si="33"/>
        <v>火災の早期感知</v>
      </c>
      <c r="S37" s="1635">
        <f t="shared" si="21"/>
        <v>0.35</v>
      </c>
      <c r="T37" s="1635"/>
      <c r="U37" s="1635"/>
      <c r="V37" s="1635"/>
      <c r="W37" s="1635"/>
      <c r="X37" s="1635"/>
      <c r="Y37" s="1635"/>
      <c r="Z37" s="1639"/>
      <c r="AA37" s="1635"/>
      <c r="AB37" s="1636"/>
      <c r="AC37" s="1636"/>
      <c r="AD37" s="1636"/>
      <c r="AE37" s="1614"/>
      <c r="AF37" s="1560"/>
      <c r="AG37" s="1560"/>
      <c r="AH37" s="1560"/>
      <c r="AI37" s="1564"/>
      <c r="AJ37" s="1564"/>
      <c r="AK37" s="1564"/>
      <c r="AL37" s="1564"/>
      <c r="AM37" s="1564"/>
      <c r="AN37" s="1564"/>
      <c r="AO37" s="1564"/>
      <c r="AP37" s="1617"/>
      <c r="AQ37" s="1564"/>
      <c r="AR37" s="1564"/>
      <c r="AS37" s="1564"/>
      <c r="AT37" s="1564"/>
      <c r="AU37" s="1611"/>
      <c r="AV37" s="1571" t="s">
        <v>610</v>
      </c>
      <c r="AW37" s="1571" t="s">
        <v>57</v>
      </c>
      <c r="AX37" s="1538" t="s">
        <v>570</v>
      </c>
      <c r="AY37" s="1572">
        <v>0.35</v>
      </c>
    </row>
    <row r="38" spans="2:51">
      <c r="B38" s="1534">
        <f t="shared" si="22"/>
        <v>2</v>
      </c>
      <c r="C38" s="1535" t="str">
        <f t="shared" si="34"/>
        <v>維持管理</v>
      </c>
      <c r="D38" s="1544">
        <f>IF(I$29=0,0,G38/I$29)</f>
        <v>0.25</v>
      </c>
      <c r="E38" s="1544">
        <f>IF(J$29=0,0,H38/J$29)</f>
        <v>0</v>
      </c>
      <c r="F38" s="1627"/>
      <c r="G38" s="1544">
        <f t="shared" si="3"/>
        <v>0.25</v>
      </c>
      <c r="H38" s="1544">
        <f t="shared" si="20"/>
        <v>0</v>
      </c>
      <c r="I38" s="1544">
        <f>G39+G40</f>
        <v>1</v>
      </c>
      <c r="J38" s="1544">
        <f>H39+H40</f>
        <v>0</v>
      </c>
      <c r="K38" s="1544">
        <f>IF(スコア!M38=0,0,1)</f>
        <v>1</v>
      </c>
      <c r="L38" s="1544">
        <f>IF(スコア!N38=0,0,1)</f>
        <v>1</v>
      </c>
      <c r="M38" s="1544">
        <f t="shared" si="4"/>
        <v>0.25</v>
      </c>
      <c r="N38" s="1544">
        <f t="shared" si="5"/>
        <v>0</v>
      </c>
      <c r="O38" s="1628"/>
      <c r="P38" s="1534">
        <f>IF($P$3=1,AF38,AV38)</f>
        <v>2</v>
      </c>
      <c r="Q38" s="1542" t="str">
        <f t="shared" ref="Q38:Q57" si="35">IF($P$3=1,AG38,AW38)</f>
        <v>1.2</v>
      </c>
      <c r="R38" s="1534" t="str">
        <f t="shared" si="33"/>
        <v>維持管理</v>
      </c>
      <c r="S38" s="1632">
        <f t="shared" si="21"/>
        <v>0.25</v>
      </c>
      <c r="T38" s="1632">
        <f>IF($P$3=1,AJ38,AZ38)</f>
        <v>0</v>
      </c>
      <c r="U38" s="1632">
        <f>IF($P$3=1,AK38,BA38)</f>
        <v>0</v>
      </c>
      <c r="V38" s="1632">
        <f t="shared" si="30"/>
        <v>0</v>
      </c>
      <c r="W38" s="1632">
        <f t="shared" si="30"/>
        <v>0</v>
      </c>
      <c r="X38" s="1632">
        <f t="shared" si="30"/>
        <v>0</v>
      </c>
      <c r="Y38" s="1632">
        <f t="shared" si="30"/>
        <v>0</v>
      </c>
      <c r="Z38" s="1648">
        <f t="shared" si="30"/>
        <v>0</v>
      </c>
      <c r="AA38" s="1632">
        <f t="shared" si="30"/>
        <v>0</v>
      </c>
      <c r="AB38" s="1634">
        <f t="shared" si="30"/>
        <v>0</v>
      </c>
      <c r="AC38" s="1632">
        <f t="shared" si="30"/>
        <v>0</v>
      </c>
      <c r="AD38" s="1632">
        <f t="shared" si="30"/>
        <v>0</v>
      </c>
      <c r="AE38" s="1614"/>
      <c r="AF38" s="1560"/>
      <c r="AG38" s="1560"/>
      <c r="AH38" s="1560"/>
      <c r="AI38" s="1564"/>
      <c r="AJ38" s="1564"/>
      <c r="AK38" s="1564"/>
      <c r="AL38" s="1564"/>
      <c r="AM38" s="1564"/>
      <c r="AN38" s="1564"/>
      <c r="AO38" s="1564"/>
      <c r="AP38" s="1617"/>
      <c r="AQ38" s="1564"/>
      <c r="AR38" s="1564"/>
      <c r="AS38" s="1564"/>
      <c r="AT38" s="1564"/>
      <c r="AU38" s="1611"/>
      <c r="AV38" s="1569">
        <v>2</v>
      </c>
      <c r="AW38" s="1569" t="s">
        <v>608</v>
      </c>
      <c r="AX38" s="1574" t="s">
        <v>571</v>
      </c>
      <c r="AY38" s="1570">
        <v>0.25</v>
      </c>
    </row>
    <row r="39" spans="2:51">
      <c r="B39" s="1537">
        <f t="shared" si="22"/>
        <v>2.1</v>
      </c>
      <c r="C39" s="1538" t="str">
        <f t="shared" si="34"/>
        <v>維持管理のしやすさ</v>
      </c>
      <c r="D39" s="1539">
        <f>IF(I$38=0,0,G39/I$38)</f>
        <v>0.65</v>
      </c>
      <c r="E39" s="1539">
        <f>IF(J$38=0,0,H39/J$38)</f>
        <v>0</v>
      </c>
      <c r="F39" s="1602"/>
      <c r="G39" s="1551">
        <f t="shared" si="3"/>
        <v>0.65</v>
      </c>
      <c r="H39" s="1551">
        <f t="shared" si="20"/>
        <v>0</v>
      </c>
      <c r="I39" s="1551"/>
      <c r="J39" s="1551"/>
      <c r="K39" s="1551">
        <f>IF(スコア!M39=0,0,1)</f>
        <v>1</v>
      </c>
      <c r="L39" s="1551">
        <f>IF(スコア!N39=0,0,1)</f>
        <v>1</v>
      </c>
      <c r="M39" s="1551">
        <f t="shared" si="4"/>
        <v>0.65</v>
      </c>
      <c r="N39" s="1551">
        <f t="shared" si="5"/>
        <v>0</v>
      </c>
      <c r="O39" s="1628"/>
      <c r="P39" s="1542">
        <f>IF($P$3=1,AF39,AV39)</f>
        <v>2.1</v>
      </c>
      <c r="Q39" s="1542" t="str">
        <f t="shared" si="35"/>
        <v>1.2.2</v>
      </c>
      <c r="R39" s="1542" t="str">
        <f t="shared" si="33"/>
        <v>維持管理のしやすさ</v>
      </c>
      <c r="S39" s="1635">
        <f t="shared" si="21"/>
        <v>0.65</v>
      </c>
      <c r="T39" s="1635">
        <f>IF($P$3=1,AJ39,AZ39)</f>
        <v>0</v>
      </c>
      <c r="U39" s="1635">
        <f>IF($P$3=1,AK39,BA39)</f>
        <v>0</v>
      </c>
      <c r="V39" s="1635">
        <f t="shared" si="30"/>
        <v>0</v>
      </c>
      <c r="W39" s="1635">
        <f t="shared" si="30"/>
        <v>0</v>
      </c>
      <c r="X39" s="1635">
        <f t="shared" si="30"/>
        <v>0</v>
      </c>
      <c r="Y39" s="1635">
        <f t="shared" si="30"/>
        <v>0</v>
      </c>
      <c r="Z39" s="1637">
        <f t="shared" si="30"/>
        <v>0</v>
      </c>
      <c r="AA39" s="1635">
        <f t="shared" si="30"/>
        <v>0</v>
      </c>
      <c r="AB39" s="1636">
        <f t="shared" si="30"/>
        <v>0</v>
      </c>
      <c r="AC39" s="1635">
        <f t="shared" si="30"/>
        <v>0</v>
      </c>
      <c r="AD39" s="1635">
        <f t="shared" si="30"/>
        <v>0</v>
      </c>
      <c r="AE39" s="1614"/>
      <c r="AF39" s="1560"/>
      <c r="AG39" s="1560"/>
      <c r="AH39" s="1560"/>
      <c r="AI39" s="1564"/>
      <c r="AJ39" s="1564"/>
      <c r="AK39" s="1564"/>
      <c r="AL39" s="1564"/>
      <c r="AM39" s="1564"/>
      <c r="AN39" s="1564"/>
      <c r="AO39" s="1564"/>
      <c r="AP39" s="1617"/>
      <c r="AQ39" s="1564"/>
      <c r="AR39" s="1564"/>
      <c r="AS39" s="1564"/>
      <c r="AT39" s="1564"/>
      <c r="AU39" s="1611"/>
      <c r="AV39" s="1571">
        <v>2.1</v>
      </c>
      <c r="AW39" s="1571" t="s">
        <v>605</v>
      </c>
      <c r="AX39" s="1543" t="s">
        <v>573</v>
      </c>
      <c r="AY39" s="1572">
        <v>0.65</v>
      </c>
    </row>
    <row r="40" spans="2:51">
      <c r="B40" s="1537">
        <f t="shared" si="22"/>
        <v>2.2000000000000002</v>
      </c>
      <c r="C40" s="1538" t="str">
        <f t="shared" si="34"/>
        <v>維持管理の計画・体制</v>
      </c>
      <c r="D40" s="1539">
        <f>IF(I$38=0,0,G40/I$38)</f>
        <v>0.35</v>
      </c>
      <c r="E40" s="1539">
        <f>IF(J$38=0,0,H40/J$38)</f>
        <v>0</v>
      </c>
      <c r="F40" s="1602"/>
      <c r="G40" s="1551">
        <f t="shared" si="3"/>
        <v>0.35</v>
      </c>
      <c r="H40" s="1551">
        <f t="shared" si="20"/>
        <v>0</v>
      </c>
      <c r="I40" s="1551"/>
      <c r="J40" s="1551"/>
      <c r="K40" s="1551">
        <f>IF(スコア!M40=0,0,1)</f>
        <v>1</v>
      </c>
      <c r="L40" s="1551">
        <f>IF(スコア!N40=0,0,1)</f>
        <v>1</v>
      </c>
      <c r="M40" s="1551">
        <f t="shared" si="4"/>
        <v>0.35</v>
      </c>
      <c r="N40" s="1551">
        <f t="shared" si="5"/>
        <v>0</v>
      </c>
      <c r="O40" s="1628"/>
      <c r="P40" s="1542">
        <f t="shared" ref="P40:X45" si="36">IF($P$3=1,AF40,AV40)</f>
        <v>2.2000000000000002</v>
      </c>
      <c r="Q40" s="1542"/>
      <c r="R40" s="1542" t="str">
        <f t="shared" si="36"/>
        <v>維持管理の計画・体制</v>
      </c>
      <c r="S40" s="1635">
        <f t="shared" si="36"/>
        <v>0.35</v>
      </c>
      <c r="T40" s="1635">
        <f t="shared" si="36"/>
        <v>0</v>
      </c>
      <c r="U40" s="1635">
        <f t="shared" si="36"/>
        <v>0</v>
      </c>
      <c r="V40" s="1635">
        <f t="shared" si="30"/>
        <v>0</v>
      </c>
      <c r="W40" s="1635">
        <f t="shared" si="30"/>
        <v>0</v>
      </c>
      <c r="X40" s="1635">
        <f t="shared" si="30"/>
        <v>0</v>
      </c>
      <c r="Y40" s="1635">
        <f t="shared" si="30"/>
        <v>0</v>
      </c>
      <c r="Z40" s="1637">
        <f t="shared" si="30"/>
        <v>0</v>
      </c>
      <c r="AA40" s="1635">
        <f t="shared" si="30"/>
        <v>0</v>
      </c>
      <c r="AB40" s="1636">
        <f t="shared" si="30"/>
        <v>0</v>
      </c>
      <c r="AC40" s="1635">
        <f t="shared" si="30"/>
        <v>0</v>
      </c>
      <c r="AD40" s="1635">
        <f t="shared" si="30"/>
        <v>0</v>
      </c>
      <c r="AE40" s="1614"/>
      <c r="AF40" s="1560"/>
      <c r="AG40" s="1560"/>
      <c r="AH40" s="1560"/>
      <c r="AI40" s="1564"/>
      <c r="AJ40" s="1564"/>
      <c r="AK40" s="1564"/>
      <c r="AL40" s="1564"/>
      <c r="AM40" s="1564"/>
      <c r="AN40" s="1564"/>
      <c r="AO40" s="1564"/>
      <c r="AP40" s="1617"/>
      <c r="AQ40" s="1564"/>
      <c r="AR40" s="1564"/>
      <c r="AS40" s="1564"/>
      <c r="AT40" s="1564"/>
      <c r="AU40" s="1611"/>
      <c r="AV40" s="1571">
        <v>2.2000000000000002</v>
      </c>
      <c r="AW40" s="1571" t="s">
        <v>605</v>
      </c>
      <c r="AX40" s="1543" t="s">
        <v>300</v>
      </c>
      <c r="AY40" s="1572">
        <v>0.35</v>
      </c>
    </row>
    <row r="41" spans="2:51">
      <c r="B41" s="1534">
        <f t="shared" si="22"/>
        <v>3</v>
      </c>
      <c r="C41" s="1535" t="str">
        <f t="shared" si="34"/>
        <v>機能性</v>
      </c>
      <c r="D41" s="1544">
        <f>IF(I$29=0,0,G41/I$29)</f>
        <v>0.25</v>
      </c>
      <c r="E41" s="1544">
        <f>IF(J$29=0,0,H41/J$29)</f>
        <v>0</v>
      </c>
      <c r="F41" s="1627"/>
      <c r="G41" s="1544">
        <f t="shared" si="3"/>
        <v>0.25</v>
      </c>
      <c r="H41" s="1544">
        <f t="shared" si="20"/>
        <v>0</v>
      </c>
      <c r="I41" s="1544">
        <f>G42+G43</f>
        <v>1</v>
      </c>
      <c r="J41" s="1544">
        <f>H42+H43</f>
        <v>0</v>
      </c>
      <c r="K41" s="1544">
        <f>IF(スコア!M41=0,0,1)</f>
        <v>1</v>
      </c>
      <c r="L41" s="1544">
        <f>IF(スコア!N41=0,0,1)</f>
        <v>1</v>
      </c>
      <c r="M41" s="1544">
        <f t="shared" ref="M41:M50" si="37">(S$7*S41)+(T$7*T41)+(U$7*U41)+(V$7*V41)+(W$7*W41)+(X$7*X41)+(Y$7*Y41)+(Z$7*Z41)+(AA$7*AA41)</f>
        <v>0.25</v>
      </c>
      <c r="N41" s="1544">
        <f t="shared" ref="N41:N50" si="38">(AB$7*AB41)+(AC$7*AC41)+(AD$7*AD41)</f>
        <v>0</v>
      </c>
      <c r="O41" s="1628"/>
      <c r="P41" s="1534">
        <f t="shared" si="36"/>
        <v>3</v>
      </c>
      <c r="Q41" s="1542" t="str">
        <f t="shared" si="35"/>
        <v>1.2</v>
      </c>
      <c r="R41" s="1534" t="str">
        <f t="shared" si="36"/>
        <v>機能性</v>
      </c>
      <c r="S41" s="1632">
        <f t="shared" si="36"/>
        <v>0.25</v>
      </c>
      <c r="T41" s="1632">
        <f t="shared" si="36"/>
        <v>0</v>
      </c>
      <c r="U41" s="1632">
        <f t="shared" si="36"/>
        <v>0</v>
      </c>
      <c r="V41" s="1632">
        <f t="shared" si="36"/>
        <v>0</v>
      </c>
      <c r="W41" s="1632">
        <f t="shared" si="36"/>
        <v>0</v>
      </c>
      <c r="X41" s="1632">
        <f t="shared" si="36"/>
        <v>0</v>
      </c>
      <c r="Y41" s="1632">
        <f t="shared" ref="Y41:AD46" si="39">IF($P$3=1,AO41,BE41)</f>
        <v>0</v>
      </c>
      <c r="Z41" s="1648">
        <f t="shared" si="39"/>
        <v>0</v>
      </c>
      <c r="AA41" s="1632">
        <f t="shared" si="39"/>
        <v>0</v>
      </c>
      <c r="AB41" s="1634">
        <f t="shared" si="39"/>
        <v>0</v>
      </c>
      <c r="AC41" s="1632">
        <f t="shared" si="39"/>
        <v>0</v>
      </c>
      <c r="AD41" s="1632">
        <f t="shared" si="39"/>
        <v>0</v>
      </c>
      <c r="AE41" s="1614"/>
      <c r="AF41" s="1560"/>
      <c r="AG41" s="1560"/>
      <c r="AH41" s="1560"/>
      <c r="AI41" s="1564"/>
      <c r="AJ41" s="1564"/>
      <c r="AK41" s="1564"/>
      <c r="AL41" s="1564"/>
      <c r="AM41" s="1564"/>
      <c r="AN41" s="1564"/>
      <c r="AO41" s="1564"/>
      <c r="AP41" s="1617"/>
      <c r="AQ41" s="1564"/>
      <c r="AR41" s="1564"/>
      <c r="AS41" s="1564"/>
      <c r="AT41" s="1564"/>
      <c r="AU41" s="1611"/>
      <c r="AV41" s="1569">
        <v>3</v>
      </c>
      <c r="AW41" s="1569" t="s">
        <v>608</v>
      </c>
      <c r="AX41" s="1574" t="s">
        <v>395</v>
      </c>
      <c r="AY41" s="1576">
        <v>0.25</v>
      </c>
    </row>
    <row r="42" spans="2:51">
      <c r="B42" s="1542">
        <f t="shared" si="22"/>
        <v>3.1</v>
      </c>
      <c r="C42" s="1543" t="str">
        <f t="shared" si="34"/>
        <v>広さと間取り</v>
      </c>
      <c r="D42" s="1539">
        <f>IF(I$41=0,0,G42/I$41)</f>
        <v>0.5</v>
      </c>
      <c r="E42" s="1539">
        <f>IF(J$41=0,0,H42/J$41)</f>
        <v>0</v>
      </c>
      <c r="F42" s="1602"/>
      <c r="G42" s="1551">
        <f t="shared" si="3"/>
        <v>0.5</v>
      </c>
      <c r="H42" s="1551">
        <f t="shared" si="20"/>
        <v>0</v>
      </c>
      <c r="I42" s="1551"/>
      <c r="J42" s="1551"/>
      <c r="K42" s="1551">
        <f>IF(スコア!M42=0,0,1)</f>
        <v>1</v>
      </c>
      <c r="L42" s="1551">
        <f>IF(スコア!N42=0,0,1)</f>
        <v>1</v>
      </c>
      <c r="M42" s="1551">
        <f t="shared" si="37"/>
        <v>0.5</v>
      </c>
      <c r="N42" s="1551">
        <f t="shared" si="38"/>
        <v>0</v>
      </c>
      <c r="O42" s="1649"/>
      <c r="P42" s="1542">
        <f t="shared" si="36"/>
        <v>3.1</v>
      </c>
      <c r="Q42" s="1542" t="str">
        <f t="shared" si="35"/>
        <v>1.2.3</v>
      </c>
      <c r="R42" s="1542" t="str">
        <f t="shared" si="36"/>
        <v>広さと間取り</v>
      </c>
      <c r="S42" s="1635">
        <f t="shared" si="36"/>
        <v>0.5</v>
      </c>
      <c r="T42" s="1635">
        <f t="shared" si="36"/>
        <v>0</v>
      </c>
      <c r="U42" s="1635">
        <f t="shared" si="36"/>
        <v>0</v>
      </c>
      <c r="V42" s="1635">
        <f t="shared" si="36"/>
        <v>0</v>
      </c>
      <c r="W42" s="1635">
        <f t="shared" si="36"/>
        <v>0</v>
      </c>
      <c r="X42" s="1635">
        <f t="shared" si="36"/>
        <v>0</v>
      </c>
      <c r="Y42" s="1635">
        <f t="shared" si="39"/>
        <v>0</v>
      </c>
      <c r="Z42" s="1637">
        <f t="shared" si="39"/>
        <v>0</v>
      </c>
      <c r="AA42" s="1635">
        <f t="shared" si="39"/>
        <v>0</v>
      </c>
      <c r="AB42" s="1636">
        <f t="shared" si="39"/>
        <v>0</v>
      </c>
      <c r="AC42" s="1635">
        <f t="shared" si="39"/>
        <v>0</v>
      </c>
      <c r="AD42" s="1635">
        <f t="shared" si="39"/>
        <v>0</v>
      </c>
      <c r="AE42" s="1614"/>
      <c r="AF42" s="1560"/>
      <c r="AG42" s="1560"/>
      <c r="AH42" s="1560"/>
      <c r="AI42" s="1564"/>
      <c r="AJ42" s="1564"/>
      <c r="AK42" s="1564"/>
      <c r="AL42" s="1564"/>
      <c r="AM42" s="1564"/>
      <c r="AN42" s="1564"/>
      <c r="AO42" s="1564"/>
      <c r="AP42" s="1617"/>
      <c r="AQ42" s="1564"/>
      <c r="AR42" s="1564"/>
      <c r="AS42" s="1564"/>
      <c r="AT42" s="1564"/>
      <c r="AU42" s="1611"/>
      <c r="AV42" s="1571">
        <v>3.1</v>
      </c>
      <c r="AW42" s="1571" t="s">
        <v>611</v>
      </c>
      <c r="AX42" s="1543" t="s">
        <v>575</v>
      </c>
      <c r="AY42" s="1572">
        <v>0.5</v>
      </c>
    </row>
    <row r="43" spans="2:51">
      <c r="B43" s="1537">
        <f t="shared" si="22"/>
        <v>3.2</v>
      </c>
      <c r="C43" s="1538" t="str">
        <f t="shared" si="34"/>
        <v>バリアフリー対応</v>
      </c>
      <c r="D43" s="1539">
        <f>IF(I$41=0,0,G43/I$41)</f>
        <v>0.5</v>
      </c>
      <c r="E43" s="1539">
        <f>IF(J$41=0,0,H43/J$41)</f>
        <v>0</v>
      </c>
      <c r="F43" s="1602"/>
      <c r="G43" s="1551">
        <f t="shared" si="3"/>
        <v>0.5</v>
      </c>
      <c r="H43" s="1551">
        <f t="shared" si="20"/>
        <v>0</v>
      </c>
      <c r="I43" s="1551"/>
      <c r="J43" s="1551"/>
      <c r="K43" s="1551">
        <f>IF(スコア!M43=0,0,1)</f>
        <v>1</v>
      </c>
      <c r="L43" s="1551">
        <f>IF(スコア!N43=0,0,1)</f>
        <v>1</v>
      </c>
      <c r="M43" s="1551">
        <f t="shared" si="37"/>
        <v>0.5</v>
      </c>
      <c r="N43" s="1551">
        <f t="shared" si="38"/>
        <v>0</v>
      </c>
      <c r="O43" s="1649"/>
      <c r="P43" s="1542">
        <f t="shared" si="36"/>
        <v>3.2</v>
      </c>
      <c r="Q43" s="1542" t="str">
        <f t="shared" si="35"/>
        <v>1.2.3</v>
      </c>
      <c r="R43" s="1542" t="str">
        <f t="shared" si="36"/>
        <v>バリアフリー対応</v>
      </c>
      <c r="S43" s="1635">
        <f t="shared" si="36"/>
        <v>0.5</v>
      </c>
      <c r="T43" s="1635">
        <f t="shared" si="36"/>
        <v>0</v>
      </c>
      <c r="U43" s="1635">
        <f t="shared" si="36"/>
        <v>0</v>
      </c>
      <c r="V43" s="1635">
        <f t="shared" si="36"/>
        <v>0</v>
      </c>
      <c r="W43" s="1635">
        <f t="shared" si="36"/>
        <v>0</v>
      </c>
      <c r="X43" s="1635">
        <f t="shared" si="36"/>
        <v>0</v>
      </c>
      <c r="Y43" s="1635">
        <f t="shared" si="39"/>
        <v>0</v>
      </c>
      <c r="Z43" s="1637">
        <f t="shared" si="39"/>
        <v>0</v>
      </c>
      <c r="AA43" s="1635">
        <f t="shared" si="39"/>
        <v>0</v>
      </c>
      <c r="AB43" s="1636">
        <f t="shared" si="39"/>
        <v>0</v>
      </c>
      <c r="AC43" s="1635">
        <f t="shared" si="39"/>
        <v>0</v>
      </c>
      <c r="AD43" s="1635">
        <f t="shared" si="39"/>
        <v>0</v>
      </c>
      <c r="AE43" s="1614"/>
      <c r="AF43" s="1560"/>
      <c r="AG43" s="1560"/>
      <c r="AH43" s="1560"/>
      <c r="AI43" s="1564"/>
      <c r="AJ43" s="1564"/>
      <c r="AK43" s="1564"/>
      <c r="AL43" s="1564"/>
      <c r="AM43" s="1564"/>
      <c r="AN43" s="1564"/>
      <c r="AO43" s="1564"/>
      <c r="AP43" s="1617"/>
      <c r="AQ43" s="1564"/>
      <c r="AR43" s="1564"/>
      <c r="AS43" s="1564"/>
      <c r="AT43" s="1564"/>
      <c r="AU43" s="1611"/>
      <c r="AV43" s="1571">
        <v>3.2</v>
      </c>
      <c r="AW43" s="1571" t="s">
        <v>611</v>
      </c>
      <c r="AX43" s="1538" t="s">
        <v>576</v>
      </c>
      <c r="AY43" s="1572">
        <v>0.5</v>
      </c>
    </row>
    <row r="44" spans="2:51">
      <c r="B44" s="1531" t="s">
        <v>501</v>
      </c>
      <c r="C44" s="1532" t="str">
        <f t="shared" si="34"/>
        <v>まちなみ・生態系を豊かにする</v>
      </c>
      <c r="D44" s="1533">
        <f>IF(I$8=0,0,G44/I$8)</f>
        <v>0.25</v>
      </c>
      <c r="E44" s="1533">
        <f>IF(J$8=0,0,H44/J$8)</f>
        <v>0</v>
      </c>
      <c r="F44" s="1644"/>
      <c r="G44" s="1550">
        <f t="shared" si="3"/>
        <v>0.25</v>
      </c>
      <c r="H44" s="1550">
        <f t="shared" si="20"/>
        <v>0</v>
      </c>
      <c r="I44" s="1550">
        <f>G45+G46+G49+G50</f>
        <v>1</v>
      </c>
      <c r="J44" s="1550">
        <f>H45+H46+H49</f>
        <v>0</v>
      </c>
      <c r="K44" s="1550">
        <f>IF(スコア!Q44=0,0,1)</f>
        <v>1</v>
      </c>
      <c r="L44" s="1550">
        <f>IF(スコア!R44=0,0,1)</f>
        <v>0</v>
      </c>
      <c r="M44" s="1550">
        <f t="shared" si="37"/>
        <v>0.25</v>
      </c>
      <c r="N44" s="1550">
        <f t="shared" si="38"/>
        <v>0</v>
      </c>
      <c r="O44" s="1650"/>
      <c r="P44" s="1629" t="str">
        <f t="shared" si="36"/>
        <v>QH3</v>
      </c>
      <c r="Q44" s="1629" t="str">
        <f t="shared" si="35"/>
        <v>1</v>
      </c>
      <c r="R44" s="1629" t="str">
        <f t="shared" si="36"/>
        <v>まちなみ・生態系を豊かにする</v>
      </c>
      <c r="S44" s="1630">
        <f t="shared" si="36"/>
        <v>0.25</v>
      </c>
      <c r="T44" s="1630">
        <f t="shared" si="36"/>
        <v>0</v>
      </c>
      <c r="U44" s="1630">
        <f t="shared" si="36"/>
        <v>0</v>
      </c>
      <c r="V44" s="1630">
        <f t="shared" si="36"/>
        <v>0</v>
      </c>
      <c r="W44" s="1630">
        <f t="shared" si="36"/>
        <v>0</v>
      </c>
      <c r="X44" s="1630">
        <f t="shared" si="36"/>
        <v>0</v>
      </c>
      <c r="Y44" s="1630">
        <f t="shared" si="39"/>
        <v>0</v>
      </c>
      <c r="Z44" s="1630">
        <f t="shared" si="39"/>
        <v>0</v>
      </c>
      <c r="AA44" s="1630">
        <f t="shared" si="39"/>
        <v>0</v>
      </c>
      <c r="AB44" s="1631">
        <f t="shared" si="39"/>
        <v>0</v>
      </c>
      <c r="AC44" s="1630">
        <f t="shared" si="39"/>
        <v>0</v>
      </c>
      <c r="AD44" s="1630">
        <f t="shared" si="39"/>
        <v>0</v>
      </c>
      <c r="AE44" s="1640"/>
      <c r="AF44" s="1565"/>
      <c r="AG44" s="1565"/>
      <c r="AH44" s="1565"/>
      <c r="AI44" s="1641"/>
      <c r="AJ44" s="1641"/>
      <c r="AK44" s="1641"/>
      <c r="AL44" s="1641"/>
      <c r="AM44" s="1641"/>
      <c r="AN44" s="1641"/>
      <c r="AO44" s="1641"/>
      <c r="AP44" s="1642"/>
      <c r="AQ44" s="1641"/>
      <c r="AR44" s="1641"/>
      <c r="AS44" s="1641"/>
      <c r="AT44" s="1641"/>
      <c r="AU44" s="1643"/>
      <c r="AV44" s="1531" t="s">
        <v>501</v>
      </c>
      <c r="AW44" s="1531" t="s">
        <v>600</v>
      </c>
      <c r="AX44" s="1532" t="s">
        <v>577</v>
      </c>
      <c r="AY44" s="1568">
        <v>0.25</v>
      </c>
    </row>
    <row r="45" spans="2:51">
      <c r="B45" s="1534">
        <f t="shared" si="22"/>
        <v>1</v>
      </c>
      <c r="C45" s="1535" t="str">
        <f t="shared" si="34"/>
        <v>まちなみ・景観への配慮</v>
      </c>
      <c r="D45" s="1536">
        <f>IF(I$44=0,0,G45/I$44)</f>
        <v>0.3</v>
      </c>
      <c r="E45" s="1536">
        <f>IF(J$44=0,0,H45/J$44)</f>
        <v>0</v>
      </c>
      <c r="F45" s="1627"/>
      <c r="G45" s="1544">
        <f t="shared" si="3"/>
        <v>0.3</v>
      </c>
      <c r="H45" s="1544">
        <f t="shared" si="20"/>
        <v>0</v>
      </c>
      <c r="I45" s="1544"/>
      <c r="J45" s="1544"/>
      <c r="K45" s="1544">
        <f>IF(スコア!M45=0,0,1)</f>
        <v>1</v>
      </c>
      <c r="L45" s="1544">
        <f>IF(スコア!N45=0,0,1)</f>
        <v>1</v>
      </c>
      <c r="M45" s="1544">
        <f t="shared" si="37"/>
        <v>0.3</v>
      </c>
      <c r="N45" s="1544">
        <f t="shared" si="38"/>
        <v>0</v>
      </c>
      <c r="O45" s="1651"/>
      <c r="P45" s="1534">
        <f t="shared" si="36"/>
        <v>1</v>
      </c>
      <c r="Q45" s="1652" t="str">
        <f t="shared" si="35"/>
        <v>1.3</v>
      </c>
      <c r="R45" s="1534" t="str">
        <f t="shared" ref="R45:R51" si="40">IF($P$3=1,AH45,AX45)</f>
        <v>まちなみ・景観への配慮</v>
      </c>
      <c r="S45" s="1632">
        <f t="shared" si="36"/>
        <v>0.3</v>
      </c>
      <c r="T45" s="1632">
        <f t="shared" ref="T45:X46" si="41">IF($P$3=1,AJ45,AZ45)</f>
        <v>0</v>
      </c>
      <c r="U45" s="1632">
        <f t="shared" si="41"/>
        <v>0</v>
      </c>
      <c r="V45" s="1632">
        <f t="shared" si="41"/>
        <v>0</v>
      </c>
      <c r="W45" s="1632">
        <f t="shared" si="41"/>
        <v>0</v>
      </c>
      <c r="X45" s="1632">
        <f t="shared" si="41"/>
        <v>0</v>
      </c>
      <c r="Y45" s="1632">
        <f t="shared" si="39"/>
        <v>0</v>
      </c>
      <c r="Z45" s="1648">
        <f t="shared" si="39"/>
        <v>0</v>
      </c>
      <c r="AA45" s="1632">
        <f t="shared" si="39"/>
        <v>0</v>
      </c>
      <c r="AB45" s="1634">
        <f t="shared" si="39"/>
        <v>0</v>
      </c>
      <c r="AC45" s="1632">
        <f t="shared" si="39"/>
        <v>0</v>
      </c>
      <c r="AD45" s="1632">
        <f t="shared" si="39"/>
        <v>0</v>
      </c>
      <c r="AE45" s="1614"/>
      <c r="AF45" s="1560"/>
      <c r="AG45" s="1560"/>
      <c r="AH45" s="1560"/>
      <c r="AI45" s="1564"/>
      <c r="AJ45" s="1564"/>
      <c r="AK45" s="1564"/>
      <c r="AL45" s="1564"/>
      <c r="AM45" s="1564"/>
      <c r="AN45" s="1564"/>
      <c r="AO45" s="1564"/>
      <c r="AP45" s="1617"/>
      <c r="AQ45" s="1564"/>
      <c r="AR45" s="1564"/>
      <c r="AS45" s="1564"/>
      <c r="AT45" s="1564"/>
      <c r="AU45" s="1611"/>
      <c r="AV45" s="1569">
        <v>1</v>
      </c>
      <c r="AW45" s="1569" t="s">
        <v>58</v>
      </c>
      <c r="AX45" s="1574" t="s">
        <v>393</v>
      </c>
      <c r="AY45" s="1576">
        <v>0.3</v>
      </c>
    </row>
    <row r="46" spans="2:51">
      <c r="B46" s="1534">
        <f t="shared" si="22"/>
        <v>2</v>
      </c>
      <c r="C46" s="1535" t="str">
        <f t="shared" si="34"/>
        <v>生物環境の創出</v>
      </c>
      <c r="D46" s="1536">
        <f>IF(I$44=0,0,G46/I$44)</f>
        <v>0.3</v>
      </c>
      <c r="E46" s="1536">
        <f>IF(J$44=0,0,H46/J$44)</f>
        <v>0</v>
      </c>
      <c r="F46" s="1627"/>
      <c r="G46" s="1544">
        <f t="shared" si="3"/>
        <v>0.3</v>
      </c>
      <c r="H46" s="1544">
        <f t="shared" si="20"/>
        <v>0</v>
      </c>
      <c r="I46" s="1653">
        <f>SUM(G47:G48)</f>
        <v>1</v>
      </c>
      <c r="J46" s="1653">
        <f>SUM(H47:H48)</f>
        <v>0</v>
      </c>
      <c r="K46" s="1544">
        <f>IF(スコア!M46=0,0,1)</f>
        <v>1</v>
      </c>
      <c r="L46" s="1544">
        <f>IF(スコア!N46=0,0,1)</f>
        <v>1</v>
      </c>
      <c r="M46" s="1544">
        <f t="shared" si="37"/>
        <v>0.3</v>
      </c>
      <c r="N46" s="1544">
        <f t="shared" si="38"/>
        <v>0</v>
      </c>
      <c r="O46" s="1651"/>
      <c r="P46" s="1534">
        <f t="shared" ref="P46:P51" si="42">IF($P$3=1,AF46,AV46)</f>
        <v>2</v>
      </c>
      <c r="Q46" s="1534" t="str">
        <f t="shared" si="35"/>
        <v>1.3</v>
      </c>
      <c r="R46" s="1534" t="str">
        <f t="shared" si="40"/>
        <v>生物環境の創出</v>
      </c>
      <c r="S46" s="1632">
        <f t="shared" ref="S46:S54" si="43">IF($P$3=1,AI46,AY46)</f>
        <v>0.3</v>
      </c>
      <c r="T46" s="1632">
        <f t="shared" si="41"/>
        <v>0</v>
      </c>
      <c r="U46" s="1632">
        <f t="shared" si="41"/>
        <v>0</v>
      </c>
      <c r="V46" s="1632">
        <f t="shared" si="41"/>
        <v>0</v>
      </c>
      <c r="W46" s="1632">
        <f t="shared" si="41"/>
        <v>0</v>
      </c>
      <c r="X46" s="1632">
        <f t="shared" si="41"/>
        <v>0</v>
      </c>
      <c r="Y46" s="1632">
        <f t="shared" si="39"/>
        <v>0</v>
      </c>
      <c r="Z46" s="1648">
        <f t="shared" si="39"/>
        <v>0</v>
      </c>
      <c r="AA46" s="1632">
        <f t="shared" si="39"/>
        <v>0</v>
      </c>
      <c r="AB46" s="1634">
        <f t="shared" si="39"/>
        <v>0</v>
      </c>
      <c r="AC46" s="1632">
        <f t="shared" si="39"/>
        <v>0</v>
      </c>
      <c r="AD46" s="1632">
        <f t="shared" si="39"/>
        <v>0</v>
      </c>
      <c r="AE46" s="1614"/>
      <c r="AF46" s="1560"/>
      <c r="AG46" s="1560"/>
      <c r="AH46" s="1560"/>
      <c r="AI46" s="1564"/>
      <c r="AJ46" s="1564"/>
      <c r="AK46" s="1564"/>
      <c r="AL46" s="1564"/>
      <c r="AM46" s="1564"/>
      <c r="AN46" s="1564"/>
      <c r="AO46" s="1564"/>
      <c r="AP46" s="1617"/>
      <c r="AQ46" s="1564"/>
      <c r="AR46" s="1564"/>
      <c r="AS46" s="1564"/>
      <c r="AT46" s="1564"/>
      <c r="AU46" s="1611"/>
      <c r="AV46" s="1569">
        <v>2</v>
      </c>
      <c r="AW46" s="1569" t="s">
        <v>58</v>
      </c>
      <c r="AX46" s="1574" t="s">
        <v>502</v>
      </c>
      <c r="AY46" s="1576">
        <v>0.3</v>
      </c>
    </row>
    <row r="47" spans="2:51">
      <c r="B47" s="1542">
        <f t="shared" si="22"/>
        <v>2.1</v>
      </c>
      <c r="C47" s="1543" t="str">
        <f t="shared" si="34"/>
        <v>敷地内の緑化</v>
      </c>
      <c r="D47" s="1539">
        <f>IF(I$46=0,0,G47/I$46)</f>
        <v>0.65</v>
      </c>
      <c r="E47" s="1539">
        <f>IF(J$46=0,0,H47/J$46)</f>
        <v>0</v>
      </c>
      <c r="F47" s="1602"/>
      <c r="G47" s="1551">
        <f t="shared" si="3"/>
        <v>0.65</v>
      </c>
      <c r="H47" s="1551">
        <f t="shared" si="20"/>
        <v>0</v>
      </c>
      <c r="I47" s="1551"/>
      <c r="J47" s="1551"/>
      <c r="K47" s="1551">
        <f>IF(スコア!M47=0,0,1)</f>
        <v>1</v>
      </c>
      <c r="L47" s="1551">
        <f>IF(スコア!N47=0,0,1)</f>
        <v>1</v>
      </c>
      <c r="M47" s="1551">
        <f t="shared" si="37"/>
        <v>0.65</v>
      </c>
      <c r="N47" s="1551">
        <f t="shared" si="38"/>
        <v>0</v>
      </c>
      <c r="O47" s="1654"/>
      <c r="P47" s="1542">
        <f t="shared" si="42"/>
        <v>2.1</v>
      </c>
      <c r="Q47" s="1542" t="str">
        <f t="shared" si="35"/>
        <v>1.3.2</v>
      </c>
      <c r="R47" s="1542" t="str">
        <f t="shared" si="40"/>
        <v>敷地内の緑化</v>
      </c>
      <c r="S47" s="1655">
        <f t="shared" si="43"/>
        <v>0.65</v>
      </c>
      <c r="T47" s="1655"/>
      <c r="U47" s="1655"/>
      <c r="V47" s="1655"/>
      <c r="W47" s="1655"/>
      <c r="X47" s="1655"/>
      <c r="Y47" s="1655"/>
      <c r="Z47" s="1656"/>
      <c r="AA47" s="1655"/>
      <c r="AB47" s="1657"/>
      <c r="AC47" s="1655"/>
      <c r="AD47" s="1655"/>
      <c r="AE47" s="1614"/>
      <c r="AF47" s="1560"/>
      <c r="AG47" s="1560"/>
      <c r="AH47" s="1560"/>
      <c r="AI47" s="1564"/>
      <c r="AJ47" s="1564"/>
      <c r="AK47" s="1564"/>
      <c r="AL47" s="1564"/>
      <c r="AM47" s="1564"/>
      <c r="AN47" s="1564"/>
      <c r="AO47" s="1564"/>
      <c r="AP47" s="1617"/>
      <c r="AQ47" s="1564"/>
      <c r="AR47" s="1564"/>
      <c r="AS47" s="1564"/>
      <c r="AT47" s="1564"/>
      <c r="AU47" s="1611"/>
      <c r="AV47" s="1571">
        <v>2.1</v>
      </c>
      <c r="AW47" s="1571" t="s">
        <v>59</v>
      </c>
      <c r="AX47" s="1538" t="s">
        <v>579</v>
      </c>
      <c r="AY47" s="1572">
        <v>0.65</v>
      </c>
    </row>
    <row r="48" spans="2:51">
      <c r="B48" s="1537">
        <f t="shared" si="22"/>
        <v>2.2000000000000002</v>
      </c>
      <c r="C48" s="1538" t="str">
        <f t="shared" si="34"/>
        <v>生物の生息環境の確保</v>
      </c>
      <c r="D48" s="1539">
        <f>IF(I$46=0,0,G48/I$46)</f>
        <v>0.35</v>
      </c>
      <c r="E48" s="1539">
        <f>IF(J$46=0,0,H48/J$46)</f>
        <v>0</v>
      </c>
      <c r="F48" s="1602"/>
      <c r="G48" s="1551">
        <f t="shared" si="3"/>
        <v>0.35</v>
      </c>
      <c r="H48" s="1551">
        <f t="shared" si="20"/>
        <v>0</v>
      </c>
      <c r="I48" s="1551"/>
      <c r="J48" s="1551"/>
      <c r="K48" s="1551">
        <f>IF(スコア!M48=0,0,1)</f>
        <v>1</v>
      </c>
      <c r="L48" s="1551">
        <f>IF(スコア!N48=0,0,1)</f>
        <v>1</v>
      </c>
      <c r="M48" s="1551">
        <f t="shared" si="37"/>
        <v>0.35</v>
      </c>
      <c r="N48" s="1551">
        <f t="shared" si="38"/>
        <v>0</v>
      </c>
      <c r="O48" s="1654"/>
      <c r="P48" s="1542">
        <f t="shared" si="42"/>
        <v>2.2000000000000002</v>
      </c>
      <c r="Q48" s="1542" t="str">
        <f t="shared" si="35"/>
        <v>1.3.2</v>
      </c>
      <c r="R48" s="1542" t="str">
        <f t="shared" si="40"/>
        <v>生物の生息環境の確保</v>
      </c>
      <c r="S48" s="1655">
        <f t="shared" si="43"/>
        <v>0.35</v>
      </c>
      <c r="T48" s="1655"/>
      <c r="U48" s="1655"/>
      <c r="V48" s="1655"/>
      <c r="W48" s="1655"/>
      <c r="X48" s="1655"/>
      <c r="Y48" s="1655"/>
      <c r="Z48" s="1656"/>
      <c r="AA48" s="1655"/>
      <c r="AB48" s="1657"/>
      <c r="AC48" s="1655"/>
      <c r="AD48" s="1655"/>
      <c r="AE48" s="1614"/>
      <c r="AF48" s="1560"/>
      <c r="AG48" s="1560"/>
      <c r="AH48" s="1560"/>
      <c r="AI48" s="1564"/>
      <c r="AJ48" s="1564"/>
      <c r="AK48" s="1564"/>
      <c r="AL48" s="1564"/>
      <c r="AM48" s="1564"/>
      <c r="AN48" s="1564"/>
      <c r="AO48" s="1564"/>
      <c r="AP48" s="1617"/>
      <c r="AQ48" s="1564"/>
      <c r="AR48" s="1564"/>
      <c r="AS48" s="1564"/>
      <c r="AT48" s="1564"/>
      <c r="AU48" s="1611"/>
      <c r="AV48" s="1571">
        <v>2.2000000000000002</v>
      </c>
      <c r="AW48" s="1571" t="s">
        <v>59</v>
      </c>
      <c r="AX48" s="1538" t="s">
        <v>580</v>
      </c>
      <c r="AY48" s="1572">
        <v>0.35</v>
      </c>
    </row>
    <row r="49" spans="2:51">
      <c r="B49" s="1534">
        <f t="shared" si="22"/>
        <v>3</v>
      </c>
      <c r="C49" s="1535" t="str">
        <f t="shared" si="34"/>
        <v>地域の安全・安心</v>
      </c>
      <c r="D49" s="1536">
        <f>IF(I$44=0,0,G49/I$44)</f>
        <v>0.2</v>
      </c>
      <c r="E49" s="1536">
        <f>IF(J$44=0,0,H49/J$44)</f>
        <v>0</v>
      </c>
      <c r="F49" s="1627"/>
      <c r="G49" s="1544">
        <f t="shared" si="3"/>
        <v>0.2</v>
      </c>
      <c r="H49" s="1544">
        <f t="shared" si="20"/>
        <v>0</v>
      </c>
      <c r="I49" s="1653"/>
      <c r="J49" s="1653"/>
      <c r="K49" s="1544">
        <f>IF(スコア!M49=0,0,1)</f>
        <v>1</v>
      </c>
      <c r="L49" s="1544">
        <f>IF(スコア!N49=0,0,1)</f>
        <v>1</v>
      </c>
      <c r="M49" s="1544">
        <f t="shared" si="37"/>
        <v>0.2</v>
      </c>
      <c r="N49" s="1544">
        <f t="shared" si="38"/>
        <v>0</v>
      </c>
      <c r="O49" s="1651"/>
      <c r="P49" s="1534">
        <f t="shared" si="42"/>
        <v>3</v>
      </c>
      <c r="Q49" s="1534" t="str">
        <f t="shared" si="35"/>
        <v>1.3</v>
      </c>
      <c r="R49" s="1534" t="str">
        <f t="shared" si="40"/>
        <v>地域の安全・安心</v>
      </c>
      <c r="S49" s="1632">
        <f t="shared" si="43"/>
        <v>0.2</v>
      </c>
      <c r="T49" s="1632">
        <f t="shared" ref="T49:AD49" si="44">IF($P$3=1,AJ49,AZ49)</f>
        <v>0</v>
      </c>
      <c r="U49" s="1632">
        <f t="shared" si="44"/>
        <v>0</v>
      </c>
      <c r="V49" s="1632">
        <f t="shared" si="44"/>
        <v>0</v>
      </c>
      <c r="W49" s="1632">
        <f t="shared" si="44"/>
        <v>0</v>
      </c>
      <c r="X49" s="1632">
        <f t="shared" si="44"/>
        <v>0</v>
      </c>
      <c r="Y49" s="1632">
        <f t="shared" si="44"/>
        <v>0</v>
      </c>
      <c r="Z49" s="1648">
        <f t="shared" si="44"/>
        <v>0</v>
      </c>
      <c r="AA49" s="1632">
        <f t="shared" si="44"/>
        <v>0</v>
      </c>
      <c r="AB49" s="1634">
        <f t="shared" si="44"/>
        <v>0</v>
      </c>
      <c r="AC49" s="1632">
        <f t="shared" si="44"/>
        <v>0</v>
      </c>
      <c r="AD49" s="1632">
        <f t="shared" si="44"/>
        <v>0</v>
      </c>
      <c r="AE49" s="1614"/>
      <c r="AF49" s="1560"/>
      <c r="AG49" s="1560"/>
      <c r="AH49" s="1560"/>
      <c r="AI49" s="1564"/>
      <c r="AJ49" s="1564"/>
      <c r="AK49" s="1564"/>
      <c r="AL49" s="1564"/>
      <c r="AM49" s="1564"/>
      <c r="AN49" s="1564"/>
      <c r="AO49" s="1564"/>
      <c r="AP49" s="1617"/>
      <c r="AQ49" s="1564"/>
      <c r="AR49" s="1564"/>
      <c r="AS49" s="1564"/>
      <c r="AT49" s="1564"/>
      <c r="AU49" s="1611"/>
      <c r="AV49" s="1569">
        <v>3</v>
      </c>
      <c r="AW49" s="1569" t="s">
        <v>58</v>
      </c>
      <c r="AX49" s="1574" t="s">
        <v>578</v>
      </c>
      <c r="AY49" s="1576">
        <v>0.2</v>
      </c>
    </row>
    <row r="50" spans="2:51">
      <c r="B50" s="1534">
        <f t="shared" si="22"/>
        <v>4</v>
      </c>
      <c r="C50" s="1535" t="str">
        <f t="shared" si="34"/>
        <v>地域の資源の活用と住文化の継承</v>
      </c>
      <c r="D50" s="1536">
        <f>IF(I$44=0,0,G50/I$44)</f>
        <v>0.2</v>
      </c>
      <c r="E50" s="1536">
        <f>IF(J$44=0,0,H50/J$44)</f>
        <v>0</v>
      </c>
      <c r="F50" s="1627"/>
      <c r="G50" s="1544">
        <f t="shared" si="3"/>
        <v>0.2</v>
      </c>
      <c r="H50" s="1544">
        <f t="shared" si="20"/>
        <v>0</v>
      </c>
      <c r="I50" s="1544"/>
      <c r="J50" s="1544"/>
      <c r="K50" s="1544">
        <f>IF(スコア!M50=0,0,1)</f>
        <v>1</v>
      </c>
      <c r="L50" s="1544">
        <f>IF(スコア!N50=0,0,1)</f>
        <v>1</v>
      </c>
      <c r="M50" s="1544">
        <f t="shared" si="37"/>
        <v>0.2</v>
      </c>
      <c r="N50" s="1544">
        <f t="shared" si="38"/>
        <v>0</v>
      </c>
      <c r="O50" s="1651"/>
      <c r="P50" s="1534">
        <f t="shared" si="42"/>
        <v>4</v>
      </c>
      <c r="Q50" s="1534" t="str">
        <f>IF($P$3=1,AG50,AW50)</f>
        <v>1.3</v>
      </c>
      <c r="R50" s="1534" t="str">
        <f t="shared" si="40"/>
        <v>地域の資源の活用と住文化の継承</v>
      </c>
      <c r="S50" s="1632">
        <f t="shared" si="43"/>
        <v>0.2</v>
      </c>
      <c r="T50" s="1632"/>
      <c r="U50" s="1632"/>
      <c r="V50" s="1632"/>
      <c r="W50" s="1632"/>
      <c r="X50" s="1632"/>
      <c r="Y50" s="1632"/>
      <c r="Z50" s="1648"/>
      <c r="AA50" s="1632"/>
      <c r="AB50" s="1634"/>
      <c r="AC50" s="1632"/>
      <c r="AD50" s="1632"/>
      <c r="AE50" s="1640"/>
      <c r="AF50" s="1565"/>
      <c r="AG50" s="1565"/>
      <c r="AH50" s="1565"/>
      <c r="AI50" s="1641"/>
      <c r="AJ50" s="1641"/>
      <c r="AK50" s="1641"/>
      <c r="AL50" s="1641"/>
      <c r="AM50" s="1641"/>
      <c r="AN50" s="1641"/>
      <c r="AO50" s="1641"/>
      <c r="AP50" s="1642"/>
      <c r="AQ50" s="1641"/>
      <c r="AR50" s="1641"/>
      <c r="AS50" s="1641"/>
      <c r="AT50" s="1641"/>
      <c r="AU50" s="1643"/>
      <c r="AV50" s="1569">
        <v>4</v>
      </c>
      <c r="AW50" s="1569" t="s">
        <v>58</v>
      </c>
      <c r="AX50" s="1574" t="s">
        <v>816</v>
      </c>
      <c r="AY50" s="1570">
        <v>0.2</v>
      </c>
    </row>
    <row r="51" spans="2:51" ht="16.5">
      <c r="B51" s="1528" t="s">
        <v>497</v>
      </c>
      <c r="C51" s="1529" t="str">
        <f t="shared" si="34"/>
        <v>すまいの環境負荷低減性</v>
      </c>
      <c r="D51" s="1530"/>
      <c r="E51" s="1530"/>
      <c r="F51" s="829"/>
      <c r="G51" s="1549"/>
      <c r="H51" s="1549"/>
      <c r="I51" s="1549" t="e">
        <f>G52+G62+G79</f>
        <v>#VALUE!</v>
      </c>
      <c r="J51" s="1549">
        <f>H52+H62+H79</f>
        <v>0</v>
      </c>
      <c r="K51" s="1549"/>
      <c r="L51" s="1549"/>
      <c r="M51" s="1549"/>
      <c r="N51" s="1549"/>
      <c r="O51" s="1618"/>
      <c r="P51" s="1619" t="str">
        <f t="shared" si="42"/>
        <v>LRH</v>
      </c>
      <c r="Q51" s="1658"/>
      <c r="R51" s="1658" t="str">
        <f t="shared" si="40"/>
        <v>すまいの環境負荷低減性</v>
      </c>
      <c r="S51" s="1659"/>
      <c r="T51" s="1659"/>
      <c r="U51" s="1659"/>
      <c r="V51" s="1659"/>
      <c r="W51" s="1659"/>
      <c r="X51" s="1659"/>
      <c r="Y51" s="1659"/>
      <c r="Z51" s="1660"/>
      <c r="AA51" s="1659"/>
      <c r="AB51" s="1661"/>
      <c r="AC51" s="1578"/>
      <c r="AD51" s="1578"/>
      <c r="AE51" s="1624"/>
      <c r="AF51" s="1560"/>
      <c r="AG51" s="1560"/>
      <c r="AH51" s="1560"/>
      <c r="AI51" s="1625"/>
      <c r="AJ51" s="1625"/>
      <c r="AK51" s="1625"/>
      <c r="AL51" s="1625"/>
      <c r="AM51" s="1625"/>
      <c r="AN51" s="1625"/>
      <c r="AO51" s="1625"/>
      <c r="AP51" s="1626"/>
      <c r="AQ51" s="1625"/>
      <c r="AR51" s="1625"/>
      <c r="AS51" s="1625"/>
      <c r="AT51" s="1625"/>
      <c r="AU51" s="1611"/>
      <c r="AV51" s="1528" t="s">
        <v>497</v>
      </c>
      <c r="AW51" s="1565"/>
      <c r="AX51" s="1577" t="s">
        <v>790</v>
      </c>
      <c r="AY51" s="1578"/>
    </row>
    <row r="52" spans="2:51">
      <c r="B52" s="1531" t="s">
        <v>503</v>
      </c>
      <c r="C52" s="1532" t="str">
        <f t="shared" si="34"/>
        <v>エネルギーと水を大切に使う</v>
      </c>
      <c r="D52" s="1545" t="e">
        <f>IF(I$51=0,0,G52/I$51)</f>
        <v>#VALUE!</v>
      </c>
      <c r="E52" s="1545">
        <f>IF(J$51=0,0,H52/J$51)</f>
        <v>0</v>
      </c>
      <c r="F52" s="1627"/>
      <c r="G52" s="1550">
        <f>K52*((S$7*S52)+(T$7*T52)+(U$7*U52)+(V$7*V52)+(W$7*W52)+(X$7*X52)+(Y$7*Y52)+(Z$7*Z52)+(AA$7*AA52))</f>
        <v>0.35</v>
      </c>
      <c r="H52" s="1550">
        <f t="shared" ref="H52:H64" si="45">L52*((AB$7*AB52)+(AC$7*AC52)+(AD$7*AD52))</f>
        <v>0</v>
      </c>
      <c r="I52" s="1550">
        <f>G53+G56+G59</f>
        <v>1</v>
      </c>
      <c r="J52" s="1550">
        <f>H53+H56+H59</f>
        <v>0</v>
      </c>
      <c r="K52" s="1550">
        <f>IF(スコア!Q52=0,0,1)</f>
        <v>1</v>
      </c>
      <c r="L52" s="1550">
        <f>IF(スコア!R52=0,0,1)</f>
        <v>0</v>
      </c>
      <c r="M52" s="1550">
        <f>(S$7*S52)+(T$7*T52)+(U$7*U52)+(V$7*V52)+(W$7*W52)+(X$7*X52)+(Y$7*Y52)+(Z$7*Z52)+(AA$7*AA52)</f>
        <v>0.35</v>
      </c>
      <c r="N52" s="1550">
        <f>(AB$7*AB52)+(AC$7*AC52)+(AD$7*AD52)</f>
        <v>0</v>
      </c>
      <c r="O52" s="1650"/>
      <c r="P52" s="1629" t="str">
        <f>IF($P$3=1,AF52,AV52)</f>
        <v>LRH1</v>
      </c>
      <c r="Q52" s="1629" t="str">
        <f t="shared" si="35"/>
        <v>2</v>
      </c>
      <c r="R52" s="1629" t="str">
        <f>IF($P$3=1,AH52,AX52)</f>
        <v>エネルギーと水を大切に使う</v>
      </c>
      <c r="S52" s="1630">
        <f t="shared" si="43"/>
        <v>0.35</v>
      </c>
      <c r="T52" s="1630">
        <f t="shared" ref="T52:X53" si="46">IF($P$3=1,AJ52,AZ52)</f>
        <v>0</v>
      </c>
      <c r="U52" s="1630">
        <f t="shared" si="46"/>
        <v>0</v>
      </c>
      <c r="V52" s="1630">
        <f t="shared" si="46"/>
        <v>0</v>
      </c>
      <c r="W52" s="1630">
        <f t="shared" si="46"/>
        <v>0</v>
      </c>
      <c r="X52" s="1630">
        <f t="shared" si="46"/>
        <v>0</v>
      </c>
      <c r="Y52" s="1630">
        <f t="shared" ref="Y52:AD53" si="47">IF($P$3=1,AO52,BE52)</f>
        <v>0</v>
      </c>
      <c r="Z52" s="1630">
        <f t="shared" si="47"/>
        <v>0</v>
      </c>
      <c r="AA52" s="1630">
        <f t="shared" si="47"/>
        <v>0</v>
      </c>
      <c r="AB52" s="1631">
        <f t="shared" si="47"/>
        <v>0</v>
      </c>
      <c r="AC52" s="1630">
        <f t="shared" si="47"/>
        <v>0</v>
      </c>
      <c r="AD52" s="1630">
        <f t="shared" si="47"/>
        <v>0</v>
      </c>
      <c r="AE52" s="1640"/>
      <c r="AF52" s="1565"/>
      <c r="AG52" s="1565"/>
      <c r="AH52" s="1565"/>
      <c r="AI52" s="1641"/>
      <c r="AJ52" s="1641"/>
      <c r="AK52" s="1641"/>
      <c r="AL52" s="1641"/>
      <c r="AM52" s="1641"/>
      <c r="AN52" s="1641"/>
      <c r="AO52" s="1641"/>
      <c r="AP52" s="1642"/>
      <c r="AQ52" s="1641"/>
      <c r="AR52" s="1641"/>
      <c r="AS52" s="1641"/>
      <c r="AT52" s="1641"/>
      <c r="AU52" s="1643"/>
      <c r="AV52" s="1531" t="s">
        <v>503</v>
      </c>
      <c r="AW52" s="1531" t="s">
        <v>612</v>
      </c>
      <c r="AX52" s="1532" t="s">
        <v>504</v>
      </c>
      <c r="AY52" s="1568">
        <v>0.35</v>
      </c>
    </row>
    <row r="53" spans="2:51">
      <c r="B53" s="1534">
        <f t="shared" ref="B53:B71" si="48">P53</f>
        <v>1</v>
      </c>
      <c r="C53" s="1535" t="str">
        <f t="shared" si="34"/>
        <v>総合的な省エネ</v>
      </c>
      <c r="D53" s="1536">
        <f>IF(I$52=0,0,G53/I$52)</f>
        <v>0.75</v>
      </c>
      <c r="E53" s="1536">
        <f>IF(J$52=0,0,H53/J$52)</f>
        <v>0</v>
      </c>
      <c r="F53" s="1651"/>
      <c r="G53" s="1544">
        <f t="shared" ref="G53:G79" si="49">K53*((S$7*S53)+(T$7*T53)+(U$7*U53)+(V$7*V53)+(W$7*W53)+(X$7*X53)+(Y$7*Y53)+(Z$7*Z53)+(AA$7*AA53))</f>
        <v>0.75</v>
      </c>
      <c r="H53" s="1544">
        <f t="shared" si="45"/>
        <v>0</v>
      </c>
      <c r="I53" s="1653">
        <f>SUM(G54:G55)</f>
        <v>1</v>
      </c>
      <c r="J53" s="1653">
        <f>SUM(H54:H55)</f>
        <v>0</v>
      </c>
      <c r="K53" s="1544">
        <f>IF(スコア!M53=0,0,1)</f>
        <v>1</v>
      </c>
      <c r="L53" s="1544">
        <f>IF(スコア!R53=0,0,1)</f>
        <v>0</v>
      </c>
      <c r="M53" s="1544">
        <f>(S$7*S53)+(T$7*T53)+(U$7*U53)+(V$7*V53)+(W$7*W53)+(X$7*X53)+(Y$7*Y53)+(Z$7*Z53)+(AA$7*AA53)</f>
        <v>0.75</v>
      </c>
      <c r="N53" s="1544">
        <f>(AB$7*AB53)+(AC$7*AC53)+(AD$7*AD53)</f>
        <v>0</v>
      </c>
      <c r="O53" s="1651"/>
      <c r="P53" s="1662">
        <f>IF($P$3=1,AF53,AV53)</f>
        <v>1</v>
      </c>
      <c r="Q53" s="1662" t="str">
        <f t="shared" si="35"/>
        <v>2.1</v>
      </c>
      <c r="R53" s="1534" t="str">
        <f>IF($P$3=1,AH53,AX53)</f>
        <v>総合的な省エネ</v>
      </c>
      <c r="S53" s="1645">
        <f t="shared" si="43"/>
        <v>0.75</v>
      </c>
      <c r="T53" s="1645">
        <f t="shared" si="46"/>
        <v>0</v>
      </c>
      <c r="U53" s="1645">
        <f t="shared" si="46"/>
        <v>0</v>
      </c>
      <c r="V53" s="1645">
        <f t="shared" si="46"/>
        <v>0</v>
      </c>
      <c r="W53" s="1645">
        <f t="shared" si="46"/>
        <v>0</v>
      </c>
      <c r="X53" s="1645">
        <f t="shared" si="46"/>
        <v>0</v>
      </c>
      <c r="Y53" s="1645">
        <f t="shared" si="47"/>
        <v>0</v>
      </c>
      <c r="Z53" s="1633">
        <f t="shared" si="47"/>
        <v>0</v>
      </c>
      <c r="AA53" s="1645">
        <f t="shared" si="47"/>
        <v>0</v>
      </c>
      <c r="AB53" s="1634">
        <f t="shared" si="47"/>
        <v>0</v>
      </c>
      <c r="AC53" s="1632">
        <f t="shared" si="47"/>
        <v>0</v>
      </c>
      <c r="AD53" s="1632">
        <f t="shared" si="47"/>
        <v>0</v>
      </c>
      <c r="AE53" s="1614"/>
      <c r="AF53" s="1560"/>
      <c r="AG53" s="1560"/>
      <c r="AH53" s="1560"/>
      <c r="AI53" s="1564"/>
      <c r="AJ53" s="1564"/>
      <c r="AK53" s="1564"/>
      <c r="AL53" s="1564"/>
      <c r="AM53" s="1564"/>
      <c r="AN53" s="1564"/>
      <c r="AO53" s="1564"/>
      <c r="AP53" s="1617"/>
      <c r="AQ53" s="1564"/>
      <c r="AR53" s="1564"/>
      <c r="AS53" s="1564"/>
      <c r="AT53" s="1564"/>
      <c r="AU53" s="1611"/>
      <c r="AV53" s="1579">
        <v>1</v>
      </c>
      <c r="AW53" s="1569" t="s">
        <v>613</v>
      </c>
      <c r="AX53" s="1535" t="s">
        <v>699</v>
      </c>
      <c r="AY53" s="1576">
        <v>0.75</v>
      </c>
    </row>
    <row r="54" spans="2:51">
      <c r="B54" s="1542" t="str">
        <f t="shared" si="48"/>
        <v>1.1</v>
      </c>
      <c r="C54" s="1543" t="str">
        <f t="shared" si="34"/>
        <v>躯体と設備による省エネ</v>
      </c>
      <c r="D54" s="1539">
        <f>IF(I$53=0,0,G54/I$53)</f>
        <v>0.9</v>
      </c>
      <c r="E54" s="1539">
        <f>IF(J$52=0,0,H54/J$52)</f>
        <v>0</v>
      </c>
      <c r="F54" s="1654"/>
      <c r="G54" s="1551">
        <f>K54*((S$7*S54)+(T$7*T54)+(U$7*U54)+(V$7*V54)+(W$7*W54)+(X$7*X54)+(Y$7*Y54)+(Z$7*Z54)+(AA$7*AA54))</f>
        <v>0.9</v>
      </c>
      <c r="H54" s="1551">
        <f>L54*((AB$7*AB54)+(AC$7*AC54)+(AD$7*AD54))</f>
        <v>0</v>
      </c>
      <c r="I54" s="1551"/>
      <c r="J54" s="1551"/>
      <c r="K54" s="1551">
        <f>IF(スコア!M54=0,0,1)</f>
        <v>1</v>
      </c>
      <c r="L54" s="1551">
        <f>IF(スコア!R54=0,0,1)</f>
        <v>0</v>
      </c>
      <c r="M54" s="1551">
        <f>(S$7*S54)+(T$7*T54)+(U$7*U54)+(V$7*V54)+(W$7*W54)+(X$7*X54)+(Y$7*Y54)+(Z$7*Z54)+(AA$7*AA54)</f>
        <v>0.9</v>
      </c>
      <c r="N54" s="1551">
        <f>(AB$7*AB54)+(AC$7*AC54)+(AD$7*AD54)</f>
        <v>0</v>
      </c>
      <c r="O54" s="1654"/>
      <c r="P54" s="1542" t="str">
        <f>IF($P$3=1,AF54,AV54)</f>
        <v>1.1</v>
      </c>
      <c r="Q54" s="1542" t="str">
        <f>IF($P$3=1,AG54,AW54)</f>
        <v>2.1.1</v>
      </c>
      <c r="R54" s="1542" t="str">
        <f>IF($P$3=1,AH54,AX54)</f>
        <v>躯体と設備による省エネ</v>
      </c>
      <c r="S54" s="1635">
        <f t="shared" si="43"/>
        <v>0.9</v>
      </c>
      <c r="T54" s="1635">
        <f>IF($P$3=1,AJ54,AZ54)</f>
        <v>0</v>
      </c>
      <c r="U54" s="1635">
        <f>IF($P$3=1,AK54,BA54)</f>
        <v>0</v>
      </c>
      <c r="V54" s="1635">
        <f>IF($P$3=1,AL54,BB54)</f>
        <v>0</v>
      </c>
      <c r="W54" s="1635">
        <f>IF($P$3=1,AM54,BC54)</f>
        <v>0</v>
      </c>
      <c r="X54" s="1635">
        <f>IF($P$3=1,AN54,BD54)</f>
        <v>0</v>
      </c>
      <c r="Y54" s="1635">
        <f t="shared" ref="Y54:AD54" si="50">IF($P$3=1,AO54,BE54)</f>
        <v>0</v>
      </c>
      <c r="Z54" s="1637">
        <f t="shared" si="50"/>
        <v>0</v>
      </c>
      <c r="AA54" s="1635">
        <f t="shared" si="50"/>
        <v>0</v>
      </c>
      <c r="AB54" s="1657">
        <f t="shared" si="50"/>
        <v>0</v>
      </c>
      <c r="AC54" s="1655">
        <f t="shared" si="50"/>
        <v>0</v>
      </c>
      <c r="AD54" s="1655">
        <f t="shared" si="50"/>
        <v>0</v>
      </c>
      <c r="AE54" s="1614"/>
      <c r="AF54" s="1674"/>
      <c r="AG54" s="1674"/>
      <c r="AH54" s="1674"/>
      <c r="AI54" s="1564"/>
      <c r="AJ54" s="1564"/>
      <c r="AK54" s="1564"/>
      <c r="AL54" s="1564"/>
      <c r="AM54" s="1564"/>
      <c r="AN54" s="1564"/>
      <c r="AO54" s="1564"/>
      <c r="AP54" s="1617"/>
      <c r="AQ54" s="1564"/>
      <c r="AR54" s="1564"/>
      <c r="AS54" s="1564"/>
      <c r="AT54" s="1564"/>
      <c r="AU54" s="1675"/>
      <c r="AV54" s="1571" t="s">
        <v>747</v>
      </c>
      <c r="AW54" s="1571" t="s">
        <v>704</v>
      </c>
      <c r="AX54" s="1543" t="s">
        <v>698</v>
      </c>
      <c r="AY54" s="1572">
        <v>0.9</v>
      </c>
    </row>
    <row r="55" spans="2:51">
      <c r="B55" s="1537" t="str">
        <f t="shared" si="48"/>
        <v>1.2</v>
      </c>
      <c r="C55" s="1538" t="str">
        <f t="shared" si="34"/>
        <v>家電・厨房機器による省エネ</v>
      </c>
      <c r="D55" s="1539">
        <f>IF(I$53=0,0,G55/I$53)</f>
        <v>0.1</v>
      </c>
      <c r="E55" s="1539">
        <f>IF(J$54=0,0,H55/J$54)</f>
        <v>0</v>
      </c>
      <c r="F55" s="1665"/>
      <c r="G55" s="1551">
        <f t="shared" si="49"/>
        <v>0.1</v>
      </c>
      <c r="H55" s="1551">
        <f t="shared" si="45"/>
        <v>0</v>
      </c>
      <c r="I55" s="1551"/>
      <c r="J55" s="1551"/>
      <c r="K55" s="1551">
        <f>IF(スコア!M55=0,0,1)</f>
        <v>1</v>
      </c>
      <c r="L55" s="1551">
        <f>IF(スコア!R55=0,0,1)</f>
        <v>0</v>
      </c>
      <c r="M55" s="1551">
        <f>(S$7*S55)+(T$7*T55)+(U$7*U55)+(V$7*V55)+(W$7*W55)+(X$7*X55)+(Y$7*Y55)+(Z$7*Z55)+(AA$7*AA55)</f>
        <v>0.1</v>
      </c>
      <c r="N55" s="1551">
        <f>(AB$7*AB55)+(AC$7*AC55)+(AD$7*AD55)</f>
        <v>0</v>
      </c>
      <c r="O55" s="1654"/>
      <c r="P55" s="1542" t="str">
        <f>IF($P$3=1,AF55,AV55)</f>
        <v>1.2</v>
      </c>
      <c r="Q55" s="1542" t="str">
        <f>IF($P$3=1,AG55,AW55)</f>
        <v>2.1.1</v>
      </c>
      <c r="R55" s="1542" t="str">
        <f>IF($P$3=1,AH55,AX55)</f>
        <v>家電・厨房機器による省エネ</v>
      </c>
      <c r="S55" s="1635">
        <f>IF($P$3=1,AI55,AY55)</f>
        <v>0.1</v>
      </c>
      <c r="T55" s="1635"/>
      <c r="U55" s="1635"/>
      <c r="V55" s="1635"/>
      <c r="W55" s="1635"/>
      <c r="X55" s="1635"/>
      <c r="Y55" s="1635"/>
      <c r="Z55" s="1637"/>
      <c r="AA55" s="1635"/>
      <c r="AB55" s="1657"/>
      <c r="AC55" s="1655"/>
      <c r="AD55" s="1655"/>
      <c r="AE55" s="1614"/>
      <c r="AF55" s="1560"/>
      <c r="AG55" s="1560"/>
      <c r="AH55" s="1560"/>
      <c r="AI55" s="1564"/>
      <c r="AJ55" s="1564"/>
      <c r="AK55" s="1564"/>
      <c r="AL55" s="1564"/>
      <c r="AM55" s="1564"/>
      <c r="AN55" s="1564"/>
      <c r="AO55" s="1564"/>
      <c r="AP55" s="1617"/>
      <c r="AQ55" s="1564"/>
      <c r="AR55" s="1564"/>
      <c r="AS55" s="1564"/>
      <c r="AT55" s="1564"/>
      <c r="AU55" s="1611"/>
      <c r="AV55" s="1571" t="s">
        <v>700</v>
      </c>
      <c r="AW55" s="1571" t="s">
        <v>704</v>
      </c>
      <c r="AX55" s="1543" t="s">
        <v>701</v>
      </c>
      <c r="AY55" s="1572">
        <v>0.1</v>
      </c>
    </row>
    <row r="56" spans="2:51">
      <c r="B56" s="1534" t="str">
        <f t="shared" si="48"/>
        <v>2</v>
      </c>
      <c r="C56" s="1535" t="str">
        <f t="shared" si="34"/>
        <v>水の節約</v>
      </c>
      <c r="D56" s="1536">
        <f>IF(I$52=0,0,G56/I$52)</f>
        <v>0.15</v>
      </c>
      <c r="E56" s="1536">
        <f>IF(J$52=0,0,H56/J$52)</f>
        <v>0</v>
      </c>
      <c r="F56" s="1651"/>
      <c r="G56" s="1544">
        <f t="shared" si="49"/>
        <v>0.15</v>
      </c>
      <c r="H56" s="1544">
        <f t="shared" si="45"/>
        <v>0</v>
      </c>
      <c r="I56" s="1653">
        <f>SUM(G57:G58)</f>
        <v>1</v>
      </c>
      <c r="J56" s="1653">
        <f>SUM(H57:H58)</f>
        <v>0</v>
      </c>
      <c r="K56" s="1544">
        <f>IF(スコア!M56=0,0,1)</f>
        <v>1</v>
      </c>
      <c r="L56" s="1544">
        <f>IF(スコア!R56=0,0,1)</f>
        <v>0</v>
      </c>
      <c r="M56" s="1544">
        <f t="shared" ref="M56:M87" si="51">(S$7*S56)+(T$7*T56)+(U$7*U56)+(V$7*V56)+(W$7*W56)+(X$7*X56)+(Y$7*Y56)+(Z$7*Z56)+(AA$7*AA56)</f>
        <v>0.15</v>
      </c>
      <c r="N56" s="1544">
        <f t="shared" ref="N56:N87" si="52">(AB$7*AB56)+(AC$7*AC56)+(AD$7*AD56)</f>
        <v>0</v>
      </c>
      <c r="O56" s="1651"/>
      <c r="P56" s="1534" t="str">
        <f t="shared" ref="P56:P75" si="53">IF($P$3=1,AF56,AV56)</f>
        <v>2</v>
      </c>
      <c r="Q56" s="1534" t="str">
        <f t="shared" si="35"/>
        <v>2.1</v>
      </c>
      <c r="R56" s="1534" t="str">
        <f t="shared" ref="R56:R64" si="54">IF($P$3=1,AH56,AX56)</f>
        <v>水の節約</v>
      </c>
      <c r="S56" s="1645">
        <f t="shared" ref="S56:S64" si="55">IF($P$3=1,AI56,AY56)</f>
        <v>0.15</v>
      </c>
      <c r="T56" s="1645">
        <f t="shared" ref="T56:T64" si="56">IF($P$3=1,AJ56,AZ56)</f>
        <v>0</v>
      </c>
      <c r="U56" s="1645">
        <f t="shared" ref="U56:U64" si="57">IF($P$3=1,AK56,BA56)</f>
        <v>0</v>
      </c>
      <c r="V56" s="1645">
        <f t="shared" ref="V56:V64" si="58">IF($P$3=1,AL56,BB56)</f>
        <v>0</v>
      </c>
      <c r="W56" s="1645">
        <f t="shared" ref="W56:W64" si="59">IF($P$3=1,AM56,BC56)</f>
        <v>0</v>
      </c>
      <c r="X56" s="1645">
        <f t="shared" ref="X56:X64" si="60">IF($P$3=1,AN56,BD56)</f>
        <v>0</v>
      </c>
      <c r="Y56" s="1645">
        <f t="shared" ref="Y56:AD56" si="61">IF($P$3=1,AO56,BE56)</f>
        <v>0</v>
      </c>
      <c r="Z56" s="1633">
        <f t="shared" si="61"/>
        <v>0</v>
      </c>
      <c r="AA56" s="1645">
        <f t="shared" si="61"/>
        <v>0</v>
      </c>
      <c r="AB56" s="1634">
        <f t="shared" si="61"/>
        <v>0</v>
      </c>
      <c r="AC56" s="1632">
        <f t="shared" si="61"/>
        <v>0</v>
      </c>
      <c r="AD56" s="1632">
        <f t="shared" si="61"/>
        <v>0</v>
      </c>
      <c r="AE56" s="1640"/>
      <c r="AF56" s="1565"/>
      <c r="AG56" s="1565"/>
      <c r="AH56" s="1565"/>
      <c r="AI56" s="1641"/>
      <c r="AJ56" s="1641"/>
      <c r="AK56" s="1641"/>
      <c r="AL56" s="1641"/>
      <c r="AM56" s="1641"/>
      <c r="AN56" s="1641"/>
      <c r="AO56" s="1641"/>
      <c r="AP56" s="1642"/>
      <c r="AQ56" s="1641"/>
      <c r="AR56" s="1641"/>
      <c r="AS56" s="1641"/>
      <c r="AT56" s="1641"/>
      <c r="AU56" s="1643"/>
      <c r="AV56" s="1569" t="s">
        <v>510</v>
      </c>
      <c r="AW56" s="1569" t="s">
        <v>613</v>
      </c>
      <c r="AX56" s="1535" t="s">
        <v>581</v>
      </c>
      <c r="AY56" s="1576">
        <v>0.15</v>
      </c>
    </row>
    <row r="57" spans="2:51">
      <c r="B57" s="1542" t="str">
        <f t="shared" si="48"/>
        <v>2.1</v>
      </c>
      <c r="C57" s="1542" t="str">
        <f t="shared" ref="C57:C87" si="62">R57</f>
        <v>節水型設備</v>
      </c>
      <c r="D57" s="1539">
        <f>IF(I$56=0,0,G57/I$56)</f>
        <v>0.75</v>
      </c>
      <c r="E57" s="1539">
        <f>IF(J$56=0,0,H57/J$56)</f>
        <v>0</v>
      </c>
      <c r="F57" s="1664"/>
      <c r="G57" s="1551">
        <f t="shared" si="49"/>
        <v>0.75</v>
      </c>
      <c r="H57" s="1551">
        <f t="shared" si="45"/>
        <v>0</v>
      </c>
      <c r="I57" s="1551"/>
      <c r="J57" s="1551"/>
      <c r="K57" s="1551">
        <f>IF(スコア!M57=0,0,1)</f>
        <v>1</v>
      </c>
      <c r="L57" s="1551">
        <f>IF(スコア!R57=0,0,1)</f>
        <v>0</v>
      </c>
      <c r="M57" s="1551">
        <f t="shared" si="51"/>
        <v>0.75</v>
      </c>
      <c r="N57" s="1551">
        <f t="shared" si="52"/>
        <v>0</v>
      </c>
      <c r="O57" s="1664"/>
      <c r="P57" s="1542" t="str">
        <f t="shared" si="53"/>
        <v>2.1</v>
      </c>
      <c r="Q57" s="1542" t="str">
        <f t="shared" si="35"/>
        <v>2.1.3</v>
      </c>
      <c r="R57" s="1542" t="str">
        <f t="shared" si="54"/>
        <v>節水型設備</v>
      </c>
      <c r="S57" s="1635">
        <f t="shared" si="55"/>
        <v>0.75</v>
      </c>
      <c r="T57" s="1635">
        <f t="shared" si="56"/>
        <v>0</v>
      </c>
      <c r="U57" s="1635">
        <f t="shared" si="57"/>
        <v>0</v>
      </c>
      <c r="V57" s="1635">
        <f t="shared" si="58"/>
        <v>0</v>
      </c>
      <c r="W57" s="1635">
        <f t="shared" si="59"/>
        <v>0</v>
      </c>
      <c r="X57" s="1635">
        <f t="shared" si="60"/>
        <v>0</v>
      </c>
      <c r="Y57" s="1635">
        <f>IF($P$3=1,AO57,BE57)*Y$8</f>
        <v>0</v>
      </c>
      <c r="Z57" s="1637">
        <f t="shared" ref="Z57:AD58" si="63">IF($P$3=1,AP57,BF57)</f>
        <v>0</v>
      </c>
      <c r="AA57" s="1635">
        <f t="shared" si="63"/>
        <v>0</v>
      </c>
      <c r="AB57" s="1636">
        <f t="shared" si="63"/>
        <v>0</v>
      </c>
      <c r="AC57" s="1635">
        <f t="shared" si="63"/>
        <v>0</v>
      </c>
      <c r="AD57" s="1635">
        <f t="shared" si="63"/>
        <v>0</v>
      </c>
      <c r="AE57" s="1614"/>
      <c r="AF57" s="1560"/>
      <c r="AG57" s="1560"/>
      <c r="AH57" s="1560"/>
      <c r="AI57" s="1564"/>
      <c r="AJ57" s="1564"/>
      <c r="AK57" s="1564"/>
      <c r="AL57" s="1564"/>
      <c r="AM57" s="1564"/>
      <c r="AN57" s="1564"/>
      <c r="AO57" s="1564"/>
      <c r="AP57" s="1617"/>
      <c r="AQ57" s="1564"/>
      <c r="AR57" s="1564"/>
      <c r="AS57" s="1564"/>
      <c r="AT57" s="1564"/>
      <c r="AU57" s="1611"/>
      <c r="AV57" s="1571" t="s">
        <v>512</v>
      </c>
      <c r="AW57" s="1571" t="s">
        <v>218</v>
      </c>
      <c r="AX57" s="1543" t="s">
        <v>582</v>
      </c>
      <c r="AY57" s="1572">
        <v>0.75</v>
      </c>
    </row>
    <row r="58" spans="2:51">
      <c r="B58" s="1537" t="str">
        <f t="shared" si="48"/>
        <v>2.2</v>
      </c>
      <c r="C58" s="1538" t="str">
        <f t="shared" si="62"/>
        <v>雨水の利用</v>
      </c>
      <c r="D58" s="1539">
        <f>IF(I$56=0,0,G58/I$56)</f>
        <v>0.25</v>
      </c>
      <c r="E58" s="1539">
        <f>IF(J$56=0,0,H58/J$56)</f>
        <v>0</v>
      </c>
      <c r="F58" s="1665"/>
      <c r="G58" s="1551">
        <f t="shared" si="49"/>
        <v>0.25</v>
      </c>
      <c r="H58" s="1551">
        <f t="shared" si="45"/>
        <v>0</v>
      </c>
      <c r="I58" s="1551"/>
      <c r="J58" s="1551"/>
      <c r="K58" s="1551">
        <f>IF(スコア!M58=0,0,1)</f>
        <v>1</v>
      </c>
      <c r="L58" s="1551">
        <f>IF(スコア!R58=0,0,1)</f>
        <v>0</v>
      </c>
      <c r="M58" s="1551">
        <f t="shared" si="51"/>
        <v>0.25</v>
      </c>
      <c r="N58" s="1551">
        <f t="shared" si="52"/>
        <v>0</v>
      </c>
      <c r="O58" s="1665"/>
      <c r="P58" s="1542" t="str">
        <f t="shared" si="53"/>
        <v>2.2</v>
      </c>
      <c r="Q58" s="1542" t="str">
        <f t="shared" ref="Q58:Q75" si="64">IF($P$3=1,AG58,AW58)</f>
        <v>2.1.3</v>
      </c>
      <c r="R58" s="1542" t="str">
        <f t="shared" si="54"/>
        <v>雨水の利用</v>
      </c>
      <c r="S58" s="1635">
        <f t="shared" si="55"/>
        <v>0.25</v>
      </c>
      <c r="T58" s="1635">
        <f t="shared" si="56"/>
        <v>0</v>
      </c>
      <c r="U58" s="1635">
        <f t="shared" si="57"/>
        <v>0</v>
      </c>
      <c r="V58" s="1635">
        <f t="shared" si="58"/>
        <v>0</v>
      </c>
      <c r="W58" s="1635">
        <f t="shared" si="59"/>
        <v>0</v>
      </c>
      <c r="X58" s="1635">
        <f t="shared" si="60"/>
        <v>0</v>
      </c>
      <c r="Y58" s="1635">
        <f>IF($P$3=1,AO58,BE58)*Y$8</f>
        <v>0</v>
      </c>
      <c r="Z58" s="1637">
        <f t="shared" si="63"/>
        <v>0</v>
      </c>
      <c r="AA58" s="1635">
        <f t="shared" si="63"/>
        <v>0</v>
      </c>
      <c r="AB58" s="1636">
        <f t="shared" si="63"/>
        <v>0</v>
      </c>
      <c r="AC58" s="1635">
        <f t="shared" si="63"/>
        <v>0</v>
      </c>
      <c r="AD58" s="1635">
        <f t="shared" si="63"/>
        <v>0</v>
      </c>
      <c r="AE58" s="1614"/>
      <c r="AF58" s="1560"/>
      <c r="AG58" s="1560"/>
      <c r="AH58" s="1560"/>
      <c r="AI58" s="1564"/>
      <c r="AJ58" s="1564"/>
      <c r="AK58" s="1564"/>
      <c r="AL58" s="1564"/>
      <c r="AM58" s="1564"/>
      <c r="AN58" s="1564"/>
      <c r="AO58" s="1564"/>
      <c r="AP58" s="1617"/>
      <c r="AQ58" s="1564"/>
      <c r="AR58" s="1564"/>
      <c r="AS58" s="1564"/>
      <c r="AT58" s="1564"/>
      <c r="AU58" s="1611"/>
      <c r="AV58" s="1571" t="s">
        <v>515</v>
      </c>
      <c r="AW58" s="1571" t="s">
        <v>218</v>
      </c>
      <c r="AX58" s="1543" t="s">
        <v>584</v>
      </c>
      <c r="AY58" s="1572">
        <v>0.25</v>
      </c>
    </row>
    <row r="59" spans="2:51">
      <c r="B59" s="1534" t="str">
        <f t="shared" si="48"/>
        <v>3</v>
      </c>
      <c r="C59" s="1535" t="str">
        <f t="shared" si="62"/>
        <v>維持管理と運用の工夫</v>
      </c>
      <c r="D59" s="1536">
        <f>IF(I$52=0,0,G59/I$52)</f>
        <v>0.1</v>
      </c>
      <c r="E59" s="1536">
        <f>IF(J$52=0,0,H59/J$52)</f>
        <v>0</v>
      </c>
      <c r="F59" s="1651"/>
      <c r="G59" s="1544">
        <f t="shared" si="49"/>
        <v>0.1</v>
      </c>
      <c r="H59" s="1544">
        <f t="shared" si="45"/>
        <v>0</v>
      </c>
      <c r="I59" s="1544">
        <f>G60+G61</f>
        <v>1</v>
      </c>
      <c r="J59" s="1544">
        <f>H60+H61</f>
        <v>0</v>
      </c>
      <c r="K59" s="1544">
        <f>IF(スコア!M59=0,0,1)</f>
        <v>1</v>
      </c>
      <c r="L59" s="1544">
        <f>IF(スコア!R59=0,0,1)</f>
        <v>0</v>
      </c>
      <c r="M59" s="1544">
        <f t="shared" si="51"/>
        <v>0.1</v>
      </c>
      <c r="N59" s="1544">
        <f t="shared" si="52"/>
        <v>0</v>
      </c>
      <c r="O59" s="1651"/>
      <c r="P59" s="1662" t="str">
        <f t="shared" si="53"/>
        <v>3</v>
      </c>
      <c r="Q59" s="1662" t="str">
        <f t="shared" si="64"/>
        <v>2.1</v>
      </c>
      <c r="R59" s="1534" t="str">
        <f t="shared" si="54"/>
        <v>維持管理と運用の工夫</v>
      </c>
      <c r="S59" s="1645">
        <f t="shared" si="55"/>
        <v>0.1</v>
      </c>
      <c r="T59" s="1645">
        <f t="shared" si="56"/>
        <v>0</v>
      </c>
      <c r="U59" s="1645">
        <f t="shared" si="57"/>
        <v>0</v>
      </c>
      <c r="V59" s="1645">
        <f t="shared" si="58"/>
        <v>0</v>
      </c>
      <c r="W59" s="1645">
        <f t="shared" si="59"/>
        <v>0</v>
      </c>
      <c r="X59" s="1645">
        <f t="shared" si="60"/>
        <v>0</v>
      </c>
      <c r="Y59" s="1645">
        <f t="shared" ref="Y59:AA64" si="65">IF($P$3=1,AO59,BE59)</f>
        <v>0</v>
      </c>
      <c r="Z59" s="1633">
        <f t="shared" si="65"/>
        <v>0</v>
      </c>
      <c r="AA59" s="1645">
        <f t="shared" si="65"/>
        <v>0</v>
      </c>
      <c r="AB59" s="1634">
        <f t="shared" ref="AB59:AD64" si="66">IF($P$3=1,AR59,BH59)</f>
        <v>0</v>
      </c>
      <c r="AC59" s="1632">
        <f t="shared" si="66"/>
        <v>0</v>
      </c>
      <c r="AD59" s="1632">
        <f t="shared" si="66"/>
        <v>0</v>
      </c>
      <c r="AE59" s="1614"/>
      <c r="AF59" s="1560"/>
      <c r="AG59" s="1560"/>
      <c r="AH59" s="1560"/>
      <c r="AI59" s="1564"/>
      <c r="AJ59" s="1564"/>
      <c r="AK59" s="1564"/>
      <c r="AL59" s="1564"/>
      <c r="AM59" s="1564"/>
      <c r="AN59" s="1564"/>
      <c r="AO59" s="1564"/>
      <c r="AP59" s="1617"/>
      <c r="AQ59" s="1564"/>
      <c r="AR59" s="1564"/>
      <c r="AS59" s="1564"/>
      <c r="AT59" s="1564"/>
      <c r="AU59" s="1611"/>
      <c r="AV59" s="1579" t="s">
        <v>517</v>
      </c>
      <c r="AW59" s="1569" t="s">
        <v>613</v>
      </c>
      <c r="AX59" s="1535" t="s">
        <v>586</v>
      </c>
      <c r="AY59" s="1576">
        <v>0.1</v>
      </c>
    </row>
    <row r="60" spans="2:51">
      <c r="B60" s="1542" t="str">
        <f t="shared" si="48"/>
        <v>3.1</v>
      </c>
      <c r="C60" s="1542" t="str">
        <f t="shared" si="62"/>
        <v>住まい方の堤示</v>
      </c>
      <c r="D60" s="1539">
        <f>IF(I$59=0,0,G60/I$59)</f>
        <v>0.5</v>
      </c>
      <c r="E60" s="1539">
        <f>IF(J$59=0,0,H60/J$59)</f>
        <v>0</v>
      </c>
      <c r="F60" s="1602"/>
      <c r="G60" s="1551">
        <f t="shared" si="49"/>
        <v>0.5</v>
      </c>
      <c r="H60" s="1551">
        <f t="shared" si="45"/>
        <v>0</v>
      </c>
      <c r="I60" s="1551"/>
      <c r="J60" s="1551"/>
      <c r="K60" s="1551">
        <f>IF(スコア!M60=0,0,1)</f>
        <v>1</v>
      </c>
      <c r="L60" s="1551">
        <f>IF(スコア!R60=0,0,1)</f>
        <v>0</v>
      </c>
      <c r="M60" s="1551">
        <f t="shared" si="51"/>
        <v>0.5</v>
      </c>
      <c r="N60" s="1551">
        <f t="shared" si="52"/>
        <v>0</v>
      </c>
      <c r="O60" s="1664"/>
      <c r="P60" s="1542" t="str">
        <f t="shared" si="53"/>
        <v>3.1</v>
      </c>
      <c r="Q60" s="1542" t="str">
        <f t="shared" si="64"/>
        <v>2.1.4</v>
      </c>
      <c r="R60" s="1542" t="str">
        <f t="shared" si="54"/>
        <v>住まい方の堤示</v>
      </c>
      <c r="S60" s="1635">
        <f t="shared" si="55"/>
        <v>0.5</v>
      </c>
      <c r="T60" s="1635">
        <f t="shared" si="56"/>
        <v>0</v>
      </c>
      <c r="U60" s="1635">
        <f t="shared" si="57"/>
        <v>0</v>
      </c>
      <c r="V60" s="1635">
        <f t="shared" si="58"/>
        <v>0</v>
      </c>
      <c r="W60" s="1635">
        <f t="shared" si="59"/>
        <v>0</v>
      </c>
      <c r="X60" s="1635">
        <f t="shared" si="60"/>
        <v>0</v>
      </c>
      <c r="Y60" s="1635">
        <f t="shared" si="65"/>
        <v>0</v>
      </c>
      <c r="Z60" s="1637">
        <f t="shared" si="65"/>
        <v>0</v>
      </c>
      <c r="AA60" s="1635">
        <f t="shared" si="65"/>
        <v>0</v>
      </c>
      <c r="AB60" s="1636">
        <f t="shared" si="66"/>
        <v>0</v>
      </c>
      <c r="AC60" s="1655">
        <f t="shared" si="66"/>
        <v>0</v>
      </c>
      <c r="AD60" s="1655">
        <f t="shared" si="66"/>
        <v>0</v>
      </c>
      <c r="AE60" s="1614"/>
      <c r="AF60" s="1560"/>
      <c r="AG60" s="1560"/>
      <c r="AH60" s="1560"/>
      <c r="AI60" s="1564"/>
      <c r="AJ60" s="1564"/>
      <c r="AK60" s="1564"/>
      <c r="AL60" s="1564"/>
      <c r="AM60" s="1564"/>
      <c r="AN60" s="1564"/>
      <c r="AO60" s="1564"/>
      <c r="AP60" s="1617"/>
      <c r="AQ60" s="1564"/>
      <c r="AR60" s="1564"/>
      <c r="AS60" s="1564"/>
      <c r="AT60" s="1564"/>
      <c r="AU60" s="1611"/>
      <c r="AV60" s="1571" t="s">
        <v>519</v>
      </c>
      <c r="AW60" s="1571" t="s">
        <v>219</v>
      </c>
      <c r="AX60" s="1543" t="s">
        <v>620</v>
      </c>
      <c r="AY60" s="1572">
        <v>0.5</v>
      </c>
    </row>
    <row r="61" spans="2:51">
      <c r="B61" s="1537" t="str">
        <f t="shared" si="48"/>
        <v>3.2</v>
      </c>
      <c r="C61" s="1538" t="str">
        <f t="shared" si="62"/>
        <v>エネルギーの管理と制御</v>
      </c>
      <c r="D61" s="1539">
        <f>IF(I$59=0,0,G61/I$59)</f>
        <v>0.5</v>
      </c>
      <c r="E61" s="1539">
        <f>IF(J$59=0,0,H61/J$59)</f>
        <v>0</v>
      </c>
      <c r="F61" s="1647"/>
      <c r="G61" s="1551">
        <f t="shared" si="49"/>
        <v>0.5</v>
      </c>
      <c r="H61" s="1551">
        <f t="shared" si="45"/>
        <v>0</v>
      </c>
      <c r="I61" s="1551"/>
      <c r="J61" s="1551"/>
      <c r="K61" s="1551">
        <f>IF(スコア!M61=0,0,1)</f>
        <v>1</v>
      </c>
      <c r="L61" s="1551">
        <f>IF(スコア!R61=0,0,1)</f>
        <v>0</v>
      </c>
      <c r="M61" s="1551">
        <f t="shared" si="51"/>
        <v>0.5</v>
      </c>
      <c r="N61" s="1551">
        <f t="shared" si="52"/>
        <v>0</v>
      </c>
      <c r="O61" s="1664"/>
      <c r="P61" s="1542" t="str">
        <f t="shared" si="53"/>
        <v>3.2</v>
      </c>
      <c r="Q61" s="1542" t="str">
        <f t="shared" si="64"/>
        <v>2.1.4</v>
      </c>
      <c r="R61" s="1542" t="str">
        <f t="shared" si="54"/>
        <v>エネルギーの管理と制御</v>
      </c>
      <c r="S61" s="1635">
        <f t="shared" si="55"/>
        <v>0.5</v>
      </c>
      <c r="T61" s="1635">
        <f t="shared" si="56"/>
        <v>0</v>
      </c>
      <c r="U61" s="1635">
        <f t="shared" si="57"/>
        <v>0</v>
      </c>
      <c r="V61" s="1635">
        <f t="shared" si="58"/>
        <v>0</v>
      </c>
      <c r="W61" s="1635">
        <f t="shared" si="59"/>
        <v>0</v>
      </c>
      <c r="X61" s="1635">
        <f t="shared" si="60"/>
        <v>0</v>
      </c>
      <c r="Y61" s="1635">
        <f t="shared" si="65"/>
        <v>0</v>
      </c>
      <c r="Z61" s="1637">
        <f t="shared" si="65"/>
        <v>0</v>
      </c>
      <c r="AA61" s="1635">
        <f t="shared" si="65"/>
        <v>0</v>
      </c>
      <c r="AB61" s="1636">
        <f t="shared" si="66"/>
        <v>0</v>
      </c>
      <c r="AC61" s="1655">
        <f t="shared" si="66"/>
        <v>0</v>
      </c>
      <c r="AD61" s="1655">
        <f t="shared" si="66"/>
        <v>0</v>
      </c>
      <c r="AE61" s="1614"/>
      <c r="AF61" s="1560"/>
      <c r="AG61" s="1560"/>
      <c r="AH61" s="1560"/>
      <c r="AI61" s="1564"/>
      <c r="AJ61" s="1564"/>
      <c r="AK61" s="1564"/>
      <c r="AL61" s="1564"/>
      <c r="AM61" s="1564"/>
      <c r="AN61" s="1564"/>
      <c r="AO61" s="1564"/>
      <c r="AP61" s="1617"/>
      <c r="AQ61" s="1564"/>
      <c r="AR61" s="1564"/>
      <c r="AS61" s="1564"/>
      <c r="AT61" s="1564"/>
      <c r="AU61" s="1611"/>
      <c r="AV61" s="1571" t="s">
        <v>499</v>
      </c>
      <c r="AW61" s="1571" t="s">
        <v>219</v>
      </c>
      <c r="AX61" s="1538" t="s">
        <v>585</v>
      </c>
      <c r="AY61" s="1572">
        <v>0.5</v>
      </c>
    </row>
    <row r="62" spans="2:51">
      <c r="B62" s="1531" t="s">
        <v>505</v>
      </c>
      <c r="C62" s="1532" t="str">
        <f t="shared" si="62"/>
        <v>資源を大切に使いゴミを減らす</v>
      </c>
      <c r="D62" s="1545" t="e">
        <f>IF(I$51=0,0,G62/I$51)</f>
        <v>#VALUE!</v>
      </c>
      <c r="E62" s="1545">
        <f>IF(J$51=0,0,H62/J$51)</f>
        <v>0</v>
      </c>
      <c r="F62" s="1644"/>
      <c r="G62" s="1550">
        <f t="shared" si="49"/>
        <v>0.35</v>
      </c>
      <c r="H62" s="1550">
        <f t="shared" si="45"/>
        <v>0</v>
      </c>
      <c r="I62" s="1550">
        <f>G63+G72+G76</f>
        <v>0.99999999999999989</v>
      </c>
      <c r="J62" s="1550">
        <f>H63+H72+H76</f>
        <v>0</v>
      </c>
      <c r="K62" s="1550">
        <f>IF(スコア!Q62=0,0,1)</f>
        <v>1</v>
      </c>
      <c r="L62" s="1550">
        <f>IF(スコア!R62=0,0,1)</f>
        <v>0</v>
      </c>
      <c r="M62" s="1550">
        <f t="shared" si="51"/>
        <v>0.35</v>
      </c>
      <c r="N62" s="1550">
        <f t="shared" si="52"/>
        <v>0</v>
      </c>
      <c r="O62" s="1628"/>
      <c r="P62" s="1532" t="str">
        <f t="shared" si="53"/>
        <v>LRH2</v>
      </c>
      <c r="Q62" s="1532" t="str">
        <f t="shared" si="64"/>
        <v>2</v>
      </c>
      <c r="R62" s="1629" t="str">
        <f t="shared" si="54"/>
        <v>資源を大切に使いゴミを減らす</v>
      </c>
      <c r="S62" s="1630">
        <f t="shared" si="55"/>
        <v>0.35</v>
      </c>
      <c r="T62" s="1630">
        <f t="shared" si="56"/>
        <v>0</v>
      </c>
      <c r="U62" s="1630">
        <f t="shared" si="57"/>
        <v>0</v>
      </c>
      <c r="V62" s="1630">
        <f t="shared" si="58"/>
        <v>0</v>
      </c>
      <c r="W62" s="1630">
        <f t="shared" si="59"/>
        <v>0</v>
      </c>
      <c r="X62" s="1630">
        <f t="shared" si="60"/>
        <v>0</v>
      </c>
      <c r="Y62" s="1630">
        <f t="shared" si="65"/>
        <v>0</v>
      </c>
      <c r="Z62" s="1666">
        <f t="shared" si="65"/>
        <v>0</v>
      </c>
      <c r="AA62" s="1630">
        <f t="shared" si="65"/>
        <v>0</v>
      </c>
      <c r="AB62" s="1667">
        <f t="shared" si="66"/>
        <v>0</v>
      </c>
      <c r="AC62" s="1668">
        <f t="shared" si="66"/>
        <v>0</v>
      </c>
      <c r="AD62" s="1668">
        <f t="shared" si="66"/>
        <v>0</v>
      </c>
      <c r="AE62" s="1640"/>
      <c r="AF62" s="1565"/>
      <c r="AG62" s="1565"/>
      <c r="AH62" s="1565"/>
      <c r="AI62" s="1641"/>
      <c r="AJ62" s="1641"/>
      <c r="AK62" s="1641"/>
      <c r="AL62" s="1641"/>
      <c r="AM62" s="1641"/>
      <c r="AN62" s="1641"/>
      <c r="AO62" s="1641"/>
      <c r="AP62" s="1642"/>
      <c r="AQ62" s="1641"/>
      <c r="AR62" s="1641"/>
      <c r="AS62" s="1641"/>
      <c r="AT62" s="1641"/>
      <c r="AU62" s="1643"/>
      <c r="AV62" s="1531" t="s">
        <v>505</v>
      </c>
      <c r="AW62" s="1581" t="s">
        <v>612</v>
      </c>
      <c r="AX62" s="1532" t="s">
        <v>587</v>
      </c>
      <c r="AY62" s="1568">
        <v>0.35</v>
      </c>
    </row>
    <row r="63" spans="2:51">
      <c r="B63" s="1534">
        <f t="shared" si="48"/>
        <v>1</v>
      </c>
      <c r="C63" s="1535" t="str">
        <f t="shared" si="62"/>
        <v>省資源、廃棄物抑制に役立つ材料の採用</v>
      </c>
      <c r="D63" s="1536">
        <f>IF(I$62=0,0,G63/I$62)</f>
        <v>0.60000000000000009</v>
      </c>
      <c r="E63" s="1536">
        <f>IF(J$62=0,0,H63/J$62)</f>
        <v>0</v>
      </c>
      <c r="F63" s="1644"/>
      <c r="G63" s="1544">
        <f t="shared" si="49"/>
        <v>0.6</v>
      </c>
      <c r="H63" s="1544">
        <f t="shared" si="45"/>
        <v>0</v>
      </c>
      <c r="I63" s="1544">
        <f>G64+G68+G69+G70+G71</f>
        <v>0.99999999999999989</v>
      </c>
      <c r="J63" s="1544">
        <f>H64+H68+H69+H70+H71</f>
        <v>0</v>
      </c>
      <c r="K63" s="1544">
        <f>IF(スコア!M63=0,0,1)</f>
        <v>1</v>
      </c>
      <c r="L63" s="1544">
        <f>IF(スコア!R63=0,0,1)</f>
        <v>0</v>
      </c>
      <c r="M63" s="1544">
        <f t="shared" si="51"/>
        <v>0.6</v>
      </c>
      <c r="N63" s="1544">
        <f t="shared" si="52"/>
        <v>0</v>
      </c>
      <c r="O63" s="1628"/>
      <c r="P63" s="1662">
        <f t="shared" si="53"/>
        <v>1</v>
      </c>
      <c r="Q63" s="1662" t="str">
        <f t="shared" si="64"/>
        <v>2.2</v>
      </c>
      <c r="R63" s="1534" t="str">
        <f t="shared" si="54"/>
        <v>省資源、廃棄物抑制に役立つ材料の採用</v>
      </c>
      <c r="S63" s="1632">
        <f t="shared" si="55"/>
        <v>0.6</v>
      </c>
      <c r="T63" s="1632">
        <f t="shared" si="56"/>
        <v>0</v>
      </c>
      <c r="U63" s="1632">
        <f t="shared" si="57"/>
        <v>0</v>
      </c>
      <c r="V63" s="1632">
        <f t="shared" si="58"/>
        <v>0</v>
      </c>
      <c r="W63" s="1632">
        <f t="shared" si="59"/>
        <v>0</v>
      </c>
      <c r="X63" s="1632">
        <f t="shared" si="60"/>
        <v>0</v>
      </c>
      <c r="Y63" s="1632">
        <f t="shared" si="65"/>
        <v>0</v>
      </c>
      <c r="Z63" s="1648">
        <f t="shared" si="65"/>
        <v>0</v>
      </c>
      <c r="AA63" s="1632">
        <f t="shared" si="65"/>
        <v>0</v>
      </c>
      <c r="AB63" s="1669">
        <f t="shared" si="66"/>
        <v>0</v>
      </c>
      <c r="AC63" s="1670">
        <f t="shared" si="66"/>
        <v>0</v>
      </c>
      <c r="AD63" s="1670">
        <f t="shared" si="66"/>
        <v>0</v>
      </c>
      <c r="AE63" s="1614"/>
      <c r="AF63" s="1560"/>
      <c r="AG63" s="1560"/>
      <c r="AH63" s="1560"/>
      <c r="AI63" s="1564"/>
      <c r="AJ63" s="1564"/>
      <c r="AK63" s="1564"/>
      <c r="AL63" s="1564"/>
      <c r="AM63" s="1564"/>
      <c r="AN63" s="1564"/>
      <c r="AO63" s="1564"/>
      <c r="AP63" s="1617"/>
      <c r="AQ63" s="1564"/>
      <c r="AR63" s="1564"/>
      <c r="AS63" s="1564"/>
      <c r="AT63" s="1564"/>
      <c r="AU63" s="1611"/>
      <c r="AV63" s="1579">
        <v>1</v>
      </c>
      <c r="AW63" s="1569" t="s">
        <v>614</v>
      </c>
      <c r="AX63" s="1535" t="s">
        <v>588</v>
      </c>
      <c r="AY63" s="1576">
        <v>0.6</v>
      </c>
    </row>
    <row r="64" spans="2:51">
      <c r="B64" s="1537">
        <f t="shared" si="48"/>
        <v>1.1000000000000001</v>
      </c>
      <c r="C64" s="1538" t="str">
        <f t="shared" si="62"/>
        <v>構造躯体</v>
      </c>
      <c r="D64" s="1539">
        <f>IF(I$63=0,0,G64/I$63)</f>
        <v>0.30000000000000004</v>
      </c>
      <c r="E64" s="1539">
        <f>IF(J$63=0,0,H64/J$63)</f>
        <v>0</v>
      </c>
      <c r="F64" s="1644"/>
      <c r="G64" s="1551">
        <f t="shared" si="49"/>
        <v>0.3</v>
      </c>
      <c r="H64" s="1551">
        <f t="shared" si="45"/>
        <v>0</v>
      </c>
      <c r="I64" s="1551">
        <f>G65+G66+G67</f>
        <v>1</v>
      </c>
      <c r="J64" s="1551">
        <f>H65+H66+H67</f>
        <v>0</v>
      </c>
      <c r="K64" s="1551">
        <f>IF(スコア!M64=0,0,1)</f>
        <v>1</v>
      </c>
      <c r="L64" s="1551">
        <f>IF(スコア!R64=0,0,1)</f>
        <v>0</v>
      </c>
      <c r="M64" s="1551">
        <f t="shared" si="51"/>
        <v>0.3</v>
      </c>
      <c r="N64" s="1551">
        <f t="shared" si="52"/>
        <v>0</v>
      </c>
      <c r="O64" s="1606"/>
      <c r="P64" s="1542">
        <f t="shared" si="53"/>
        <v>1.1000000000000001</v>
      </c>
      <c r="Q64" s="1542" t="str">
        <f t="shared" si="64"/>
        <v>2.2.1</v>
      </c>
      <c r="R64" s="1542" t="str">
        <f t="shared" si="54"/>
        <v>構造躯体</v>
      </c>
      <c r="S64" s="1635">
        <f t="shared" si="55"/>
        <v>0.3</v>
      </c>
      <c r="T64" s="1635">
        <f t="shared" si="56"/>
        <v>0</v>
      </c>
      <c r="U64" s="1635">
        <f t="shared" si="57"/>
        <v>0</v>
      </c>
      <c r="V64" s="1635">
        <f t="shared" si="58"/>
        <v>0</v>
      </c>
      <c r="W64" s="1635">
        <f t="shared" si="59"/>
        <v>0</v>
      </c>
      <c r="X64" s="1635">
        <f t="shared" si="60"/>
        <v>0</v>
      </c>
      <c r="Y64" s="1635">
        <f t="shared" si="65"/>
        <v>0</v>
      </c>
      <c r="Z64" s="1637">
        <f t="shared" si="65"/>
        <v>0</v>
      </c>
      <c r="AA64" s="1635">
        <f t="shared" si="65"/>
        <v>0</v>
      </c>
      <c r="AB64" s="1671">
        <f t="shared" si="66"/>
        <v>0</v>
      </c>
      <c r="AC64" s="1672">
        <f t="shared" si="66"/>
        <v>0</v>
      </c>
      <c r="AD64" s="1672">
        <f t="shared" si="66"/>
        <v>0</v>
      </c>
      <c r="AE64" s="1614"/>
      <c r="AF64" s="1560"/>
      <c r="AG64" s="1560"/>
      <c r="AH64" s="1560"/>
      <c r="AI64" s="1564"/>
      <c r="AJ64" s="1564"/>
      <c r="AK64" s="1564"/>
      <c r="AL64" s="1564"/>
      <c r="AM64" s="1564"/>
      <c r="AN64" s="1564"/>
      <c r="AO64" s="1564"/>
      <c r="AP64" s="1617"/>
      <c r="AQ64" s="1564"/>
      <c r="AR64" s="1564"/>
      <c r="AS64" s="1564"/>
      <c r="AT64" s="1564"/>
      <c r="AU64" s="1611"/>
      <c r="AV64" s="1571">
        <v>1.1000000000000001</v>
      </c>
      <c r="AW64" s="1571" t="s">
        <v>967</v>
      </c>
      <c r="AX64" s="1538" t="s">
        <v>589</v>
      </c>
      <c r="AY64" s="1572">
        <v>0.3</v>
      </c>
    </row>
    <row r="65" spans="2:51">
      <c r="B65" s="1537" t="str">
        <f t="shared" si="48"/>
        <v>1.1.1</v>
      </c>
      <c r="C65" s="1538" t="str">
        <f t="shared" si="62"/>
        <v>木質系住宅</v>
      </c>
      <c r="D65" s="1539">
        <f t="shared" ref="D65:E67" si="67">IF(I$64=0,0,G65/I$64)</f>
        <v>1</v>
      </c>
      <c r="E65" s="1539">
        <f t="shared" si="67"/>
        <v>0</v>
      </c>
      <c r="F65" s="1644"/>
      <c r="G65" s="1551">
        <f t="shared" si="49"/>
        <v>1</v>
      </c>
      <c r="H65" s="1551">
        <f>L65*((T$7*T65)+(U$7*U65)+(V$7*V65)+(W$7*W65)+(X$7*X65)+(Y$7*Y65)+(Z$7*Z65)+(AA$7*AA65)+(AB$7*AB65))</f>
        <v>0</v>
      </c>
      <c r="I65" s="1551"/>
      <c r="J65" s="1551"/>
      <c r="K65" s="1551">
        <f>IF(スコア!M65=0,0,1)</f>
        <v>1</v>
      </c>
      <c r="L65" s="1551">
        <f>IF(スコア!R65=0,0,1)</f>
        <v>0</v>
      </c>
      <c r="M65" s="1551">
        <f t="shared" si="51"/>
        <v>1</v>
      </c>
      <c r="N65" s="1551">
        <f t="shared" si="52"/>
        <v>0</v>
      </c>
      <c r="O65" s="1606"/>
      <c r="P65" s="1542" t="str">
        <f t="shared" si="53"/>
        <v>1.1.1</v>
      </c>
      <c r="Q65" s="1542" t="str">
        <f t="shared" si="64"/>
        <v>2.2.1.1</v>
      </c>
      <c r="R65" s="1542" t="str">
        <f t="shared" ref="R65:R87" si="68">IF($P$3=1,AH65,AX65)</f>
        <v>木質系住宅</v>
      </c>
      <c r="S65" s="1673">
        <f>IF($P$3=1,AI65,AY65)*S89</f>
        <v>1</v>
      </c>
      <c r="T65" s="1635"/>
      <c r="U65" s="1635"/>
      <c r="V65" s="1635"/>
      <c r="W65" s="1635"/>
      <c r="X65" s="1635"/>
      <c r="Y65" s="1635"/>
      <c r="Z65" s="1637"/>
      <c r="AA65" s="1635"/>
      <c r="AB65" s="1671"/>
      <c r="AC65" s="1672"/>
      <c r="AD65" s="1672"/>
      <c r="AE65" s="1614"/>
      <c r="AF65" s="1560"/>
      <c r="AG65" s="1560"/>
      <c r="AH65" s="1560"/>
      <c r="AI65" s="1564"/>
      <c r="AJ65" s="1564"/>
      <c r="AK65" s="1564"/>
      <c r="AL65" s="1564"/>
      <c r="AM65" s="1564"/>
      <c r="AN65" s="1564"/>
      <c r="AO65" s="1564"/>
      <c r="AP65" s="1617"/>
      <c r="AQ65" s="1564"/>
      <c r="AR65" s="1564"/>
      <c r="AS65" s="1564"/>
      <c r="AT65" s="1564"/>
      <c r="AU65" s="1611"/>
      <c r="AV65" s="1571" t="s">
        <v>544</v>
      </c>
      <c r="AW65" s="1571" t="s">
        <v>615</v>
      </c>
      <c r="AX65" s="1538" t="s">
        <v>590</v>
      </c>
      <c r="AY65" s="1572">
        <v>1</v>
      </c>
    </row>
    <row r="66" spans="2:51">
      <c r="B66" s="1537" t="str">
        <f t="shared" si="48"/>
        <v>1.1.2</v>
      </c>
      <c r="C66" s="1538" t="str">
        <f t="shared" si="62"/>
        <v>鉄骨系住宅</v>
      </c>
      <c r="D66" s="1539">
        <f t="shared" si="67"/>
        <v>0</v>
      </c>
      <c r="E66" s="1539">
        <f t="shared" si="67"/>
        <v>0</v>
      </c>
      <c r="F66" s="1644"/>
      <c r="G66" s="1551">
        <f t="shared" si="49"/>
        <v>0</v>
      </c>
      <c r="H66" s="1551">
        <f>L66*((T$7*T66)+(U$7*U66)+(V$7*V66)+(W$7*W66)+(X$7*X66)+(Y$7*Y66)+(Z$7*Z66)+(AA$7*AA66)+(AB$7*AB66))</f>
        <v>0</v>
      </c>
      <c r="I66" s="1551"/>
      <c r="J66" s="1551"/>
      <c r="K66" s="1551">
        <f>IF(スコア!M66=0,0,1)</f>
        <v>1</v>
      </c>
      <c r="L66" s="1551">
        <f>IF(スコア!R66=0,0,1)</f>
        <v>0</v>
      </c>
      <c r="M66" s="1551">
        <f t="shared" si="51"/>
        <v>0</v>
      </c>
      <c r="N66" s="1551">
        <f t="shared" si="52"/>
        <v>0</v>
      </c>
      <c r="O66" s="1606"/>
      <c r="P66" s="1542" t="str">
        <f t="shared" si="53"/>
        <v>1.1.2</v>
      </c>
      <c r="Q66" s="1542" t="str">
        <f t="shared" si="64"/>
        <v>2.2.1.1</v>
      </c>
      <c r="R66" s="1542" t="str">
        <f t="shared" si="68"/>
        <v>鉄骨系住宅</v>
      </c>
      <c r="S66" s="1673">
        <f>IF($P$3=1,AI66,AY66)*S90</f>
        <v>0</v>
      </c>
      <c r="T66" s="1635"/>
      <c r="U66" s="1635"/>
      <c r="V66" s="1635"/>
      <c r="W66" s="1635"/>
      <c r="X66" s="1635"/>
      <c r="Y66" s="1635"/>
      <c r="Z66" s="1637"/>
      <c r="AA66" s="1635"/>
      <c r="AB66" s="1671"/>
      <c r="AC66" s="1672"/>
      <c r="AD66" s="1672"/>
      <c r="AE66" s="1614"/>
      <c r="AF66" s="1560"/>
      <c r="AG66" s="1560"/>
      <c r="AH66" s="1560"/>
      <c r="AI66" s="1564"/>
      <c r="AJ66" s="1564"/>
      <c r="AK66" s="1564"/>
      <c r="AL66" s="1564"/>
      <c r="AM66" s="1564"/>
      <c r="AN66" s="1564"/>
      <c r="AO66" s="1564"/>
      <c r="AP66" s="1617"/>
      <c r="AQ66" s="1564"/>
      <c r="AR66" s="1564"/>
      <c r="AS66" s="1564"/>
      <c r="AT66" s="1564"/>
      <c r="AU66" s="1611"/>
      <c r="AV66" s="1571" t="s">
        <v>545</v>
      </c>
      <c r="AW66" s="1571" t="s">
        <v>615</v>
      </c>
      <c r="AX66" s="1538" t="s">
        <v>591</v>
      </c>
      <c r="AY66" s="1582">
        <v>1</v>
      </c>
    </row>
    <row r="67" spans="2:51">
      <c r="B67" s="1537" t="str">
        <f t="shared" si="48"/>
        <v>1.1.3</v>
      </c>
      <c r="C67" s="1538" t="str">
        <f t="shared" si="62"/>
        <v>コンクリート系住宅</v>
      </c>
      <c r="D67" s="1539">
        <f t="shared" si="67"/>
        <v>0</v>
      </c>
      <c r="E67" s="1539">
        <f t="shared" si="67"/>
        <v>0</v>
      </c>
      <c r="F67" s="1644"/>
      <c r="G67" s="1551">
        <f t="shared" si="49"/>
        <v>0</v>
      </c>
      <c r="H67" s="1551">
        <f>L67*((AB$7*AB67)+(AC$7*AC67)+(AD$7*AD67))</f>
        <v>0</v>
      </c>
      <c r="I67" s="1551"/>
      <c r="J67" s="1551"/>
      <c r="K67" s="1551">
        <f>IF(スコア!M67=0,0,1)</f>
        <v>1</v>
      </c>
      <c r="L67" s="1551">
        <f>IF(スコア!R67=0,0,1)</f>
        <v>0</v>
      </c>
      <c r="M67" s="1551">
        <f t="shared" si="51"/>
        <v>0</v>
      </c>
      <c r="N67" s="1551">
        <f t="shared" si="52"/>
        <v>0</v>
      </c>
      <c r="O67" s="1606"/>
      <c r="P67" s="1542" t="str">
        <f t="shared" si="53"/>
        <v>1.1.3</v>
      </c>
      <c r="Q67" s="1542" t="str">
        <f t="shared" si="64"/>
        <v>2.2.1.1</v>
      </c>
      <c r="R67" s="1542" t="str">
        <f t="shared" si="68"/>
        <v>コンクリート系住宅</v>
      </c>
      <c r="S67" s="1673">
        <f>IF($P$3=1,AI67,AY67)*S91</f>
        <v>0</v>
      </c>
      <c r="T67" s="1635"/>
      <c r="U67" s="1635"/>
      <c r="V67" s="1635"/>
      <c r="W67" s="1635"/>
      <c r="X67" s="1635"/>
      <c r="Y67" s="1635"/>
      <c r="Z67" s="1637"/>
      <c r="AA67" s="1635"/>
      <c r="AB67" s="1671"/>
      <c r="AC67" s="1672"/>
      <c r="AD67" s="1672"/>
      <c r="AE67" s="1614"/>
      <c r="AF67" s="1560"/>
      <c r="AG67" s="1560"/>
      <c r="AH67" s="1560"/>
      <c r="AI67" s="1564"/>
      <c r="AJ67" s="1564"/>
      <c r="AK67" s="1564"/>
      <c r="AL67" s="1564"/>
      <c r="AM67" s="1564"/>
      <c r="AN67" s="1564"/>
      <c r="AO67" s="1564"/>
      <c r="AP67" s="1617"/>
      <c r="AQ67" s="1564"/>
      <c r="AR67" s="1564"/>
      <c r="AS67" s="1564"/>
      <c r="AT67" s="1564"/>
      <c r="AU67" s="1611"/>
      <c r="AV67" s="1571" t="s">
        <v>607</v>
      </c>
      <c r="AW67" s="1571" t="s">
        <v>615</v>
      </c>
      <c r="AX67" s="1538" t="s">
        <v>592</v>
      </c>
      <c r="AY67" s="1572">
        <v>1</v>
      </c>
    </row>
    <row r="68" spans="2:51">
      <c r="B68" s="1537">
        <f t="shared" si="48"/>
        <v>1.2</v>
      </c>
      <c r="C68" s="1538" t="str">
        <f t="shared" si="62"/>
        <v>地盤補強材・地業・基礎</v>
      </c>
      <c r="D68" s="1539">
        <f>IF(I$63=0,0,G68/I$63)</f>
        <v>0.20000000000000004</v>
      </c>
      <c r="E68" s="1539">
        <f>IF(J$63=0,0,H68/J$63)</f>
        <v>0</v>
      </c>
      <c r="F68" s="1644"/>
      <c r="G68" s="1551">
        <f t="shared" si="49"/>
        <v>0.2</v>
      </c>
      <c r="H68" s="1551">
        <f>L68*((T$7*T68)+(U$7*U68)+(V$7*V68)+(W$7*W68)+(X$7*X68)+(Y$7*Y68)+(Z$7*Z68)+(AA$7*AA68)+(AB$7*AB68))</f>
        <v>0</v>
      </c>
      <c r="I68" s="1551"/>
      <c r="J68" s="1551"/>
      <c r="K68" s="1551">
        <f>IF(スコア!M68=0,0,1)</f>
        <v>1</v>
      </c>
      <c r="L68" s="1551">
        <f>IF(スコア!R68=0,0,1)</f>
        <v>0</v>
      </c>
      <c r="M68" s="1551">
        <f t="shared" si="51"/>
        <v>0.2</v>
      </c>
      <c r="N68" s="1551">
        <f t="shared" si="52"/>
        <v>0</v>
      </c>
      <c r="O68" s="1606"/>
      <c r="P68" s="1663">
        <f t="shared" si="53"/>
        <v>1.2</v>
      </c>
      <c r="Q68" s="1663" t="str">
        <f t="shared" si="64"/>
        <v>2.2.1</v>
      </c>
      <c r="R68" s="1542" t="str">
        <f t="shared" si="68"/>
        <v>地盤補強材・地業・基礎</v>
      </c>
      <c r="S68" s="1635">
        <f t="shared" ref="S68:S87" si="69">IF($P$3=1,AI68,AY68)</f>
        <v>0.2</v>
      </c>
      <c r="T68" s="1635">
        <f t="shared" ref="T68:AA68" si="70">IF($P$3=1,AJ68,AZ68)</f>
        <v>0</v>
      </c>
      <c r="U68" s="1635">
        <f t="shared" si="70"/>
        <v>0</v>
      </c>
      <c r="V68" s="1635">
        <f t="shared" si="70"/>
        <v>0</v>
      </c>
      <c r="W68" s="1635">
        <f t="shared" si="70"/>
        <v>0</v>
      </c>
      <c r="X68" s="1635">
        <f t="shared" si="70"/>
        <v>0</v>
      </c>
      <c r="Y68" s="1635">
        <f t="shared" si="70"/>
        <v>0</v>
      </c>
      <c r="Z68" s="1637">
        <f t="shared" si="70"/>
        <v>0</v>
      </c>
      <c r="AA68" s="1635">
        <f t="shared" si="70"/>
        <v>0</v>
      </c>
      <c r="AB68" s="1671">
        <f>IF($P$3=1,AR68,BH68)</f>
        <v>0</v>
      </c>
      <c r="AC68" s="1672">
        <f>IF($P$3=1,AS68,BI68)</f>
        <v>0</v>
      </c>
      <c r="AD68" s="1672">
        <f>IF($P$3=1,AT68,BJ68)</f>
        <v>0</v>
      </c>
      <c r="AE68" s="1614"/>
      <c r="AF68" s="1560"/>
      <c r="AG68" s="1560"/>
      <c r="AH68" s="1560"/>
      <c r="AI68" s="1564"/>
      <c r="AJ68" s="1564"/>
      <c r="AK68" s="1564"/>
      <c r="AL68" s="1564"/>
      <c r="AM68" s="1564"/>
      <c r="AN68" s="1564"/>
      <c r="AO68" s="1564"/>
      <c r="AP68" s="1617"/>
      <c r="AQ68" s="1564"/>
      <c r="AR68" s="1564"/>
      <c r="AS68" s="1564"/>
      <c r="AT68" s="1564"/>
      <c r="AU68" s="1611"/>
      <c r="AV68" s="1580">
        <v>1.2</v>
      </c>
      <c r="AW68" s="1571" t="s">
        <v>967</v>
      </c>
      <c r="AX68" s="1543" t="s">
        <v>593</v>
      </c>
      <c r="AY68" s="1572">
        <v>0.2</v>
      </c>
    </row>
    <row r="69" spans="2:51">
      <c r="B69" s="1542">
        <f t="shared" si="48"/>
        <v>1.3</v>
      </c>
      <c r="C69" s="1542" t="str">
        <f t="shared" si="62"/>
        <v>外装材</v>
      </c>
      <c r="D69" s="1546">
        <f t="shared" ref="D69:E71" si="71">IF(I$63=0,0,G69/I$63)</f>
        <v>0.20000000000000004</v>
      </c>
      <c r="E69" s="1546">
        <f t="shared" si="71"/>
        <v>0</v>
      </c>
      <c r="F69" s="1644"/>
      <c r="G69" s="1551">
        <f t="shared" si="49"/>
        <v>0.2</v>
      </c>
      <c r="H69" s="1551">
        <f>L69*((T$7*T69)+(U$7*U69)+(V$7*V69)+(W$7*W69)+(X$7*X69)+(Y$7*Y69)+(Z$7*Z69)+(AA$7*AA69)+(AB$7*AB69))</f>
        <v>0</v>
      </c>
      <c r="I69" s="1551"/>
      <c r="J69" s="1551"/>
      <c r="K69" s="1551">
        <f>IF(スコア!M69=0,0,1)</f>
        <v>1</v>
      </c>
      <c r="L69" s="1551">
        <f>IF(スコア!R69=0,0,1)</f>
        <v>0</v>
      </c>
      <c r="M69" s="1551">
        <f t="shared" si="51"/>
        <v>0.2</v>
      </c>
      <c r="N69" s="1551">
        <f t="shared" si="52"/>
        <v>0</v>
      </c>
      <c r="O69" s="1606"/>
      <c r="P69" s="1542">
        <f t="shared" si="53"/>
        <v>1.3</v>
      </c>
      <c r="Q69" s="1542" t="str">
        <f t="shared" si="64"/>
        <v>2.2.1</v>
      </c>
      <c r="R69" s="1542" t="str">
        <f t="shared" si="68"/>
        <v>外装材</v>
      </c>
      <c r="S69" s="1635">
        <f t="shared" si="69"/>
        <v>0.2</v>
      </c>
      <c r="T69" s="1635"/>
      <c r="U69" s="1635"/>
      <c r="V69" s="1635"/>
      <c r="W69" s="1635"/>
      <c r="X69" s="1635"/>
      <c r="Y69" s="1635"/>
      <c r="Z69" s="1637"/>
      <c r="AA69" s="1635"/>
      <c r="AB69" s="1671"/>
      <c r="AC69" s="1672"/>
      <c r="AD69" s="1672"/>
      <c r="AE69" s="1614"/>
      <c r="AF69" s="1560"/>
      <c r="AG69" s="1560"/>
      <c r="AH69" s="1560"/>
      <c r="AI69" s="1564"/>
      <c r="AJ69" s="1564"/>
      <c r="AK69" s="1564"/>
      <c r="AL69" s="1564"/>
      <c r="AM69" s="1564"/>
      <c r="AN69" s="1564"/>
      <c r="AO69" s="1564"/>
      <c r="AP69" s="1617"/>
      <c r="AQ69" s="1564"/>
      <c r="AR69" s="1564"/>
      <c r="AS69" s="1564"/>
      <c r="AT69" s="1564"/>
      <c r="AU69" s="1611"/>
      <c r="AV69" s="1571">
        <v>1.3</v>
      </c>
      <c r="AW69" s="1571" t="s">
        <v>967</v>
      </c>
      <c r="AX69" s="1538" t="s">
        <v>594</v>
      </c>
      <c r="AY69" s="1572">
        <v>0.2</v>
      </c>
    </row>
    <row r="70" spans="2:51">
      <c r="B70" s="1537">
        <f t="shared" si="48"/>
        <v>1.4</v>
      </c>
      <c r="C70" s="1538" t="str">
        <f t="shared" si="62"/>
        <v>内装材</v>
      </c>
      <c r="D70" s="1546">
        <f t="shared" si="71"/>
        <v>0.20000000000000004</v>
      </c>
      <c r="E70" s="1546">
        <f t="shared" si="71"/>
        <v>0</v>
      </c>
      <c r="F70" s="1644"/>
      <c r="G70" s="1551">
        <f t="shared" si="49"/>
        <v>0.2</v>
      </c>
      <c r="H70" s="1551">
        <f>L70*((T$7*T70)+(U$7*U70)+(V$7*V70)+(W$7*W70)+(X$7*X70)+(Y$7*Y70)+(Z$7*Z70)+(AA$7*AA70)+(AB$7*AB70))</f>
        <v>0</v>
      </c>
      <c r="I70" s="1551"/>
      <c r="J70" s="1551"/>
      <c r="K70" s="1551">
        <f>IF(スコア!M70=0,0,1)</f>
        <v>1</v>
      </c>
      <c r="L70" s="1551">
        <f>IF(スコア!R70=0,0,1)</f>
        <v>0</v>
      </c>
      <c r="M70" s="1551">
        <f t="shared" si="51"/>
        <v>0.2</v>
      </c>
      <c r="N70" s="1551">
        <f t="shared" si="52"/>
        <v>0</v>
      </c>
      <c r="O70" s="1606"/>
      <c r="P70" s="1542">
        <f t="shared" si="53"/>
        <v>1.4</v>
      </c>
      <c r="Q70" s="1542" t="str">
        <f t="shared" si="64"/>
        <v>2.2.1</v>
      </c>
      <c r="R70" s="1542" t="str">
        <f t="shared" si="68"/>
        <v>内装材</v>
      </c>
      <c r="S70" s="1635">
        <f t="shared" si="69"/>
        <v>0.2</v>
      </c>
      <c r="T70" s="1635"/>
      <c r="U70" s="1635"/>
      <c r="V70" s="1635"/>
      <c r="W70" s="1635"/>
      <c r="X70" s="1635"/>
      <c r="Y70" s="1635"/>
      <c r="Z70" s="1637"/>
      <c r="AA70" s="1635"/>
      <c r="AB70" s="1671"/>
      <c r="AC70" s="1672"/>
      <c r="AD70" s="1672"/>
      <c r="AE70" s="1614"/>
      <c r="AF70" s="1560"/>
      <c r="AG70" s="1560"/>
      <c r="AH70" s="1560"/>
      <c r="AI70" s="1564"/>
      <c r="AJ70" s="1564"/>
      <c r="AK70" s="1564"/>
      <c r="AL70" s="1564"/>
      <c r="AM70" s="1564"/>
      <c r="AN70" s="1564"/>
      <c r="AO70" s="1564"/>
      <c r="AP70" s="1617"/>
      <c r="AQ70" s="1564"/>
      <c r="AR70" s="1564"/>
      <c r="AS70" s="1564"/>
      <c r="AT70" s="1564"/>
      <c r="AU70" s="1611"/>
      <c r="AV70" s="1571">
        <v>1.4</v>
      </c>
      <c r="AW70" s="1571" t="s">
        <v>967</v>
      </c>
      <c r="AX70" s="1538" t="s">
        <v>595</v>
      </c>
      <c r="AY70" s="1572">
        <v>0.2</v>
      </c>
    </row>
    <row r="71" spans="2:51">
      <c r="B71" s="1537">
        <f t="shared" si="48"/>
        <v>1.5</v>
      </c>
      <c r="C71" s="1538" t="str">
        <f t="shared" si="62"/>
        <v>外構材</v>
      </c>
      <c r="D71" s="1546">
        <f t="shared" si="71"/>
        <v>0.10000000000000002</v>
      </c>
      <c r="E71" s="1546">
        <f t="shared" si="71"/>
        <v>0</v>
      </c>
      <c r="F71" s="1644"/>
      <c r="G71" s="1551">
        <f t="shared" si="49"/>
        <v>0.1</v>
      </c>
      <c r="H71" s="1551">
        <f>L71*((T$7*T71)+(U$7*U71)+(V$7*V71)+(W$7*W71)+(X$7*X71)+(Y$7*Y71)+(Z$7*Z71)+(AA$7*AA71)+(AB$7*AB71))</f>
        <v>0</v>
      </c>
      <c r="I71" s="1551"/>
      <c r="J71" s="1551"/>
      <c r="K71" s="1551">
        <f>IF(スコア!M71=0,0,1)</f>
        <v>1</v>
      </c>
      <c r="L71" s="1551">
        <f>IF(スコア!R71=0,0,1)</f>
        <v>0</v>
      </c>
      <c r="M71" s="1551">
        <f t="shared" si="51"/>
        <v>0.1</v>
      </c>
      <c r="N71" s="1551">
        <f t="shared" si="52"/>
        <v>0</v>
      </c>
      <c r="O71" s="1606"/>
      <c r="P71" s="1542">
        <f t="shared" si="53"/>
        <v>1.5</v>
      </c>
      <c r="Q71" s="1542" t="str">
        <f t="shared" si="64"/>
        <v>2.2.1</v>
      </c>
      <c r="R71" s="1542" t="str">
        <f t="shared" si="68"/>
        <v>外構材</v>
      </c>
      <c r="S71" s="1635">
        <f t="shared" si="69"/>
        <v>0.1</v>
      </c>
      <c r="T71" s="1635"/>
      <c r="U71" s="1635"/>
      <c r="V71" s="1635"/>
      <c r="W71" s="1635"/>
      <c r="X71" s="1635"/>
      <c r="Y71" s="1635"/>
      <c r="Z71" s="1637"/>
      <c r="AA71" s="1635"/>
      <c r="AB71" s="1671"/>
      <c r="AC71" s="1672"/>
      <c r="AD71" s="1672"/>
      <c r="AE71" s="1614"/>
      <c r="AF71" s="1560"/>
      <c r="AG71" s="1560"/>
      <c r="AH71" s="1560"/>
      <c r="AI71" s="1564"/>
      <c r="AJ71" s="1564"/>
      <c r="AK71" s="1564"/>
      <c r="AL71" s="1564"/>
      <c r="AM71" s="1564"/>
      <c r="AN71" s="1564"/>
      <c r="AO71" s="1564"/>
      <c r="AP71" s="1617"/>
      <c r="AQ71" s="1564"/>
      <c r="AR71" s="1564"/>
      <c r="AS71" s="1564"/>
      <c r="AT71" s="1564"/>
      <c r="AU71" s="1611"/>
      <c r="AV71" s="1571">
        <v>1.5</v>
      </c>
      <c r="AW71" s="1571" t="s">
        <v>967</v>
      </c>
      <c r="AX71" s="1538" t="s">
        <v>596</v>
      </c>
      <c r="AY71" s="1572">
        <v>0.1</v>
      </c>
    </row>
    <row r="72" spans="2:51">
      <c r="B72" s="1534">
        <f t="shared" ref="B72:B87" si="72">P72</f>
        <v>2</v>
      </c>
      <c r="C72" s="1535" t="str">
        <f t="shared" si="62"/>
        <v>生産・施工段階における廃棄物削減</v>
      </c>
      <c r="D72" s="1536">
        <f>IF(I$62=0,0,G72/I$62)</f>
        <v>0.30000000000000004</v>
      </c>
      <c r="E72" s="1536">
        <f>IF(J$62=0,0,H72/J$62)</f>
        <v>0</v>
      </c>
      <c r="F72" s="1644"/>
      <c r="G72" s="1544">
        <f t="shared" si="49"/>
        <v>0.3</v>
      </c>
      <c r="H72" s="1544">
        <f t="shared" ref="H72:H80" si="73">L72*((AB$7*AB72)+(AC$7*AC72)+(AD$7*AD72))</f>
        <v>0</v>
      </c>
      <c r="I72" s="1544">
        <f>G73+G74+G75</f>
        <v>0.99</v>
      </c>
      <c r="J72" s="1544">
        <f>H73+H74+H75</f>
        <v>0</v>
      </c>
      <c r="K72" s="1544">
        <f>IF(スコア!M72=0,0,1)</f>
        <v>1</v>
      </c>
      <c r="L72" s="1544">
        <f>IF(スコア!R72=0,0,1)</f>
        <v>0</v>
      </c>
      <c r="M72" s="1544">
        <f t="shared" si="51"/>
        <v>0.3</v>
      </c>
      <c r="N72" s="1544">
        <f t="shared" si="52"/>
        <v>0</v>
      </c>
      <c r="O72" s="1628"/>
      <c r="P72" s="1534">
        <f t="shared" si="53"/>
        <v>2</v>
      </c>
      <c r="Q72" s="1534" t="str">
        <f t="shared" si="64"/>
        <v>2.2</v>
      </c>
      <c r="R72" s="1534" t="str">
        <f t="shared" si="68"/>
        <v>生産・施工段階における廃棄物削減</v>
      </c>
      <c r="S72" s="1632">
        <f t="shared" si="69"/>
        <v>0.3</v>
      </c>
      <c r="T72" s="1632">
        <f t="shared" ref="T72:U75" si="74">IF($P$3=1,AJ72,AZ72)</f>
        <v>0</v>
      </c>
      <c r="U72" s="1632">
        <f t="shared" si="74"/>
        <v>0</v>
      </c>
      <c r="V72" s="1632">
        <f t="shared" ref="V72:AA75" si="75">IF($P$3=1,AL72,BB72)</f>
        <v>0</v>
      </c>
      <c r="W72" s="1632">
        <f t="shared" si="75"/>
        <v>0</v>
      </c>
      <c r="X72" s="1632">
        <f t="shared" si="75"/>
        <v>0</v>
      </c>
      <c r="Y72" s="1632">
        <f t="shared" si="75"/>
        <v>0</v>
      </c>
      <c r="Z72" s="1648">
        <f t="shared" si="75"/>
        <v>0</v>
      </c>
      <c r="AA72" s="1632">
        <f t="shared" si="75"/>
        <v>0</v>
      </c>
      <c r="AB72" s="1669">
        <f t="shared" ref="AB72:AD75" si="76">IF($P$3=1,AR72,BH72)</f>
        <v>0</v>
      </c>
      <c r="AC72" s="1670">
        <f t="shared" si="76"/>
        <v>0</v>
      </c>
      <c r="AD72" s="1670">
        <f t="shared" si="76"/>
        <v>0</v>
      </c>
      <c r="AE72" s="1614"/>
      <c r="AF72" s="1560"/>
      <c r="AG72" s="1560"/>
      <c r="AH72" s="1560"/>
      <c r="AI72" s="1564"/>
      <c r="AJ72" s="1564"/>
      <c r="AK72" s="1564"/>
      <c r="AL72" s="1564"/>
      <c r="AM72" s="1564"/>
      <c r="AN72" s="1564"/>
      <c r="AO72" s="1564"/>
      <c r="AP72" s="1617"/>
      <c r="AQ72" s="1564"/>
      <c r="AR72" s="1564"/>
      <c r="AS72" s="1564"/>
      <c r="AT72" s="1564"/>
      <c r="AU72" s="1611"/>
      <c r="AV72" s="1569">
        <v>2</v>
      </c>
      <c r="AW72" s="1569" t="s">
        <v>614</v>
      </c>
      <c r="AX72" s="1574" t="s">
        <v>597</v>
      </c>
      <c r="AY72" s="1576">
        <v>0.3</v>
      </c>
    </row>
    <row r="73" spans="2:51">
      <c r="B73" s="1537">
        <f t="shared" si="72"/>
        <v>2.1</v>
      </c>
      <c r="C73" s="1538" t="str">
        <f t="shared" si="62"/>
        <v>生産段階（構造躯体用部材）</v>
      </c>
      <c r="D73" s="1539">
        <f t="shared" ref="D73:E75" si="77">IF(I$72=0,0,G73/I$72)</f>
        <v>0.33333333333333337</v>
      </c>
      <c r="E73" s="1539">
        <f t="shared" si="77"/>
        <v>0</v>
      </c>
      <c r="F73" s="1644"/>
      <c r="G73" s="1551">
        <f t="shared" si="49"/>
        <v>0.33</v>
      </c>
      <c r="H73" s="1551">
        <f t="shared" si="73"/>
        <v>0</v>
      </c>
      <c r="I73" s="1551"/>
      <c r="J73" s="1551"/>
      <c r="K73" s="1551">
        <f>IF(スコア!M73=0,0,1)</f>
        <v>1</v>
      </c>
      <c r="L73" s="1551">
        <f>IF(スコア!R73=0,0,1)</f>
        <v>0</v>
      </c>
      <c r="M73" s="1551">
        <f t="shared" si="51"/>
        <v>0.33</v>
      </c>
      <c r="N73" s="1551">
        <f t="shared" si="52"/>
        <v>0</v>
      </c>
      <c r="O73" s="1606"/>
      <c r="P73" s="1542">
        <f t="shared" si="53"/>
        <v>2.1</v>
      </c>
      <c r="Q73" s="1542" t="str">
        <f t="shared" si="64"/>
        <v>2.2.2</v>
      </c>
      <c r="R73" s="1542" t="str">
        <f t="shared" si="68"/>
        <v>生産段階（構造躯体用部材）</v>
      </c>
      <c r="S73" s="1635">
        <f t="shared" si="69"/>
        <v>0.33</v>
      </c>
      <c r="T73" s="1635">
        <f t="shared" si="74"/>
        <v>0</v>
      </c>
      <c r="U73" s="1635">
        <f t="shared" si="74"/>
        <v>0</v>
      </c>
      <c r="V73" s="1635">
        <f t="shared" si="75"/>
        <v>0</v>
      </c>
      <c r="W73" s="1635">
        <f t="shared" si="75"/>
        <v>0</v>
      </c>
      <c r="X73" s="1635">
        <f t="shared" si="75"/>
        <v>0</v>
      </c>
      <c r="Y73" s="1635">
        <f t="shared" si="75"/>
        <v>0</v>
      </c>
      <c r="Z73" s="1637">
        <f t="shared" si="75"/>
        <v>0</v>
      </c>
      <c r="AA73" s="1635">
        <f t="shared" si="75"/>
        <v>0</v>
      </c>
      <c r="AB73" s="1671">
        <f t="shared" si="76"/>
        <v>0</v>
      </c>
      <c r="AC73" s="1672">
        <f t="shared" si="76"/>
        <v>0</v>
      </c>
      <c r="AD73" s="1672">
        <f t="shared" si="76"/>
        <v>0</v>
      </c>
      <c r="AE73" s="1614"/>
      <c r="AF73" s="1560"/>
      <c r="AG73" s="1560"/>
      <c r="AH73" s="1560"/>
      <c r="AI73" s="1564"/>
      <c r="AJ73" s="1564"/>
      <c r="AK73" s="1564"/>
      <c r="AL73" s="1564"/>
      <c r="AM73" s="1564"/>
      <c r="AN73" s="1564"/>
      <c r="AO73" s="1564"/>
      <c r="AP73" s="1617"/>
      <c r="AQ73" s="1564"/>
      <c r="AR73" s="1564"/>
      <c r="AS73" s="1564"/>
      <c r="AT73" s="1564"/>
      <c r="AU73" s="1611"/>
      <c r="AV73" s="1571">
        <v>2.1</v>
      </c>
      <c r="AW73" s="1571" t="s">
        <v>968</v>
      </c>
      <c r="AX73" s="1543" t="s">
        <v>626</v>
      </c>
      <c r="AY73" s="1572">
        <v>0.33</v>
      </c>
    </row>
    <row r="74" spans="2:51">
      <c r="B74" s="1537">
        <f t="shared" si="72"/>
        <v>2.2000000000000002</v>
      </c>
      <c r="C74" s="1538" t="str">
        <f t="shared" si="62"/>
        <v>生産段階（構造躯体用以外の部材）</v>
      </c>
      <c r="D74" s="1539">
        <f t="shared" si="77"/>
        <v>0.33333333333333337</v>
      </c>
      <c r="E74" s="1539">
        <f t="shared" si="77"/>
        <v>0</v>
      </c>
      <c r="F74" s="1664"/>
      <c r="G74" s="1551">
        <f t="shared" si="49"/>
        <v>0.33</v>
      </c>
      <c r="H74" s="1551">
        <f t="shared" si="73"/>
        <v>0</v>
      </c>
      <c r="I74" s="1551"/>
      <c r="J74" s="1551"/>
      <c r="K74" s="1551">
        <f>IF(スコア!M74=0,0,1)</f>
        <v>1</v>
      </c>
      <c r="L74" s="1551">
        <f>IF(スコア!R74=0,0,1)</f>
        <v>0</v>
      </c>
      <c r="M74" s="1551">
        <f t="shared" si="51"/>
        <v>0.33</v>
      </c>
      <c r="N74" s="1551">
        <f t="shared" si="52"/>
        <v>0</v>
      </c>
      <c r="O74" s="1606"/>
      <c r="P74" s="1542">
        <f t="shared" si="53"/>
        <v>2.2000000000000002</v>
      </c>
      <c r="Q74" s="1542" t="str">
        <f t="shared" si="64"/>
        <v>2.2.2</v>
      </c>
      <c r="R74" s="1542" t="str">
        <f t="shared" si="68"/>
        <v>生産段階（構造躯体用以外の部材）</v>
      </c>
      <c r="S74" s="1635">
        <f t="shared" si="69"/>
        <v>0.33</v>
      </c>
      <c r="T74" s="1635">
        <f t="shared" si="74"/>
        <v>0</v>
      </c>
      <c r="U74" s="1635">
        <f t="shared" si="74"/>
        <v>0</v>
      </c>
      <c r="V74" s="1635">
        <f t="shared" si="75"/>
        <v>0</v>
      </c>
      <c r="W74" s="1635">
        <f t="shared" si="75"/>
        <v>0</v>
      </c>
      <c r="X74" s="1635">
        <f t="shared" si="75"/>
        <v>0</v>
      </c>
      <c r="Y74" s="1635">
        <f t="shared" si="75"/>
        <v>0</v>
      </c>
      <c r="Z74" s="1637">
        <f t="shared" si="75"/>
        <v>0</v>
      </c>
      <c r="AA74" s="1635">
        <f t="shared" si="75"/>
        <v>0</v>
      </c>
      <c r="AB74" s="1671">
        <f t="shared" si="76"/>
        <v>0</v>
      </c>
      <c r="AC74" s="1672">
        <f t="shared" si="76"/>
        <v>0</v>
      </c>
      <c r="AD74" s="1672">
        <f t="shared" si="76"/>
        <v>0</v>
      </c>
      <c r="AE74" s="1614"/>
      <c r="AF74" s="1560"/>
      <c r="AG74" s="1560"/>
      <c r="AH74" s="1560"/>
      <c r="AI74" s="1564"/>
      <c r="AJ74" s="1564"/>
      <c r="AK74" s="1564"/>
      <c r="AL74" s="1564"/>
      <c r="AM74" s="1564"/>
      <c r="AN74" s="1564"/>
      <c r="AO74" s="1564"/>
      <c r="AP74" s="1617"/>
      <c r="AQ74" s="1564"/>
      <c r="AR74" s="1564"/>
      <c r="AS74" s="1564"/>
      <c r="AT74" s="1564"/>
      <c r="AU74" s="1611"/>
      <c r="AV74" s="1571">
        <v>2.2000000000000002</v>
      </c>
      <c r="AW74" s="1571" t="s">
        <v>968</v>
      </c>
      <c r="AX74" s="1538" t="s">
        <v>625</v>
      </c>
      <c r="AY74" s="1572">
        <v>0.33</v>
      </c>
    </row>
    <row r="75" spans="2:51">
      <c r="B75" s="1537">
        <f t="shared" si="72"/>
        <v>2.2999999999999998</v>
      </c>
      <c r="C75" s="1538" t="str">
        <f t="shared" si="62"/>
        <v>施工段階</v>
      </c>
      <c r="D75" s="1539">
        <f t="shared" si="77"/>
        <v>0.33333333333333337</v>
      </c>
      <c r="E75" s="1539">
        <f t="shared" si="77"/>
        <v>0</v>
      </c>
      <c r="F75" s="1665"/>
      <c r="G75" s="1551">
        <f t="shared" si="49"/>
        <v>0.33</v>
      </c>
      <c r="H75" s="1551">
        <f t="shared" si="73"/>
        <v>0</v>
      </c>
      <c r="I75" s="1551"/>
      <c r="J75" s="1551"/>
      <c r="K75" s="1551">
        <f>IF(スコア!M75=0,0,1)</f>
        <v>1</v>
      </c>
      <c r="L75" s="1551">
        <f>IF(スコア!R75=0,0,1)</f>
        <v>0</v>
      </c>
      <c r="M75" s="1551">
        <f t="shared" si="51"/>
        <v>0.33</v>
      </c>
      <c r="N75" s="1551">
        <f t="shared" si="52"/>
        <v>0</v>
      </c>
      <c r="O75" s="1606"/>
      <c r="P75" s="1542">
        <f t="shared" si="53"/>
        <v>2.2999999999999998</v>
      </c>
      <c r="Q75" s="1542" t="str">
        <f t="shared" si="64"/>
        <v>2.2.2</v>
      </c>
      <c r="R75" s="1542" t="str">
        <f t="shared" si="68"/>
        <v>施工段階</v>
      </c>
      <c r="S75" s="1635">
        <f t="shared" si="69"/>
        <v>0.33</v>
      </c>
      <c r="T75" s="1635">
        <f t="shared" si="74"/>
        <v>0</v>
      </c>
      <c r="U75" s="1635">
        <f t="shared" si="74"/>
        <v>0</v>
      </c>
      <c r="V75" s="1635">
        <f t="shared" si="75"/>
        <v>0</v>
      </c>
      <c r="W75" s="1635">
        <f t="shared" si="75"/>
        <v>0</v>
      </c>
      <c r="X75" s="1635">
        <f t="shared" si="75"/>
        <v>0</v>
      </c>
      <c r="Y75" s="1635">
        <f t="shared" si="75"/>
        <v>0</v>
      </c>
      <c r="Z75" s="1637">
        <f t="shared" si="75"/>
        <v>0</v>
      </c>
      <c r="AA75" s="1635">
        <f t="shared" si="75"/>
        <v>0</v>
      </c>
      <c r="AB75" s="1671">
        <f t="shared" si="76"/>
        <v>0</v>
      </c>
      <c r="AC75" s="1672">
        <f t="shared" si="76"/>
        <v>0</v>
      </c>
      <c r="AD75" s="1672">
        <f t="shared" si="76"/>
        <v>0</v>
      </c>
      <c r="AE75" s="1614"/>
      <c r="AF75" s="1560"/>
      <c r="AG75" s="1560"/>
      <c r="AH75" s="1560"/>
      <c r="AI75" s="1564"/>
      <c r="AJ75" s="1564"/>
      <c r="AK75" s="1564"/>
      <c r="AL75" s="1564"/>
      <c r="AM75" s="1564"/>
      <c r="AN75" s="1564"/>
      <c r="AO75" s="1564"/>
      <c r="AP75" s="1617"/>
      <c r="AQ75" s="1564"/>
      <c r="AR75" s="1564"/>
      <c r="AS75" s="1564"/>
      <c r="AT75" s="1564"/>
      <c r="AU75" s="1611"/>
      <c r="AV75" s="1571">
        <v>2.2999999999999998</v>
      </c>
      <c r="AW75" s="1571" t="s">
        <v>968</v>
      </c>
      <c r="AX75" s="1543" t="s">
        <v>598</v>
      </c>
      <c r="AY75" s="1572">
        <v>0.33</v>
      </c>
    </row>
    <row r="76" spans="2:51">
      <c r="B76" s="1534">
        <f t="shared" si="72"/>
        <v>3</v>
      </c>
      <c r="C76" s="1535" t="str">
        <f t="shared" si="62"/>
        <v>リサイクルの促進</v>
      </c>
      <c r="D76" s="1536">
        <f>IF(I$62=0,0,G76/I$62)</f>
        <v>0.10000000000000002</v>
      </c>
      <c r="E76" s="1536">
        <f>IF(J$62=0,0,H76/J$62)</f>
        <v>0</v>
      </c>
      <c r="F76" s="1627"/>
      <c r="G76" s="1544">
        <f t="shared" si="49"/>
        <v>0.1</v>
      </c>
      <c r="H76" s="1544">
        <f t="shared" si="73"/>
        <v>0</v>
      </c>
      <c r="I76" s="1544">
        <f>G77+G78</f>
        <v>1</v>
      </c>
      <c r="J76" s="1544">
        <f>H77+H78</f>
        <v>0</v>
      </c>
      <c r="K76" s="1544">
        <f>IF(スコア!M76=0,0,1)</f>
        <v>1</v>
      </c>
      <c r="L76" s="1544">
        <f>IF(スコア!R76=0,0,1)</f>
        <v>0</v>
      </c>
      <c r="M76" s="1544">
        <f t="shared" si="51"/>
        <v>0.1</v>
      </c>
      <c r="N76" s="1544">
        <f t="shared" si="52"/>
        <v>0</v>
      </c>
      <c r="O76" s="1628"/>
      <c r="P76" s="1534">
        <f t="shared" ref="P76:P87" si="78">IF($P$3=1,AF76,AV76)</f>
        <v>3</v>
      </c>
      <c r="Q76" s="1534" t="str">
        <f t="shared" ref="Q76:Q85" si="79">IF($P$3=1,AG76,AW76)</f>
        <v>2.2</v>
      </c>
      <c r="R76" s="1534" t="str">
        <f t="shared" si="68"/>
        <v>リサイクルの促進</v>
      </c>
      <c r="S76" s="1645">
        <f t="shared" si="69"/>
        <v>0.1</v>
      </c>
      <c r="T76" s="1645"/>
      <c r="U76" s="1645"/>
      <c r="V76" s="1645"/>
      <c r="W76" s="1645"/>
      <c r="X76" s="1645"/>
      <c r="Y76" s="1645"/>
      <c r="Z76" s="1633"/>
      <c r="AA76" s="1645"/>
      <c r="AB76" s="1669"/>
      <c r="AC76" s="1670"/>
      <c r="AD76" s="1670"/>
      <c r="AE76" s="1640"/>
      <c r="AF76" s="1565"/>
      <c r="AG76" s="1565"/>
      <c r="AH76" s="1565"/>
      <c r="AI76" s="1641"/>
      <c r="AJ76" s="1641"/>
      <c r="AK76" s="1641"/>
      <c r="AL76" s="1641"/>
      <c r="AM76" s="1641"/>
      <c r="AN76" s="1641"/>
      <c r="AO76" s="1641"/>
      <c r="AP76" s="1642"/>
      <c r="AQ76" s="1641"/>
      <c r="AR76" s="1641"/>
      <c r="AS76" s="1641"/>
      <c r="AT76" s="1641"/>
      <c r="AU76" s="1643"/>
      <c r="AV76" s="1569">
        <v>3</v>
      </c>
      <c r="AW76" s="1569" t="s">
        <v>614</v>
      </c>
      <c r="AX76" s="1574" t="s">
        <v>616</v>
      </c>
      <c r="AY76" s="1576">
        <v>0.1</v>
      </c>
    </row>
    <row r="77" spans="2:51">
      <c r="B77" s="1542">
        <f t="shared" si="72"/>
        <v>3.1</v>
      </c>
      <c r="C77" s="1542" t="str">
        <f t="shared" si="62"/>
        <v>使用材料の情報提供</v>
      </c>
      <c r="D77" s="1539">
        <f>IF(I$76=0,0,G77/I$76)</f>
        <v>1</v>
      </c>
      <c r="E77" s="1539">
        <f>IF(J$76=0,0,H77/J$76)</f>
        <v>0</v>
      </c>
      <c r="F77" s="1602"/>
      <c r="G77" s="1551">
        <f t="shared" si="49"/>
        <v>1</v>
      </c>
      <c r="H77" s="1551">
        <f t="shared" si="73"/>
        <v>0</v>
      </c>
      <c r="I77" s="1551"/>
      <c r="J77" s="1551"/>
      <c r="K77" s="1551">
        <f>IF(スコア!M77=0,0,1)</f>
        <v>1</v>
      </c>
      <c r="L77" s="1551">
        <f>IF(スコア!R77=0,0,1)</f>
        <v>0</v>
      </c>
      <c r="M77" s="1551">
        <f t="shared" si="51"/>
        <v>1</v>
      </c>
      <c r="N77" s="1551">
        <f t="shared" si="52"/>
        <v>0</v>
      </c>
      <c r="O77" s="1606"/>
      <c r="P77" s="1542">
        <f t="shared" si="78"/>
        <v>3.1</v>
      </c>
      <c r="Q77" s="1542" t="str">
        <f t="shared" si="79"/>
        <v>2.2.3</v>
      </c>
      <c r="R77" s="1542" t="str">
        <f t="shared" si="68"/>
        <v>使用材料の情報提供</v>
      </c>
      <c r="S77" s="1635">
        <f t="shared" si="69"/>
        <v>1</v>
      </c>
      <c r="T77" s="1635"/>
      <c r="U77" s="1635"/>
      <c r="V77" s="1635"/>
      <c r="W77" s="1635"/>
      <c r="X77" s="1635"/>
      <c r="Y77" s="1635"/>
      <c r="Z77" s="1637"/>
      <c r="AA77" s="1635"/>
      <c r="AB77" s="1671"/>
      <c r="AC77" s="1672"/>
      <c r="AD77" s="1672"/>
      <c r="AE77" s="1614"/>
      <c r="AF77" s="1560"/>
      <c r="AG77" s="1560"/>
      <c r="AH77" s="1560"/>
      <c r="AI77" s="1564"/>
      <c r="AJ77" s="1564"/>
      <c r="AK77" s="1564"/>
      <c r="AL77" s="1564"/>
      <c r="AM77" s="1564"/>
      <c r="AN77" s="1564"/>
      <c r="AO77" s="1564"/>
      <c r="AP77" s="1617"/>
      <c r="AQ77" s="1564"/>
      <c r="AR77" s="1564"/>
      <c r="AS77" s="1564"/>
      <c r="AT77" s="1564"/>
      <c r="AU77" s="1611"/>
      <c r="AV77" s="1571">
        <v>3.1</v>
      </c>
      <c r="AW77" s="1571" t="s">
        <v>617</v>
      </c>
      <c r="AX77" s="1538" t="s">
        <v>599</v>
      </c>
      <c r="AY77" s="1572">
        <v>1</v>
      </c>
    </row>
    <row r="78" spans="2:51" ht="12.75" hidden="1" customHeight="1">
      <c r="B78" s="1542" t="str">
        <f t="shared" si="72"/>
        <v>3.2</v>
      </c>
      <c r="C78" s="1542" t="str">
        <f>R78</f>
        <v>評価しない</v>
      </c>
      <c r="D78" s="1539">
        <f>IF(I$76=0,0,G78/I$76)</f>
        <v>0</v>
      </c>
      <c r="E78" s="1539">
        <f>IF(J$76=0,0,H78/J$76)</f>
        <v>0</v>
      </c>
      <c r="F78" s="1602"/>
      <c r="G78" s="1551">
        <f t="shared" si="49"/>
        <v>0</v>
      </c>
      <c r="H78" s="1551">
        <f t="shared" si="73"/>
        <v>0</v>
      </c>
      <c r="I78" s="1551"/>
      <c r="J78" s="1551"/>
      <c r="K78" s="1551">
        <f>IF(スコア!M78=0,0,1)</f>
        <v>0</v>
      </c>
      <c r="L78" s="1551">
        <f>IF(スコア!R78=0,0,1)</f>
        <v>0</v>
      </c>
      <c r="M78" s="1551">
        <f t="shared" si="51"/>
        <v>0</v>
      </c>
      <c r="N78" s="1551">
        <f t="shared" si="52"/>
        <v>0</v>
      </c>
      <c r="O78" s="1606"/>
      <c r="P78" s="1542" t="str">
        <f>IF($P$3=1,AF78,AV78)</f>
        <v>3.2</v>
      </c>
      <c r="Q78" s="1542" t="str">
        <f>IF($P$3=1,AG78,AW78)</f>
        <v>2.2.3</v>
      </c>
      <c r="R78" s="1542" t="str">
        <f>IF($P$3=1,AH78,AX78)</f>
        <v>評価しない</v>
      </c>
      <c r="S78" s="1635">
        <f>IF($P$3=1,AI78,AY78)</f>
        <v>0</v>
      </c>
      <c r="T78" s="1635"/>
      <c r="U78" s="1635"/>
      <c r="V78" s="1635"/>
      <c r="W78" s="1635"/>
      <c r="X78" s="1635"/>
      <c r="Y78" s="1635"/>
      <c r="Z78" s="1637"/>
      <c r="AA78" s="1635"/>
      <c r="AB78" s="1671"/>
      <c r="AC78" s="1672"/>
      <c r="AD78" s="1672"/>
      <c r="AE78" s="1614"/>
      <c r="AF78" s="1560"/>
      <c r="AG78" s="1560"/>
      <c r="AH78" s="1560"/>
      <c r="AI78" s="1564"/>
      <c r="AJ78" s="1564"/>
      <c r="AK78" s="1564"/>
      <c r="AL78" s="1564"/>
      <c r="AM78" s="1564"/>
      <c r="AN78" s="1564"/>
      <c r="AO78" s="1564"/>
      <c r="AP78" s="1617"/>
      <c r="AQ78" s="1564"/>
      <c r="AR78" s="1564"/>
      <c r="AS78" s="1564"/>
      <c r="AT78" s="1564"/>
      <c r="AU78" s="1611"/>
      <c r="AV78" s="1571" t="s">
        <v>506</v>
      </c>
      <c r="AW78" s="1571" t="s">
        <v>617</v>
      </c>
      <c r="AX78" s="1538" t="s">
        <v>109</v>
      </c>
      <c r="AY78" s="1572"/>
    </row>
    <row r="79" spans="2:51">
      <c r="B79" s="1531" t="s">
        <v>507</v>
      </c>
      <c r="C79" s="1532" t="str">
        <f t="shared" si="62"/>
        <v>地球・地域・周辺環境に配慮する</v>
      </c>
      <c r="D79" s="1545" t="e">
        <f>IF(I$51=0,0,G79/I$51)</f>
        <v>#VALUE!</v>
      </c>
      <c r="E79" s="1545">
        <f>IF(J$51=0,0,H79/J$51)</f>
        <v>0</v>
      </c>
      <c r="F79" s="1644"/>
      <c r="G79" s="1550" t="e">
        <f t="shared" si="49"/>
        <v>#VALUE!</v>
      </c>
      <c r="H79" s="1550">
        <f t="shared" si="73"/>
        <v>0</v>
      </c>
      <c r="I79" s="1550" t="e">
        <f>G80+G85+G82</f>
        <v>#VALUE!</v>
      </c>
      <c r="J79" s="1550">
        <f>H86+H87+H83+H84</f>
        <v>0</v>
      </c>
      <c r="K79" s="1550" t="e">
        <f>IF(スコア!Q79=0,0,1)</f>
        <v>#VALUE!</v>
      </c>
      <c r="L79" s="1550">
        <f>IF(スコア!R79=0,0,1)</f>
        <v>0</v>
      </c>
      <c r="M79" s="1550">
        <f t="shared" si="51"/>
        <v>0.3</v>
      </c>
      <c r="N79" s="1550">
        <f t="shared" si="52"/>
        <v>0</v>
      </c>
      <c r="O79" s="1628"/>
      <c r="P79" s="1532" t="str">
        <f t="shared" si="78"/>
        <v>LRH3</v>
      </c>
      <c r="Q79" s="1532" t="str">
        <f t="shared" si="79"/>
        <v>2</v>
      </c>
      <c r="R79" s="1629" t="str">
        <f t="shared" si="68"/>
        <v>地球・地域・周辺環境に配慮する</v>
      </c>
      <c r="S79" s="1630">
        <f t="shared" si="69"/>
        <v>0.3</v>
      </c>
      <c r="T79" s="1630">
        <f t="shared" ref="T79:AA79" si="80">IF($P$3=1,AJ79,AZ79)</f>
        <v>0</v>
      </c>
      <c r="U79" s="1630">
        <f t="shared" si="80"/>
        <v>0</v>
      </c>
      <c r="V79" s="1630">
        <f t="shared" si="80"/>
        <v>0</v>
      </c>
      <c r="W79" s="1630">
        <f t="shared" si="80"/>
        <v>0</v>
      </c>
      <c r="X79" s="1630">
        <f t="shared" si="80"/>
        <v>0</v>
      </c>
      <c r="Y79" s="1630">
        <f t="shared" si="80"/>
        <v>0</v>
      </c>
      <c r="Z79" s="1630">
        <f t="shared" si="80"/>
        <v>0</v>
      </c>
      <c r="AA79" s="1630">
        <f t="shared" si="80"/>
        <v>0</v>
      </c>
      <c r="AB79" s="1667">
        <f>IF($P$3=1,AR79,BH79)</f>
        <v>0</v>
      </c>
      <c r="AC79" s="1668">
        <f>IF($P$3=1,AS79,BI79)</f>
        <v>0</v>
      </c>
      <c r="AD79" s="1668">
        <f>IF($P$3=1,AT79,BJ79)</f>
        <v>0</v>
      </c>
      <c r="AE79" s="1640"/>
      <c r="AF79" s="1565"/>
      <c r="AG79" s="1565"/>
      <c r="AH79" s="1565"/>
      <c r="AI79" s="1641"/>
      <c r="AJ79" s="1641"/>
      <c r="AK79" s="1641"/>
      <c r="AL79" s="1641"/>
      <c r="AM79" s="1641"/>
      <c r="AN79" s="1641"/>
      <c r="AO79" s="1641"/>
      <c r="AP79" s="1642"/>
      <c r="AQ79" s="1641"/>
      <c r="AR79" s="1641"/>
      <c r="AS79" s="1641"/>
      <c r="AT79" s="1641"/>
      <c r="AU79" s="1643"/>
      <c r="AV79" s="1531" t="s">
        <v>507</v>
      </c>
      <c r="AW79" s="1581" t="s">
        <v>612</v>
      </c>
      <c r="AX79" s="1532" t="s">
        <v>247</v>
      </c>
      <c r="AY79" s="1568">
        <v>0.3</v>
      </c>
    </row>
    <row r="80" spans="2:51">
      <c r="B80" s="1534" t="str">
        <f t="shared" si="72"/>
        <v>1</v>
      </c>
      <c r="C80" s="1535" t="str">
        <f t="shared" si="62"/>
        <v>地球環境への配慮</v>
      </c>
      <c r="D80" s="1536" t="e">
        <f>IF(I$79=0,0,G80/I$79)</f>
        <v>#VALUE!</v>
      </c>
      <c r="E80" s="1536">
        <f>IF(J$44=0,0,H80/J$44)</f>
        <v>0</v>
      </c>
      <c r="F80" s="1627"/>
      <c r="G80" s="1544" t="e">
        <f t="shared" ref="G80:G87" si="81">K80*((S$7*S80)+(T$7*T80)+(U$7*U80)+(V$7*V80)+(W$7*W80)+(X$7*X80)+(Y$7*Y80)+(Z$7*Z80)+(AA$7*AA80))</f>
        <v>#VALUE!</v>
      </c>
      <c r="H80" s="1544">
        <f t="shared" si="73"/>
        <v>0</v>
      </c>
      <c r="I80" s="1544"/>
      <c r="J80" s="1544">
        <f>H81</f>
        <v>0</v>
      </c>
      <c r="K80" s="1544" t="e">
        <f>IF(スコア!M80=0,0,1)</f>
        <v>#VALUE!</v>
      </c>
      <c r="L80" s="1544">
        <f>IF(スコア!R80=0,0,1)</f>
        <v>0</v>
      </c>
      <c r="M80" s="1544">
        <f t="shared" si="51"/>
        <v>0.33333333333333331</v>
      </c>
      <c r="N80" s="1544">
        <f t="shared" si="52"/>
        <v>0</v>
      </c>
      <c r="O80" s="1628"/>
      <c r="P80" s="1662" t="str">
        <f t="shared" si="78"/>
        <v>1</v>
      </c>
      <c r="Q80" s="1662" t="str">
        <f t="shared" si="79"/>
        <v>2.3</v>
      </c>
      <c r="R80" s="1534" t="str">
        <f t="shared" si="68"/>
        <v>地球環境への配慮</v>
      </c>
      <c r="S80" s="1645">
        <f t="shared" si="69"/>
        <v>0.33333333333333331</v>
      </c>
      <c r="T80" s="1645"/>
      <c r="U80" s="1645"/>
      <c r="V80" s="1645"/>
      <c r="W80" s="1645"/>
      <c r="X80" s="1645"/>
      <c r="Y80" s="1645"/>
      <c r="Z80" s="1633"/>
      <c r="AA80" s="1645"/>
      <c r="AB80" s="1646"/>
      <c r="AC80" s="1645"/>
      <c r="AD80" s="1645"/>
      <c r="AE80" s="1640"/>
      <c r="AF80" s="1565"/>
      <c r="AG80" s="1565"/>
      <c r="AH80" s="1565"/>
      <c r="AI80" s="1641"/>
      <c r="AJ80" s="1641"/>
      <c r="AK80" s="1641"/>
      <c r="AL80" s="1641"/>
      <c r="AM80" s="1641"/>
      <c r="AN80" s="1641"/>
      <c r="AO80" s="1641"/>
      <c r="AP80" s="1642"/>
      <c r="AQ80" s="1641"/>
      <c r="AR80" s="1641"/>
      <c r="AS80" s="1641"/>
      <c r="AT80" s="1641"/>
      <c r="AU80" s="1643"/>
      <c r="AV80" s="1569" t="s">
        <v>508</v>
      </c>
      <c r="AW80" s="1569" t="s">
        <v>509</v>
      </c>
      <c r="AX80" s="1583" t="s">
        <v>630</v>
      </c>
      <c r="AY80" s="1576">
        <f>1/3</f>
        <v>0.33333333333333331</v>
      </c>
    </row>
    <row r="81" spans="2:51">
      <c r="B81" s="1542">
        <v>1.1000000000000001</v>
      </c>
      <c r="C81" s="1543" t="s">
        <v>629</v>
      </c>
      <c r="D81" s="1539" t="e">
        <f>IF(I$79=0,0,G81/I$79)</f>
        <v>#VALUE!</v>
      </c>
      <c r="E81" s="1539"/>
      <c r="F81" s="1602"/>
      <c r="G81" s="1551">
        <f>K81*((S$7*S81)+(T$7*T81)+(U$7*U81)+(V$7*V81)+(W$7*W81)+(X$7*X81)+(Y$7*Y81)+(Z$7*Z81)+(AA$7*AA81))</f>
        <v>1</v>
      </c>
      <c r="H81" s="1551">
        <f>L81*((AB$7*AB81)+(AC$7*AC81)+(AD$7*AD81))</f>
        <v>0</v>
      </c>
      <c r="I81" s="1551"/>
      <c r="J81" s="1551"/>
      <c r="K81" s="1551">
        <f>IF(スコア!M81=0,0,1)</f>
        <v>1</v>
      </c>
      <c r="L81" s="1551"/>
      <c r="M81" s="1551"/>
      <c r="N81" s="1551"/>
      <c r="O81" s="1606"/>
      <c r="P81" s="1663" t="str">
        <f t="shared" si="78"/>
        <v>1.1</v>
      </c>
      <c r="Q81" s="1663" t="str">
        <f t="shared" si="79"/>
        <v>2.3.1</v>
      </c>
      <c r="R81" s="1542" t="str">
        <f t="shared" si="68"/>
        <v>地球温暖化への配慮</v>
      </c>
      <c r="S81" s="1635">
        <f t="shared" si="69"/>
        <v>1</v>
      </c>
      <c r="T81" s="1635"/>
      <c r="U81" s="1635"/>
      <c r="V81" s="1635"/>
      <c r="W81" s="1635"/>
      <c r="X81" s="1635"/>
      <c r="Y81" s="1635"/>
      <c r="Z81" s="1637"/>
      <c r="AA81" s="1635"/>
      <c r="AB81" s="1636"/>
      <c r="AC81" s="1635"/>
      <c r="AD81" s="1635"/>
      <c r="AE81" s="1614"/>
      <c r="AF81" s="1674"/>
      <c r="AG81" s="1674"/>
      <c r="AH81" s="1674"/>
      <c r="AI81" s="1564"/>
      <c r="AJ81" s="1564"/>
      <c r="AK81" s="1564"/>
      <c r="AL81" s="1564"/>
      <c r="AM81" s="1564"/>
      <c r="AN81" s="1564"/>
      <c r="AO81" s="1564"/>
      <c r="AP81" s="1617"/>
      <c r="AQ81" s="1564"/>
      <c r="AR81" s="1564"/>
      <c r="AS81" s="1564"/>
      <c r="AT81" s="1564"/>
      <c r="AU81" s="1675"/>
      <c r="AV81" s="1571" t="s">
        <v>747</v>
      </c>
      <c r="AW81" s="1571" t="s">
        <v>748</v>
      </c>
      <c r="AX81" s="1584" t="s">
        <v>295</v>
      </c>
      <c r="AY81" s="1572">
        <v>1</v>
      </c>
    </row>
    <row r="82" spans="2:51">
      <c r="B82" s="1534" t="str">
        <f t="shared" si="72"/>
        <v>2</v>
      </c>
      <c r="C82" s="1535" t="str">
        <f>R82</f>
        <v>地域環境への配慮</v>
      </c>
      <c r="D82" s="1536" t="e">
        <f>IF(I$79=0,0,G82/I$79)</f>
        <v>#VALUE!</v>
      </c>
      <c r="E82" s="1536">
        <f>IF(J$62=0,0,H82/J$62)</f>
        <v>0</v>
      </c>
      <c r="F82" s="1627"/>
      <c r="G82" s="1544">
        <f>K82*((S$7*S82)+(T$7*T82)+(U$7*U82)+(V$7*V82)+(W$7*W82)+(X$7*X82)+(Y$7*Y82)+(Z$7*Z82)+(AA$7*AA82))</f>
        <v>0.33333333333333331</v>
      </c>
      <c r="H82" s="1544">
        <f t="shared" ref="H82:H87" si="82">L82*((AB$7*AB82)+(AC$7*AC82)+(AD$7*AD82))</f>
        <v>0</v>
      </c>
      <c r="I82" s="1544">
        <f>G83+G84</f>
        <v>1</v>
      </c>
      <c r="J82" s="1544">
        <f>H83+H84</f>
        <v>0</v>
      </c>
      <c r="K82" s="1544">
        <f>IF(スコア!M81=0,0,1)</f>
        <v>1</v>
      </c>
      <c r="L82" s="1544">
        <f>IF(スコア!R81=0,0,1)</f>
        <v>0</v>
      </c>
      <c r="M82" s="1544">
        <f t="shared" si="51"/>
        <v>0.33333333333333331</v>
      </c>
      <c r="N82" s="1544">
        <f t="shared" si="52"/>
        <v>0</v>
      </c>
      <c r="O82" s="1628"/>
      <c r="P82" s="1534" t="str">
        <f t="shared" ref="P82:S84" si="83">IF($P$3=1,AF82,AV82)</f>
        <v>2</v>
      </c>
      <c r="Q82" s="1662" t="str">
        <f t="shared" si="83"/>
        <v>2.3</v>
      </c>
      <c r="R82" s="1534" t="str">
        <f t="shared" si="83"/>
        <v>地域環境への配慮</v>
      </c>
      <c r="S82" s="1645">
        <f t="shared" si="83"/>
        <v>0.33333333333333331</v>
      </c>
      <c r="T82" s="1632"/>
      <c r="U82" s="1632"/>
      <c r="V82" s="1632"/>
      <c r="W82" s="1632"/>
      <c r="X82" s="1632"/>
      <c r="Y82" s="1632"/>
      <c r="Z82" s="1648"/>
      <c r="AA82" s="1632"/>
      <c r="AB82" s="1634"/>
      <c r="AC82" s="1632"/>
      <c r="AD82" s="1632"/>
      <c r="AE82" s="1640"/>
      <c r="AF82" s="1565"/>
      <c r="AG82" s="1565"/>
      <c r="AH82" s="1565"/>
      <c r="AI82" s="1641"/>
      <c r="AJ82" s="1641"/>
      <c r="AK82" s="1641"/>
      <c r="AL82" s="1641"/>
      <c r="AM82" s="1641"/>
      <c r="AN82" s="1641"/>
      <c r="AO82" s="1641"/>
      <c r="AP82" s="1642"/>
      <c r="AQ82" s="1641"/>
      <c r="AR82" s="1641"/>
      <c r="AS82" s="1641"/>
      <c r="AT82" s="1641"/>
      <c r="AU82" s="1643"/>
      <c r="AV82" s="1569" t="s">
        <v>510</v>
      </c>
      <c r="AW82" s="1569" t="s">
        <v>511</v>
      </c>
      <c r="AX82" s="1585" t="s">
        <v>325</v>
      </c>
      <c r="AY82" s="1576">
        <f>1/3</f>
        <v>0.33333333333333331</v>
      </c>
    </row>
    <row r="83" spans="2:51">
      <c r="B83" s="1542" t="str">
        <f t="shared" si="72"/>
        <v>2.1</v>
      </c>
      <c r="C83" s="1543" t="str">
        <f>R83</f>
        <v>地域インフラの負荷抑制</v>
      </c>
      <c r="D83" s="1539">
        <f>IF(I$82=0,0,G83/I$82)</f>
        <v>0.5</v>
      </c>
      <c r="E83" s="1539">
        <f>IF(J$79=0,0,H83/J$79)</f>
        <v>0</v>
      </c>
      <c r="F83" s="1602"/>
      <c r="G83" s="1551">
        <f>K83*((S$7*S83)+(T$7*T83)+(U$7*U83)+(V$7*V83)+(W$7*W83)+(X$7*X83)+(Y$7*Y83)+(Z$7*Z83)+(AA$7*AA83))</f>
        <v>0.5</v>
      </c>
      <c r="H83" s="1551">
        <f t="shared" si="82"/>
        <v>0</v>
      </c>
      <c r="I83" s="1551"/>
      <c r="J83" s="1551"/>
      <c r="K83" s="1551">
        <f>IF(スコア!M82=0,0,1)</f>
        <v>1</v>
      </c>
      <c r="L83" s="1551">
        <f>IF(スコア!R82=0,0,1)</f>
        <v>0</v>
      </c>
      <c r="M83" s="1551">
        <f t="shared" si="51"/>
        <v>0.5</v>
      </c>
      <c r="N83" s="1551">
        <f t="shared" si="52"/>
        <v>0</v>
      </c>
      <c r="O83" s="1606"/>
      <c r="P83" s="1542" t="str">
        <f t="shared" si="83"/>
        <v>2.1</v>
      </c>
      <c r="Q83" s="1542" t="str">
        <f t="shared" si="83"/>
        <v>2.3.3</v>
      </c>
      <c r="R83" s="1542" t="str">
        <f t="shared" si="83"/>
        <v>地域インフラの負荷抑制</v>
      </c>
      <c r="S83" s="1655">
        <f t="shared" si="83"/>
        <v>0.5</v>
      </c>
      <c r="T83" s="1632">
        <f t="shared" ref="T83:AD84" si="84">IF($P$3=1,AJ83,AZ83)</f>
        <v>0</v>
      </c>
      <c r="U83" s="1632">
        <f t="shared" si="84"/>
        <v>0</v>
      </c>
      <c r="V83" s="1632">
        <f t="shared" si="84"/>
        <v>0</v>
      </c>
      <c r="W83" s="1632">
        <f t="shared" si="84"/>
        <v>0</v>
      </c>
      <c r="X83" s="1632">
        <f t="shared" si="84"/>
        <v>0</v>
      </c>
      <c r="Y83" s="1632">
        <f t="shared" si="84"/>
        <v>0</v>
      </c>
      <c r="Z83" s="1648">
        <f t="shared" si="84"/>
        <v>0</v>
      </c>
      <c r="AA83" s="1632">
        <f t="shared" si="84"/>
        <v>0</v>
      </c>
      <c r="AB83" s="1634">
        <f t="shared" si="84"/>
        <v>0</v>
      </c>
      <c r="AC83" s="1632">
        <f t="shared" si="84"/>
        <v>0</v>
      </c>
      <c r="AD83" s="1632">
        <f t="shared" si="84"/>
        <v>0</v>
      </c>
      <c r="AE83" s="1614"/>
      <c r="AF83" s="1560"/>
      <c r="AG83" s="1560"/>
      <c r="AH83" s="1560"/>
      <c r="AI83" s="1564"/>
      <c r="AJ83" s="1564"/>
      <c r="AK83" s="1564"/>
      <c r="AL83" s="1564"/>
      <c r="AM83" s="1564"/>
      <c r="AN83" s="1564"/>
      <c r="AO83" s="1564"/>
      <c r="AP83" s="1617"/>
      <c r="AQ83" s="1564"/>
      <c r="AR83" s="1564"/>
      <c r="AS83" s="1564"/>
      <c r="AT83" s="1564"/>
      <c r="AU83" s="1611"/>
      <c r="AV83" s="1571" t="s">
        <v>512</v>
      </c>
      <c r="AW83" s="1571" t="s">
        <v>513</v>
      </c>
      <c r="AX83" s="1543" t="s">
        <v>514</v>
      </c>
      <c r="AY83" s="1572">
        <v>0.5</v>
      </c>
    </row>
    <row r="84" spans="2:51">
      <c r="B84" s="1542" t="str">
        <f t="shared" si="72"/>
        <v>2.2</v>
      </c>
      <c r="C84" s="1543" t="str">
        <f>R84</f>
        <v>既存の自然環境の保全</v>
      </c>
      <c r="D84" s="1539">
        <f>IF(I$82=0,0,G84/I$82)</f>
        <v>0.5</v>
      </c>
      <c r="E84" s="1539">
        <f>IF(J$79=0,0,H84/J$79)</f>
        <v>0</v>
      </c>
      <c r="F84" s="1602"/>
      <c r="G84" s="1551">
        <f>K84*((S$7*S84)+(T$7*T84)+(U$7*U84)+(V$7*V84)+(W$7*W84)+(X$7*X84)+(Y$7*Y84)+(Z$7*Z84)+(AA$7*AA84))</f>
        <v>0.5</v>
      </c>
      <c r="H84" s="1551">
        <f t="shared" si="82"/>
        <v>0</v>
      </c>
      <c r="I84" s="1551"/>
      <c r="J84" s="1551"/>
      <c r="K84" s="1551">
        <f>IF(スコア!M83=0,0,1)</f>
        <v>1</v>
      </c>
      <c r="L84" s="1551">
        <f>IF(スコア!R83=0,0,1)</f>
        <v>0</v>
      </c>
      <c r="M84" s="1551">
        <f t="shared" si="51"/>
        <v>0.5</v>
      </c>
      <c r="N84" s="1551">
        <f t="shared" si="52"/>
        <v>0</v>
      </c>
      <c r="O84" s="1606"/>
      <c r="P84" s="1663" t="str">
        <f t="shared" si="83"/>
        <v>2.2</v>
      </c>
      <c r="Q84" s="1542" t="str">
        <f t="shared" si="83"/>
        <v>2.3.3</v>
      </c>
      <c r="R84" s="1542" t="str">
        <f t="shared" si="83"/>
        <v>既存の自然環境の保全</v>
      </c>
      <c r="S84" s="1655">
        <f t="shared" si="83"/>
        <v>0.5</v>
      </c>
      <c r="T84" s="1632">
        <f t="shared" si="84"/>
        <v>0</v>
      </c>
      <c r="U84" s="1632">
        <f t="shared" si="84"/>
        <v>0</v>
      </c>
      <c r="V84" s="1632">
        <f t="shared" si="84"/>
        <v>0</v>
      </c>
      <c r="W84" s="1632">
        <f t="shared" si="84"/>
        <v>0</v>
      </c>
      <c r="X84" s="1632">
        <f t="shared" si="84"/>
        <v>0</v>
      </c>
      <c r="Y84" s="1632">
        <f t="shared" si="84"/>
        <v>0</v>
      </c>
      <c r="Z84" s="1648">
        <f t="shared" si="84"/>
        <v>0</v>
      </c>
      <c r="AA84" s="1632">
        <f t="shared" si="84"/>
        <v>0</v>
      </c>
      <c r="AB84" s="1634">
        <f t="shared" si="84"/>
        <v>0</v>
      </c>
      <c r="AC84" s="1632">
        <f t="shared" si="84"/>
        <v>0</v>
      </c>
      <c r="AD84" s="1632">
        <f t="shared" si="84"/>
        <v>0</v>
      </c>
      <c r="AE84" s="1614"/>
      <c r="AF84" s="1560"/>
      <c r="AG84" s="1560"/>
      <c r="AH84" s="1560"/>
      <c r="AI84" s="1564"/>
      <c r="AJ84" s="1564"/>
      <c r="AK84" s="1564"/>
      <c r="AL84" s="1564"/>
      <c r="AM84" s="1564"/>
      <c r="AN84" s="1564"/>
      <c r="AO84" s="1564"/>
      <c r="AP84" s="1617"/>
      <c r="AQ84" s="1564"/>
      <c r="AR84" s="1564"/>
      <c r="AS84" s="1564"/>
      <c r="AT84" s="1564"/>
      <c r="AU84" s="1611"/>
      <c r="AV84" s="1571" t="s">
        <v>515</v>
      </c>
      <c r="AW84" s="1571" t="s">
        <v>513</v>
      </c>
      <c r="AX84" s="1543" t="s">
        <v>516</v>
      </c>
      <c r="AY84" s="1572">
        <v>0.5</v>
      </c>
    </row>
    <row r="85" spans="2:51">
      <c r="B85" s="1534" t="str">
        <f t="shared" si="72"/>
        <v>3</v>
      </c>
      <c r="C85" s="1535" t="str">
        <f>R85</f>
        <v>周辺環境への配慮</v>
      </c>
      <c r="D85" s="1536" t="e">
        <f>IF(I$79=0,0,G85/I$79)</f>
        <v>#VALUE!</v>
      </c>
      <c r="E85" s="1536">
        <f>IF(J$62=0,0,H85/J$62)</f>
        <v>0</v>
      </c>
      <c r="F85" s="1627"/>
      <c r="G85" s="1544">
        <f t="shared" si="81"/>
        <v>0.33333333333333331</v>
      </c>
      <c r="H85" s="1544">
        <f t="shared" si="82"/>
        <v>0</v>
      </c>
      <c r="I85" s="1544">
        <f>G86+G87</f>
        <v>1</v>
      </c>
      <c r="J85" s="1544">
        <f>H86+H87</f>
        <v>0</v>
      </c>
      <c r="K85" s="1544">
        <f>IF(スコア!M84=0,0,1)</f>
        <v>1</v>
      </c>
      <c r="L85" s="1544">
        <f>IF(スコア!R84=0,0,1)</f>
        <v>0</v>
      </c>
      <c r="M85" s="1544">
        <f t="shared" si="51"/>
        <v>0.33333333333333331</v>
      </c>
      <c r="N85" s="1544">
        <f t="shared" si="52"/>
        <v>0</v>
      </c>
      <c r="O85" s="1628"/>
      <c r="P85" s="1662" t="str">
        <f t="shared" si="78"/>
        <v>3</v>
      </c>
      <c r="Q85" s="1662" t="str">
        <f t="shared" si="79"/>
        <v>2.3</v>
      </c>
      <c r="R85" s="1534" t="str">
        <f t="shared" si="68"/>
        <v>周辺環境への配慮</v>
      </c>
      <c r="S85" s="1645">
        <f t="shared" si="69"/>
        <v>0.33333333333333331</v>
      </c>
      <c r="T85" s="1645"/>
      <c r="U85" s="1645"/>
      <c r="V85" s="1645"/>
      <c r="W85" s="1645"/>
      <c r="X85" s="1645"/>
      <c r="Y85" s="1645"/>
      <c r="Z85" s="1633"/>
      <c r="AA85" s="1645"/>
      <c r="AB85" s="1646"/>
      <c r="AC85" s="1645"/>
      <c r="AD85" s="1645"/>
      <c r="AE85" s="1640"/>
      <c r="AF85" s="1565"/>
      <c r="AG85" s="1565"/>
      <c r="AH85" s="1565"/>
      <c r="AI85" s="1641"/>
      <c r="AJ85" s="1641"/>
      <c r="AK85" s="1641"/>
      <c r="AL85" s="1641"/>
      <c r="AM85" s="1641"/>
      <c r="AN85" s="1641"/>
      <c r="AO85" s="1641"/>
      <c r="AP85" s="1642"/>
      <c r="AQ85" s="1641"/>
      <c r="AR85" s="1641"/>
      <c r="AS85" s="1641"/>
      <c r="AT85" s="1641"/>
      <c r="AU85" s="1643"/>
      <c r="AV85" s="1569" t="s">
        <v>517</v>
      </c>
      <c r="AW85" s="1569" t="s">
        <v>518</v>
      </c>
      <c r="AX85" s="1583" t="s">
        <v>778</v>
      </c>
      <c r="AY85" s="1576">
        <f>1/3</f>
        <v>0.33333333333333331</v>
      </c>
    </row>
    <row r="86" spans="2:51">
      <c r="B86" s="1542" t="str">
        <f t="shared" si="72"/>
        <v>3.1</v>
      </c>
      <c r="C86" s="1543" t="str">
        <f t="shared" si="62"/>
        <v>騒音・振動・排気・排熱の低減</v>
      </c>
      <c r="D86" s="1539">
        <f>IF(I$85=0,0,G86/I$85)</f>
        <v>0.5</v>
      </c>
      <c r="E86" s="1539">
        <f>IF(J$79=0,0,H86/J$79)</f>
        <v>0</v>
      </c>
      <c r="F86" s="1602"/>
      <c r="G86" s="1551">
        <f t="shared" si="81"/>
        <v>0.5</v>
      </c>
      <c r="H86" s="1551">
        <f t="shared" si="82"/>
        <v>0</v>
      </c>
      <c r="I86" s="1551"/>
      <c r="J86" s="1551"/>
      <c r="K86" s="1551">
        <f>IF(スコア!M85=0,0,1)</f>
        <v>1</v>
      </c>
      <c r="L86" s="1551">
        <f>IF(スコア!R85=0,0,1)</f>
        <v>0</v>
      </c>
      <c r="M86" s="1551">
        <f t="shared" si="51"/>
        <v>0.5</v>
      </c>
      <c r="N86" s="1551">
        <f t="shared" si="52"/>
        <v>0</v>
      </c>
      <c r="O86" s="1606"/>
      <c r="P86" s="1663" t="str">
        <f t="shared" si="78"/>
        <v>3.1</v>
      </c>
      <c r="Q86" s="1663" t="str">
        <f>IF($P$3=1,AG86,AW86)</f>
        <v>2.3.2</v>
      </c>
      <c r="R86" s="1542" t="str">
        <f t="shared" si="68"/>
        <v>騒音・振動・排気・排熱の低減</v>
      </c>
      <c r="S86" s="1635">
        <f t="shared" si="69"/>
        <v>0.5</v>
      </c>
      <c r="T86" s="1645">
        <f t="shared" ref="T86:AA87" si="85">IF($P$3=1,AJ86,AZ86)</f>
        <v>0</v>
      </c>
      <c r="U86" s="1645">
        <f t="shared" si="85"/>
        <v>0</v>
      </c>
      <c r="V86" s="1645">
        <f t="shared" si="85"/>
        <v>0</v>
      </c>
      <c r="W86" s="1645">
        <f t="shared" si="85"/>
        <v>0</v>
      </c>
      <c r="X86" s="1645">
        <f t="shared" si="85"/>
        <v>0</v>
      </c>
      <c r="Y86" s="1645">
        <f t="shared" si="85"/>
        <v>0</v>
      </c>
      <c r="Z86" s="1633">
        <f t="shared" si="85"/>
        <v>0</v>
      </c>
      <c r="AA86" s="1645">
        <f t="shared" si="85"/>
        <v>0</v>
      </c>
      <c r="AB86" s="1646">
        <f t="shared" ref="AB86:AD87" si="86">IF($P$3=1,AR86,BH86)</f>
        <v>0</v>
      </c>
      <c r="AC86" s="1645">
        <f t="shared" si="86"/>
        <v>0</v>
      </c>
      <c r="AD86" s="1645">
        <f t="shared" si="86"/>
        <v>0</v>
      </c>
      <c r="AE86" s="1614"/>
      <c r="AF86" s="1560"/>
      <c r="AG86" s="1560"/>
      <c r="AH86" s="1560"/>
      <c r="AI86" s="1564"/>
      <c r="AJ86" s="1564"/>
      <c r="AK86" s="1564"/>
      <c r="AL86" s="1564"/>
      <c r="AM86" s="1564"/>
      <c r="AN86" s="1564"/>
      <c r="AO86" s="1564"/>
      <c r="AP86" s="1617"/>
      <c r="AQ86" s="1564"/>
      <c r="AR86" s="1564"/>
      <c r="AS86" s="1564"/>
      <c r="AT86" s="1564"/>
      <c r="AU86" s="1611"/>
      <c r="AV86" s="1571" t="s">
        <v>519</v>
      </c>
      <c r="AW86" s="1571" t="s">
        <v>520</v>
      </c>
      <c r="AX86" s="1543" t="s">
        <v>817</v>
      </c>
      <c r="AY86" s="1572">
        <v>0.5</v>
      </c>
    </row>
    <row r="87" spans="2:51" ht="12.75" customHeight="1">
      <c r="B87" s="1542" t="str">
        <f t="shared" si="72"/>
        <v>3.2</v>
      </c>
      <c r="C87" s="1543" t="str">
        <f t="shared" si="62"/>
        <v>周辺温熱環境の改善</v>
      </c>
      <c r="D87" s="1539">
        <f>IF(I$85=0,0,G87/I$85)</f>
        <v>0.5</v>
      </c>
      <c r="E87" s="1539">
        <f>IF(J$79=0,0,H87/J$79)</f>
        <v>0</v>
      </c>
      <c r="F87" s="1602"/>
      <c r="G87" s="1551">
        <f t="shared" si="81"/>
        <v>0.5</v>
      </c>
      <c r="H87" s="1551">
        <f t="shared" si="82"/>
        <v>0</v>
      </c>
      <c r="I87" s="1551"/>
      <c r="J87" s="1551"/>
      <c r="K87" s="1551">
        <f>IF(スコア!M86=0,0,1)</f>
        <v>1</v>
      </c>
      <c r="L87" s="1551">
        <f>IF(スコア!R86=0,0,1)</f>
        <v>0</v>
      </c>
      <c r="M87" s="1551">
        <f t="shared" si="51"/>
        <v>0.5</v>
      </c>
      <c r="N87" s="1551">
        <f t="shared" si="52"/>
        <v>0</v>
      </c>
      <c r="O87" s="1606"/>
      <c r="P87" s="1542" t="str">
        <f t="shared" si="78"/>
        <v>3.2</v>
      </c>
      <c r="Q87" s="1542" t="str">
        <f>IF($P$3=1,AG87,AW87)</f>
        <v>2.3.2</v>
      </c>
      <c r="R87" s="1542" t="str">
        <f t="shared" si="68"/>
        <v>周辺温熱環境の改善</v>
      </c>
      <c r="S87" s="1655">
        <f t="shared" si="69"/>
        <v>0.5</v>
      </c>
      <c r="T87" s="1632">
        <f t="shared" si="85"/>
        <v>0</v>
      </c>
      <c r="U87" s="1632">
        <f t="shared" si="85"/>
        <v>0</v>
      </c>
      <c r="V87" s="1632">
        <f t="shared" si="85"/>
        <v>0</v>
      </c>
      <c r="W87" s="1632">
        <f t="shared" si="85"/>
        <v>0</v>
      </c>
      <c r="X87" s="1632">
        <f t="shared" si="85"/>
        <v>0</v>
      </c>
      <c r="Y87" s="1632">
        <f t="shared" si="85"/>
        <v>0</v>
      </c>
      <c r="Z87" s="1648">
        <f t="shared" si="85"/>
        <v>0</v>
      </c>
      <c r="AA87" s="1632">
        <f t="shared" si="85"/>
        <v>0</v>
      </c>
      <c r="AB87" s="1634">
        <f t="shared" si="86"/>
        <v>0</v>
      </c>
      <c r="AC87" s="1632">
        <f t="shared" si="86"/>
        <v>0</v>
      </c>
      <c r="AD87" s="1632">
        <f t="shared" si="86"/>
        <v>0</v>
      </c>
      <c r="AE87" s="1614"/>
      <c r="AF87" s="1560"/>
      <c r="AG87" s="1560"/>
      <c r="AH87" s="1560"/>
      <c r="AI87" s="1564"/>
      <c r="AJ87" s="1564"/>
      <c r="AK87" s="1564"/>
      <c r="AL87" s="1564"/>
      <c r="AM87" s="1564"/>
      <c r="AN87" s="1564"/>
      <c r="AO87" s="1564"/>
      <c r="AP87" s="1617"/>
      <c r="AQ87" s="1564"/>
      <c r="AR87" s="1564"/>
      <c r="AS87" s="1564"/>
      <c r="AT87" s="1564"/>
      <c r="AU87" s="1611"/>
      <c r="AV87" s="1571" t="s">
        <v>521</v>
      </c>
      <c r="AW87" s="1571" t="s">
        <v>522</v>
      </c>
      <c r="AX87" s="1543" t="s">
        <v>83</v>
      </c>
      <c r="AY87" s="1572">
        <v>0.5</v>
      </c>
    </row>
    <row r="88" spans="2:51"/>
    <row r="89" spans="2:51" hidden="1">
      <c r="Q89" t="s">
        <v>899</v>
      </c>
      <c r="R89" t="s">
        <v>590</v>
      </c>
      <c r="S89">
        <f>採点LR2!G8</f>
        <v>1</v>
      </c>
    </row>
    <row r="90" spans="2:51" hidden="1">
      <c r="R90" t="s">
        <v>591</v>
      </c>
      <c r="S90">
        <f>採点LR2!H8</f>
        <v>0</v>
      </c>
    </row>
    <row r="91" spans="2:51" hidden="1">
      <c r="R91" t="s">
        <v>592</v>
      </c>
      <c r="S91">
        <f>採点LR2!I8</f>
        <v>0</v>
      </c>
    </row>
    <row r="92" spans="2:51"/>
    <row r="93" spans="2:51"/>
    <row r="94" spans="2:51"/>
    <row r="95" spans="2:51"/>
    <row r="96" spans="2:51"/>
    <row r="97"/>
    <row r="98"/>
    <row r="99"/>
    <row r="100"/>
    <row r="101"/>
    <row r="102"/>
    <row r="103"/>
    <row r="104"/>
  </sheetData>
  <sheetProtection algorithmName="SHA-512" hashValue="n+x1RfDIoyNsLjR5FbgRVMt/Bp+w/DEq8xhgUtrJ8Gt/7MQVmyz0mdJUyolyp7FaEciJXeRZwN/aI/zUGcdPZw==" saltValue="Jxwo4EMRY+pqajc+0fsqgg==" spinCount="100000" sheet="1" objects="1" scenarios="1"/>
  <mergeCells count="2">
    <mergeCell ref="B5:C6"/>
    <mergeCell ref="AR5:AT5"/>
  </mergeCells>
  <phoneticPr fontId="4"/>
  <printOptions horizontalCentered="1"/>
  <pageMargins left="0.78740157480314965" right="0.78740157480314965" top="0.78740157480314965" bottom="0.78740157480314965" header="0.51181102362204722" footer="0.51181102362204722"/>
  <pageSetup paperSize="9" scale="57" orientation="portrait" verticalDpi="4294967293" r:id="rId1"/>
  <headerFooter alignWithMargins="0">
    <oddHeader>&amp;L&amp;F&amp;R&amp;A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8"/>
  <sheetViews>
    <sheetView showGridLines="0" workbookViewId="0">
      <selection activeCell="S13" sqref="S13"/>
    </sheetView>
  </sheetViews>
  <sheetFormatPr defaultColWidth="0" defaultRowHeight="13.5" customHeight="1" zeroHeight="1"/>
  <cols>
    <col min="1" max="1" width="1.125" style="9" customWidth="1"/>
    <col min="2" max="18" width="8.75" style="9" customWidth="1"/>
    <col min="19" max="19" width="1.5" style="9" customWidth="1"/>
    <col min="20" max="16384" width="8.75" style="9" hidden="1"/>
  </cols>
  <sheetData>
    <row r="1" spans="2:18" ht="13.5" customHeight="1">
      <c r="B1" s="59"/>
      <c r="C1" s="59"/>
      <c r="D1" s="59"/>
      <c r="E1" s="59"/>
      <c r="F1" s="59"/>
      <c r="G1" s="59"/>
      <c r="H1" s="59"/>
      <c r="I1" s="59"/>
      <c r="J1" s="59"/>
      <c r="K1" s="59"/>
      <c r="L1" s="59"/>
      <c r="M1" s="59"/>
      <c r="N1" s="59"/>
      <c r="O1" s="59"/>
      <c r="P1" s="59"/>
      <c r="Q1" s="59"/>
      <c r="R1" s="59"/>
    </row>
    <row r="2" spans="2:18" ht="13.5" customHeight="1">
      <c r="B2" s="59"/>
      <c r="C2" s="59"/>
      <c r="D2" s="59"/>
      <c r="E2" s="59"/>
      <c r="F2" s="59"/>
      <c r="G2" s="59"/>
      <c r="H2" s="59"/>
      <c r="I2" s="59"/>
      <c r="J2" s="59"/>
      <c r="K2" s="59"/>
      <c r="L2" s="59"/>
      <c r="M2" s="59"/>
      <c r="N2" s="59"/>
      <c r="O2" s="59"/>
      <c r="P2" s="59"/>
      <c r="Q2" s="59"/>
      <c r="R2" s="59"/>
    </row>
    <row r="3" spans="2:18" ht="13.5" customHeight="1">
      <c r="B3" s="59"/>
      <c r="C3" s="59"/>
      <c r="D3" s="59"/>
      <c r="E3" s="59"/>
      <c r="F3" s="59"/>
      <c r="G3" s="59"/>
      <c r="H3" s="59"/>
      <c r="I3" s="59"/>
      <c r="J3" s="59"/>
      <c r="K3" s="59"/>
      <c r="L3" s="59"/>
      <c r="M3" s="59"/>
      <c r="N3" s="59"/>
      <c r="O3" s="59"/>
      <c r="P3" s="59"/>
      <c r="Q3" s="59"/>
      <c r="R3" s="59"/>
    </row>
    <row r="4" spans="2:18" ht="13.5" customHeight="1">
      <c r="B4" s="59"/>
      <c r="C4" s="59"/>
      <c r="D4" s="59"/>
      <c r="E4" s="59"/>
      <c r="F4" s="59"/>
      <c r="G4" s="59"/>
      <c r="H4" s="59"/>
      <c r="I4" s="59"/>
      <c r="J4" s="59"/>
      <c r="K4" s="59"/>
      <c r="L4" s="59"/>
      <c r="M4" s="59"/>
      <c r="N4" s="59"/>
      <c r="O4" s="59"/>
      <c r="P4" s="59"/>
      <c r="Q4" s="59"/>
      <c r="R4" s="59"/>
    </row>
    <row r="5" spans="2:18" ht="13.5" customHeight="1">
      <c r="B5" s="59"/>
      <c r="C5" s="59"/>
      <c r="D5" s="59"/>
      <c r="E5" s="59"/>
      <c r="F5" s="59"/>
      <c r="G5" s="59"/>
      <c r="H5" s="59"/>
      <c r="I5" s="59"/>
      <c r="J5" s="59"/>
      <c r="K5" s="59"/>
      <c r="L5" s="59"/>
      <c r="M5" s="59"/>
      <c r="N5" s="59"/>
      <c r="O5" s="59"/>
      <c r="P5" s="59"/>
      <c r="Q5" s="59"/>
      <c r="R5" s="59"/>
    </row>
    <row r="6" spans="2:18" ht="13.5" customHeight="1">
      <c r="B6" s="59"/>
      <c r="C6" s="59"/>
      <c r="D6" s="59"/>
      <c r="E6" s="59"/>
      <c r="F6" s="59"/>
      <c r="G6" s="59"/>
      <c r="H6" s="59"/>
      <c r="I6" s="59"/>
      <c r="J6" s="59"/>
      <c r="K6" s="59"/>
      <c r="L6" s="59"/>
      <c r="M6" s="59"/>
      <c r="N6" s="59"/>
      <c r="O6" s="59"/>
      <c r="P6" s="59"/>
      <c r="Q6" s="59"/>
      <c r="R6" s="59"/>
    </row>
    <row r="7" spans="2:18" ht="13.5" customHeight="1">
      <c r="B7" s="59"/>
      <c r="C7" s="59"/>
      <c r="D7" s="59"/>
      <c r="E7" s="59"/>
      <c r="F7" s="59"/>
      <c r="G7" s="59"/>
      <c r="H7" s="59"/>
      <c r="I7" s="59"/>
      <c r="J7" s="59"/>
      <c r="K7" s="59"/>
      <c r="L7" s="59"/>
      <c r="M7" s="59"/>
      <c r="N7" s="59"/>
      <c r="O7" s="59"/>
      <c r="P7" s="59"/>
      <c r="Q7" s="59"/>
      <c r="R7" s="59"/>
    </row>
    <row r="8" spans="2:18" ht="13.5" customHeight="1">
      <c r="B8" s="59"/>
      <c r="C8" s="59"/>
      <c r="D8" s="59"/>
      <c r="E8" s="59"/>
      <c r="F8" s="59"/>
      <c r="G8" s="59"/>
      <c r="H8" s="59"/>
      <c r="I8" s="59"/>
      <c r="J8" s="59"/>
      <c r="K8" s="59"/>
      <c r="L8" s="59"/>
      <c r="M8" s="59"/>
      <c r="N8" s="59"/>
      <c r="O8" s="59"/>
      <c r="P8" s="59"/>
      <c r="Q8" s="59"/>
      <c r="R8" s="59"/>
    </row>
    <row r="9" spans="2:18" ht="13.5" customHeight="1">
      <c r="B9" s="59"/>
      <c r="C9" s="59"/>
      <c r="D9" s="59"/>
      <c r="E9" s="59"/>
      <c r="F9" s="59"/>
      <c r="G9" s="59"/>
      <c r="H9" s="59"/>
      <c r="I9" s="59"/>
      <c r="J9" s="59"/>
      <c r="K9" s="59"/>
      <c r="L9" s="59"/>
      <c r="M9" s="59"/>
      <c r="N9" s="59"/>
      <c r="O9" s="59"/>
      <c r="P9" s="59"/>
      <c r="Q9" s="59"/>
      <c r="R9" s="59"/>
    </row>
    <row r="10" spans="2:18" ht="13.5" customHeight="1">
      <c r="B10" s="59"/>
      <c r="C10" s="59"/>
      <c r="D10" s="59"/>
      <c r="E10" s="59"/>
      <c r="F10" s="59"/>
      <c r="G10" s="59"/>
      <c r="H10" s="59"/>
      <c r="I10" s="59"/>
      <c r="J10" s="59"/>
      <c r="K10" s="59"/>
      <c r="L10" s="59"/>
      <c r="M10" s="59"/>
      <c r="N10" s="59"/>
      <c r="O10" s="59"/>
      <c r="P10" s="59"/>
      <c r="Q10" s="59"/>
      <c r="R10" s="59"/>
    </row>
    <row r="11" spans="2:18" ht="13.5" customHeight="1">
      <c r="B11" s="59"/>
      <c r="C11" s="59"/>
      <c r="D11" s="59"/>
      <c r="E11" s="59"/>
      <c r="F11" s="59"/>
      <c r="G11" s="59"/>
      <c r="H11" s="59"/>
      <c r="I11" s="59"/>
      <c r="J11" s="59"/>
      <c r="K11" s="59"/>
      <c r="L11" s="59"/>
      <c r="M11" s="59"/>
      <c r="N11" s="59"/>
      <c r="O11" s="59"/>
      <c r="P11" s="59"/>
      <c r="Q11" s="59"/>
      <c r="R11" s="59"/>
    </row>
    <row r="12" spans="2:18" ht="13.5" customHeight="1">
      <c r="B12" s="59"/>
      <c r="C12" s="59"/>
      <c r="D12" s="59"/>
      <c r="E12" s="59"/>
      <c r="F12" s="59"/>
      <c r="G12" s="59"/>
      <c r="H12" s="59"/>
      <c r="I12" s="59"/>
      <c r="J12" s="59"/>
      <c r="K12" s="59"/>
      <c r="L12" s="59"/>
      <c r="M12" s="59"/>
      <c r="N12" s="59"/>
      <c r="O12" s="59"/>
      <c r="P12" s="59"/>
      <c r="Q12" s="59"/>
      <c r="R12" s="59"/>
    </row>
    <row r="13" spans="2:18" ht="18.75">
      <c r="B13" s="59"/>
      <c r="C13" s="59"/>
      <c r="D13" s="59"/>
      <c r="E13" s="60"/>
      <c r="F13" s="59"/>
      <c r="G13" s="59"/>
      <c r="H13" s="59"/>
      <c r="I13" s="59"/>
      <c r="J13" s="59"/>
      <c r="K13" s="59"/>
      <c r="L13" s="59"/>
      <c r="M13" s="59"/>
      <c r="N13" s="59"/>
      <c r="O13" s="59"/>
      <c r="P13" s="59"/>
      <c r="Q13" s="59"/>
      <c r="R13" s="59"/>
    </row>
    <row r="14" spans="2:18" ht="13.5" customHeight="1">
      <c r="B14" s="59"/>
      <c r="C14" s="59"/>
      <c r="D14" s="59"/>
      <c r="E14" s="59"/>
      <c r="F14" s="59"/>
      <c r="G14" s="59"/>
      <c r="H14" s="59"/>
      <c r="I14" s="59"/>
      <c r="J14" s="59"/>
      <c r="K14" s="59"/>
      <c r="L14" s="59"/>
      <c r="M14" s="59"/>
      <c r="N14" s="59"/>
      <c r="O14" s="59"/>
      <c r="P14" s="59"/>
      <c r="Q14" s="59"/>
      <c r="R14" s="59"/>
    </row>
    <row r="15" spans="2:18" ht="13.5" customHeight="1">
      <c r="B15" s="59"/>
      <c r="C15" s="59"/>
      <c r="D15" s="59"/>
      <c r="E15" s="59"/>
      <c r="F15" s="59"/>
      <c r="G15" s="59"/>
      <c r="H15" s="59"/>
      <c r="I15" s="59"/>
      <c r="J15" s="59"/>
      <c r="K15" s="59"/>
      <c r="L15" s="59"/>
      <c r="M15" s="59"/>
      <c r="N15" s="59"/>
      <c r="O15" s="59"/>
      <c r="P15" s="59"/>
      <c r="Q15" s="59"/>
      <c r="R15" s="59"/>
    </row>
    <row r="16" spans="2:18" ht="13.5" customHeight="1">
      <c r="B16" s="59"/>
      <c r="C16" s="59"/>
      <c r="D16" s="59"/>
      <c r="E16" s="59"/>
      <c r="F16" s="59"/>
      <c r="G16" s="59"/>
      <c r="H16" s="59"/>
      <c r="I16" s="59"/>
      <c r="J16" s="59"/>
      <c r="K16" s="59"/>
      <c r="L16" s="59"/>
      <c r="M16" s="59"/>
      <c r="N16" s="59"/>
      <c r="O16" s="59"/>
      <c r="P16" s="59"/>
      <c r="Q16" s="59"/>
      <c r="R16" s="59"/>
    </row>
    <row r="17" spans="2:18" ht="13.5" customHeight="1">
      <c r="B17" s="59"/>
      <c r="C17" s="59"/>
      <c r="D17" s="59"/>
      <c r="E17" s="59"/>
      <c r="F17" s="59"/>
      <c r="G17" s="59"/>
      <c r="H17" s="59"/>
      <c r="I17" s="59"/>
      <c r="J17" s="59"/>
      <c r="K17" s="59"/>
      <c r="L17" s="59"/>
      <c r="M17" s="59"/>
      <c r="N17" s="59"/>
      <c r="O17" s="59"/>
      <c r="P17" s="59"/>
      <c r="Q17" s="59"/>
      <c r="R17" s="59"/>
    </row>
    <row r="18" spans="2:18" ht="13.5" customHeight="1">
      <c r="B18" s="59"/>
      <c r="C18" s="59"/>
      <c r="D18" s="59"/>
      <c r="E18" s="59"/>
      <c r="F18" s="59"/>
      <c r="G18" s="59"/>
      <c r="H18" s="59"/>
      <c r="I18" s="59"/>
      <c r="J18" s="59"/>
      <c r="K18" s="59"/>
      <c r="L18" s="59"/>
      <c r="M18" s="59"/>
      <c r="N18" s="59"/>
      <c r="O18" s="59"/>
      <c r="P18" s="59"/>
      <c r="Q18" s="59"/>
      <c r="R18" s="59"/>
    </row>
    <row r="19" spans="2:18" ht="13.5" customHeight="1">
      <c r="B19" s="59"/>
      <c r="C19" s="59"/>
      <c r="D19" s="59"/>
      <c r="E19" s="59"/>
      <c r="F19" s="59"/>
      <c r="G19" s="59"/>
      <c r="H19" s="59"/>
      <c r="I19" s="59"/>
      <c r="J19" s="59"/>
      <c r="K19" s="59"/>
      <c r="L19" s="59"/>
      <c r="M19" s="59"/>
      <c r="N19" s="59"/>
      <c r="O19" s="59"/>
      <c r="P19" s="59"/>
      <c r="Q19" s="59"/>
      <c r="R19" s="59"/>
    </row>
    <row r="20" spans="2:18" ht="13.5" customHeight="1">
      <c r="B20" s="59"/>
      <c r="C20" s="59"/>
      <c r="D20" s="59"/>
      <c r="E20" s="59"/>
      <c r="F20" s="59"/>
      <c r="G20" s="59"/>
      <c r="H20" s="59"/>
      <c r="I20" s="59"/>
      <c r="J20" s="59"/>
      <c r="K20" s="59"/>
      <c r="L20" s="59"/>
      <c r="M20" s="59"/>
      <c r="N20" s="59"/>
      <c r="O20" s="59"/>
      <c r="P20" s="59"/>
      <c r="Q20" s="59"/>
      <c r="R20" s="59"/>
    </row>
    <row r="21" spans="2:18" ht="13.5" customHeight="1">
      <c r="B21" s="59"/>
      <c r="C21" s="59"/>
      <c r="D21" s="59"/>
      <c r="E21" s="59"/>
      <c r="F21" s="59"/>
      <c r="G21" s="59"/>
      <c r="H21" s="59"/>
      <c r="I21" s="59"/>
      <c r="J21" s="59"/>
      <c r="K21" s="59"/>
      <c r="L21" s="59"/>
      <c r="M21" s="59"/>
      <c r="N21" s="59"/>
      <c r="O21" s="59"/>
      <c r="P21" s="59"/>
      <c r="Q21" s="59"/>
      <c r="R21" s="59"/>
    </row>
    <row r="22" spans="2:18" ht="13.5" customHeight="1">
      <c r="B22" s="59"/>
      <c r="C22" s="59"/>
      <c r="D22" s="59"/>
      <c r="E22" s="59"/>
      <c r="F22" s="59"/>
      <c r="G22" s="59"/>
      <c r="H22" s="59"/>
      <c r="I22" s="59"/>
      <c r="J22" s="59"/>
      <c r="K22" s="59"/>
      <c r="L22" s="59"/>
      <c r="M22" s="59"/>
      <c r="N22" s="59"/>
      <c r="O22" s="59"/>
      <c r="P22" s="59"/>
      <c r="Q22" s="59"/>
      <c r="R22" s="59"/>
    </row>
    <row r="23" spans="2:18" ht="13.5" customHeight="1">
      <c r="B23" s="59"/>
      <c r="C23" s="59"/>
      <c r="D23" s="59"/>
      <c r="E23" s="59"/>
      <c r="F23" s="59"/>
      <c r="G23" s="59"/>
      <c r="H23" s="59"/>
      <c r="I23" s="59"/>
      <c r="J23" s="59"/>
      <c r="K23" s="59"/>
      <c r="L23" s="59"/>
      <c r="M23" s="59"/>
      <c r="N23" s="59"/>
      <c r="O23" s="59"/>
      <c r="P23" s="59"/>
      <c r="Q23" s="59"/>
      <c r="R23" s="59"/>
    </row>
    <row r="24" spans="2:18" ht="13.5" customHeight="1">
      <c r="B24" s="59"/>
      <c r="C24" s="59"/>
      <c r="D24" s="59"/>
      <c r="E24" s="59"/>
      <c r="F24" s="59"/>
      <c r="G24" s="59"/>
      <c r="H24" s="59"/>
      <c r="I24" s="59"/>
      <c r="J24" s="59"/>
      <c r="K24" s="59"/>
      <c r="L24" s="59"/>
      <c r="M24" s="59"/>
      <c r="N24" s="59"/>
      <c r="O24" s="59"/>
      <c r="P24" s="59"/>
      <c r="Q24" s="59"/>
      <c r="R24" s="59"/>
    </row>
    <row r="25" spans="2:18" ht="13.5" customHeight="1">
      <c r="B25" s="59"/>
      <c r="C25" s="59"/>
      <c r="D25" s="59"/>
      <c r="E25" s="59"/>
      <c r="F25" s="59"/>
      <c r="G25" s="59"/>
      <c r="H25" s="59"/>
      <c r="I25" s="59"/>
      <c r="J25" s="59"/>
      <c r="K25" s="59"/>
      <c r="L25" s="59"/>
      <c r="M25" s="59"/>
      <c r="N25" s="59"/>
      <c r="O25" s="59"/>
      <c r="P25" s="59"/>
      <c r="Q25" s="59"/>
      <c r="R25" s="59"/>
    </row>
    <row r="26" spans="2:18" ht="13.5" customHeight="1">
      <c r="B26" s="59"/>
      <c r="C26" s="59"/>
      <c r="D26" s="59"/>
      <c r="E26" s="59"/>
      <c r="F26" s="59"/>
      <c r="G26" s="59"/>
      <c r="H26" s="59"/>
      <c r="I26" s="59"/>
      <c r="J26" s="59"/>
      <c r="K26" s="59"/>
      <c r="L26" s="59"/>
      <c r="M26" s="59"/>
      <c r="N26" s="59"/>
      <c r="O26" s="59"/>
      <c r="P26" s="59"/>
      <c r="Q26" s="59"/>
      <c r="R26" s="59"/>
    </row>
    <row r="27" spans="2:18" ht="13.5" customHeight="1">
      <c r="B27" s="59"/>
      <c r="C27" s="59"/>
      <c r="D27" s="59"/>
      <c r="E27" s="59"/>
      <c r="F27" s="59"/>
      <c r="G27" s="59"/>
      <c r="H27" s="59"/>
      <c r="I27" s="59"/>
      <c r="J27" s="59"/>
      <c r="K27" s="59"/>
      <c r="L27" s="59"/>
      <c r="M27" s="59"/>
      <c r="N27" s="59"/>
      <c r="O27" s="59"/>
      <c r="P27" s="59"/>
      <c r="Q27" s="59"/>
      <c r="R27" s="59"/>
    </row>
    <row r="28" spans="2:18" ht="13.5" customHeight="1">
      <c r="B28" s="59"/>
      <c r="C28" s="59"/>
      <c r="D28" s="59"/>
      <c r="E28" s="59"/>
      <c r="F28" s="59"/>
      <c r="G28" s="59"/>
      <c r="H28" s="59"/>
      <c r="I28" s="59"/>
      <c r="J28" s="59"/>
      <c r="K28" s="59"/>
      <c r="L28" s="59"/>
      <c r="M28" s="59"/>
      <c r="N28" s="59"/>
      <c r="O28" s="59"/>
      <c r="P28" s="59"/>
      <c r="Q28" s="59"/>
      <c r="R28" s="59"/>
    </row>
    <row r="29" spans="2:18" ht="13.5" customHeight="1">
      <c r="B29" s="59"/>
      <c r="C29" s="59"/>
      <c r="D29" s="59"/>
      <c r="E29" s="59"/>
      <c r="F29" s="59"/>
      <c r="G29" s="59"/>
      <c r="H29" s="59"/>
      <c r="I29" s="59"/>
      <c r="J29" s="59"/>
      <c r="K29" s="59"/>
      <c r="L29" s="59"/>
      <c r="M29" s="59"/>
      <c r="N29" s="59"/>
      <c r="O29" s="59"/>
      <c r="P29" s="59"/>
      <c r="Q29" s="59"/>
      <c r="R29" s="59"/>
    </row>
    <row r="30" spans="2:18" ht="13.5" customHeight="1">
      <c r="B30" s="59"/>
      <c r="C30" s="59"/>
      <c r="D30" s="59"/>
      <c r="E30" s="59"/>
      <c r="F30" s="59"/>
      <c r="G30" s="59"/>
      <c r="H30" s="59"/>
      <c r="I30" s="59"/>
      <c r="J30" s="59"/>
      <c r="K30" s="59"/>
      <c r="L30" s="59"/>
      <c r="M30" s="59"/>
      <c r="N30" s="59"/>
      <c r="O30" s="59"/>
      <c r="P30" s="59"/>
      <c r="Q30" s="59"/>
      <c r="R30" s="59"/>
    </row>
    <row r="31" spans="2:18" ht="13.5" customHeight="1">
      <c r="B31" s="59"/>
      <c r="C31" s="59"/>
      <c r="D31" s="59"/>
      <c r="E31" s="59"/>
      <c r="F31" s="59"/>
      <c r="G31" s="59"/>
      <c r="H31" s="59"/>
      <c r="I31" s="59"/>
      <c r="J31" s="59"/>
      <c r="K31" s="59"/>
      <c r="L31" s="59"/>
      <c r="M31" s="59"/>
      <c r="N31" s="59"/>
      <c r="O31" s="59"/>
      <c r="P31" s="59"/>
      <c r="Q31" s="59"/>
      <c r="R31" s="59"/>
    </row>
    <row r="32" spans="2:18" ht="13.5" customHeight="1">
      <c r="B32" s="59"/>
      <c r="C32" s="59"/>
      <c r="D32" s="59"/>
      <c r="E32" s="59"/>
      <c r="F32" s="59"/>
      <c r="G32" s="59"/>
      <c r="H32" s="59"/>
      <c r="I32" s="59"/>
      <c r="J32" s="59"/>
      <c r="K32" s="59"/>
      <c r="L32" s="59"/>
      <c r="M32" s="59"/>
      <c r="N32" s="59"/>
      <c r="O32" s="59"/>
      <c r="P32" s="59"/>
      <c r="Q32" s="59"/>
      <c r="R32" s="59"/>
    </row>
    <row r="33" spans="2:18" ht="13.5" customHeight="1">
      <c r="B33" s="59"/>
      <c r="C33" s="59"/>
      <c r="D33" s="59"/>
      <c r="E33" s="59"/>
      <c r="F33" s="59"/>
      <c r="G33" s="59"/>
      <c r="H33" s="59"/>
      <c r="I33" s="59"/>
      <c r="J33" s="59"/>
      <c r="K33" s="59"/>
      <c r="L33" s="59"/>
      <c r="M33" s="59"/>
      <c r="N33" s="59"/>
      <c r="O33" s="59"/>
      <c r="P33" s="59"/>
      <c r="Q33" s="59"/>
      <c r="R33" s="59"/>
    </row>
    <row r="34" spans="2:18" ht="13.5" customHeight="1">
      <c r="B34" s="59"/>
      <c r="C34" s="59"/>
      <c r="D34" s="59"/>
      <c r="E34" s="59"/>
      <c r="F34" s="59"/>
      <c r="G34" s="59"/>
      <c r="H34" s="59"/>
      <c r="I34" s="59"/>
      <c r="J34" s="59"/>
      <c r="K34" s="59"/>
      <c r="L34" s="59"/>
      <c r="M34" s="59"/>
      <c r="N34" s="59"/>
      <c r="O34" s="59"/>
      <c r="P34" s="59"/>
      <c r="Q34" s="59"/>
      <c r="R34" s="59"/>
    </row>
    <row r="35" spans="2:18" ht="13.5" customHeight="1">
      <c r="B35" s="59"/>
      <c r="C35" s="59"/>
      <c r="D35" s="59"/>
      <c r="E35" s="59"/>
      <c r="F35" s="59"/>
      <c r="G35" s="59"/>
      <c r="H35" s="59"/>
      <c r="I35" s="59"/>
      <c r="J35" s="59"/>
      <c r="K35" s="59"/>
      <c r="L35" s="59"/>
      <c r="M35" s="59"/>
      <c r="N35" s="59"/>
      <c r="O35" s="59"/>
      <c r="P35" s="59"/>
      <c r="Q35" s="59"/>
      <c r="R35" s="59"/>
    </row>
    <row r="36" spans="2:18" ht="13.5" customHeight="1">
      <c r="B36" s="59"/>
      <c r="C36" s="59"/>
      <c r="D36" s="59"/>
      <c r="E36" s="59"/>
      <c r="F36" s="59"/>
      <c r="G36" s="59"/>
      <c r="H36" s="59"/>
      <c r="I36" s="59"/>
      <c r="J36" s="59"/>
      <c r="K36" s="59"/>
      <c r="L36" s="59"/>
      <c r="M36" s="59"/>
      <c r="N36" s="59"/>
      <c r="O36" s="59"/>
      <c r="P36" s="59"/>
      <c r="Q36" s="59"/>
      <c r="R36" s="59"/>
    </row>
    <row r="37" spans="2:18" ht="13.5" customHeight="1">
      <c r="G37" s="59"/>
      <c r="H37" s="59"/>
      <c r="I37" s="59"/>
      <c r="J37" s="59"/>
      <c r="K37" s="59"/>
      <c r="L37" s="59"/>
      <c r="M37" s="59"/>
      <c r="N37" s="59"/>
      <c r="O37" s="59"/>
      <c r="P37" s="59"/>
      <c r="Q37" s="59"/>
      <c r="R37" s="59"/>
    </row>
    <row r="38" spans="2:18" ht="13.5" hidden="1" customHeight="1">
      <c r="J38" s="59"/>
      <c r="K38" s="59"/>
      <c r="L38" s="59"/>
      <c r="M38" s="59"/>
      <c r="N38" s="59"/>
      <c r="O38" s="59"/>
      <c r="P38" s="59"/>
      <c r="Q38" s="59"/>
      <c r="R38" s="59"/>
    </row>
  </sheetData>
  <sheetProtection algorithmName="SHA-512" hashValue="PAzH/8NvKh/CP7LTgDYZtFyoC9W64cJ9m/TG8y9uXnjVek+SkDyWIUwVvXa8nMP84uc0T6xLX0rrSQ/2Z3uOcQ==" saltValue="soWP1umzkb+UxrtW7Jr5CQ==" spinCount="100000" sheet="1" objects="1" scenarios="1"/>
  <phoneticPr fontId="4"/>
  <printOptions horizontalCentered="1"/>
  <pageMargins left="0.59055118110236227" right="0.78740157480314965" top="0.78740157480314965" bottom="0.78740157480314965" header="0.51181102362204722" footer="0.51181102362204722"/>
  <pageSetup paperSize="9" scale="59" orientation="portrait" horizontalDpi="4294967293" verticalDpi="4294967293" r:id="rId1"/>
  <headerFooter alignWithMargins="0">
    <oddHeader>&amp;L&amp;F&amp;R&amp;A</oddHeader>
    <oddFooter>&amp;C&amp;P/&amp;N</oddFooter>
  </headerFooter>
  <rowBreaks count="1" manualBreakCount="1">
    <brk id="37"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workbookViewId="0">
      <selection activeCell="M6" sqref="M6"/>
    </sheetView>
  </sheetViews>
  <sheetFormatPr defaultColWidth="0" defaultRowHeight="13.5" customHeight="1" zeroHeight="1"/>
  <cols>
    <col min="1" max="1" width="1.125" style="9" customWidth="1"/>
    <col min="2" max="18" width="8.75" style="9" customWidth="1"/>
    <col min="19" max="19" width="1.5" style="9" customWidth="1"/>
    <col min="20" max="16384" width="8.75" style="9" hidden="1"/>
  </cols>
  <sheetData>
    <row r="1" spans="2:18" ht="13.5" customHeight="1">
      <c r="B1" s="59"/>
      <c r="C1" s="59"/>
      <c r="D1" s="59"/>
      <c r="E1" s="59"/>
      <c r="F1" s="59"/>
      <c r="G1" s="59"/>
      <c r="H1" s="59"/>
      <c r="I1" s="59"/>
      <c r="J1" s="59"/>
      <c r="K1" s="59"/>
      <c r="L1" s="59"/>
      <c r="M1" s="59"/>
      <c r="N1" s="59"/>
      <c r="O1" s="59"/>
      <c r="P1" s="59"/>
      <c r="Q1" s="59"/>
      <c r="R1" s="59"/>
    </row>
    <row r="2" spans="2:18" ht="13.5" customHeight="1">
      <c r="B2" s="59"/>
      <c r="C2" s="59"/>
      <c r="D2" s="59"/>
      <c r="E2" s="59"/>
      <c r="F2" s="59"/>
      <c r="G2" s="59"/>
      <c r="H2" s="59"/>
      <c r="I2" s="59"/>
      <c r="J2" s="59"/>
      <c r="K2" s="59"/>
      <c r="L2" s="59"/>
      <c r="M2" s="59"/>
      <c r="N2" s="59"/>
      <c r="O2" s="59"/>
      <c r="P2" s="59"/>
      <c r="Q2" s="59"/>
      <c r="R2" s="59"/>
    </row>
    <row r="3" spans="2:18" ht="13.5" customHeight="1">
      <c r="B3" s="59"/>
      <c r="C3" s="59"/>
      <c r="D3" s="59"/>
      <c r="E3" s="59"/>
      <c r="F3" s="59"/>
      <c r="G3" s="59"/>
      <c r="H3" s="59"/>
      <c r="I3" s="59"/>
      <c r="J3" s="59"/>
      <c r="K3" s="59"/>
      <c r="L3" s="59"/>
      <c r="M3" s="59"/>
      <c r="N3" s="59"/>
      <c r="O3" s="59"/>
      <c r="P3" s="59"/>
      <c r="Q3" s="59"/>
      <c r="R3" s="59"/>
    </row>
    <row r="4" spans="2:18" ht="13.5" customHeight="1">
      <c r="B4" s="59"/>
      <c r="C4" s="59"/>
      <c r="D4" s="59"/>
      <c r="E4" s="59"/>
      <c r="F4" s="59"/>
      <c r="G4" s="59"/>
      <c r="H4" s="59"/>
      <c r="I4" s="59"/>
      <c r="J4" s="59"/>
      <c r="K4" s="59"/>
      <c r="L4" s="59"/>
      <c r="M4" s="59"/>
      <c r="N4" s="59"/>
      <c r="O4" s="59"/>
      <c r="P4" s="59"/>
      <c r="Q4" s="59"/>
      <c r="R4" s="59"/>
    </row>
    <row r="5" spans="2:18" ht="13.5" customHeight="1">
      <c r="B5" s="59"/>
      <c r="C5" s="59"/>
      <c r="D5" s="59"/>
      <c r="E5" s="59"/>
      <c r="F5" s="59"/>
      <c r="G5" s="59"/>
      <c r="H5" s="59"/>
      <c r="I5" s="59"/>
      <c r="J5" s="59"/>
      <c r="K5" s="59"/>
      <c r="L5" s="59"/>
      <c r="M5" s="59"/>
      <c r="N5" s="59"/>
      <c r="O5" s="59"/>
      <c r="P5" s="59"/>
      <c r="Q5" s="59"/>
      <c r="R5" s="59"/>
    </row>
    <row r="6" spans="2:18" ht="13.5" customHeight="1">
      <c r="B6" s="59"/>
      <c r="C6" s="59"/>
      <c r="D6" s="59"/>
      <c r="E6" s="59"/>
      <c r="F6" s="59"/>
      <c r="G6" s="59"/>
      <c r="H6" s="59"/>
      <c r="I6" s="59"/>
      <c r="J6" s="59"/>
      <c r="K6" s="59"/>
      <c r="L6" s="59"/>
      <c r="M6" s="59"/>
      <c r="N6" s="59"/>
      <c r="O6" s="59"/>
      <c r="P6" s="59"/>
      <c r="Q6" s="59"/>
      <c r="R6" s="59"/>
    </row>
    <row r="7" spans="2:18" ht="13.5" customHeight="1">
      <c r="B7" s="59"/>
      <c r="C7" s="59"/>
      <c r="D7" s="59"/>
      <c r="E7" s="59"/>
      <c r="F7" s="59"/>
      <c r="G7" s="59"/>
      <c r="H7" s="59"/>
      <c r="I7" s="59"/>
      <c r="J7" s="59"/>
      <c r="K7" s="59"/>
      <c r="L7" s="59"/>
      <c r="M7" s="59"/>
      <c r="N7" s="59"/>
      <c r="O7" s="59"/>
      <c r="P7" s="59"/>
      <c r="Q7" s="59"/>
      <c r="R7" s="59"/>
    </row>
    <row r="8" spans="2:18" ht="13.5" customHeight="1">
      <c r="B8" s="59"/>
      <c r="C8" s="59"/>
      <c r="D8" s="59"/>
      <c r="E8" s="59"/>
      <c r="F8" s="59"/>
      <c r="G8" s="59"/>
      <c r="H8" s="59"/>
      <c r="I8" s="59"/>
      <c r="J8" s="59"/>
      <c r="K8" s="59"/>
      <c r="L8" s="59"/>
      <c r="M8" s="59"/>
      <c r="N8" s="59"/>
      <c r="O8" s="59"/>
      <c r="P8" s="59"/>
      <c r="Q8" s="59"/>
      <c r="R8" s="59"/>
    </row>
    <row r="9" spans="2:18" ht="13.5" customHeight="1">
      <c r="B9" s="59"/>
      <c r="C9" s="59"/>
      <c r="D9" s="59"/>
      <c r="E9" s="59"/>
      <c r="F9" s="59"/>
      <c r="G9" s="59"/>
      <c r="H9" s="59"/>
      <c r="I9" s="59"/>
      <c r="J9" s="59"/>
      <c r="K9" s="59"/>
      <c r="L9" s="59"/>
      <c r="M9" s="59"/>
      <c r="N9" s="59"/>
      <c r="O9" s="59"/>
      <c r="P9" s="59"/>
      <c r="Q9" s="59"/>
      <c r="R9" s="59"/>
    </row>
    <row r="10" spans="2:18" ht="13.5" customHeight="1">
      <c r="B10" s="59"/>
      <c r="C10" s="59"/>
      <c r="D10" s="59"/>
      <c r="E10" s="59"/>
      <c r="F10" s="59"/>
      <c r="G10" s="59"/>
      <c r="H10" s="59"/>
      <c r="I10" s="59"/>
      <c r="J10" s="59"/>
      <c r="K10" s="59"/>
      <c r="L10" s="59"/>
      <c r="M10" s="59"/>
      <c r="N10" s="59"/>
      <c r="O10" s="59"/>
      <c r="P10" s="59"/>
      <c r="Q10" s="59"/>
      <c r="R10" s="59"/>
    </row>
    <row r="11" spans="2:18" ht="13.5" customHeight="1">
      <c r="B11" s="59"/>
      <c r="C11" s="59"/>
      <c r="D11" s="59"/>
      <c r="E11" s="59"/>
      <c r="F11" s="59"/>
      <c r="G11" s="59"/>
      <c r="H11" s="59"/>
      <c r="I11" s="59"/>
      <c r="J11" s="59"/>
      <c r="K11" s="59"/>
      <c r="L11" s="59"/>
      <c r="M11" s="59"/>
      <c r="N11" s="59"/>
      <c r="O11" s="59"/>
      <c r="P11" s="59"/>
      <c r="Q11" s="59"/>
      <c r="R11" s="59"/>
    </row>
    <row r="12" spans="2:18" ht="13.5" customHeight="1">
      <c r="B12" s="59"/>
      <c r="C12" s="59"/>
      <c r="D12" s="59"/>
      <c r="E12" s="59"/>
      <c r="F12" s="59"/>
      <c r="G12" s="59"/>
      <c r="H12" s="59"/>
      <c r="I12" s="59"/>
      <c r="J12" s="59"/>
      <c r="K12" s="59"/>
      <c r="L12" s="59"/>
      <c r="M12" s="59"/>
      <c r="N12" s="59"/>
      <c r="O12" s="59"/>
      <c r="P12" s="59"/>
      <c r="Q12" s="59"/>
      <c r="R12" s="59"/>
    </row>
    <row r="13" spans="2:18" ht="18.75">
      <c r="B13" s="59"/>
      <c r="C13" s="59"/>
      <c r="D13" s="59"/>
      <c r="E13" s="60"/>
      <c r="F13" s="59"/>
      <c r="G13" s="59"/>
      <c r="H13" s="59"/>
      <c r="I13" s="59"/>
      <c r="J13" s="59"/>
      <c r="K13" s="59"/>
      <c r="L13" s="59"/>
      <c r="M13" s="59"/>
      <c r="N13" s="59"/>
      <c r="O13" s="59"/>
      <c r="P13" s="59"/>
      <c r="Q13" s="59"/>
      <c r="R13" s="59"/>
    </row>
    <row r="14" spans="2:18" ht="13.5" customHeight="1">
      <c r="B14" s="59"/>
      <c r="C14" s="59"/>
      <c r="D14" s="59"/>
      <c r="E14" s="59"/>
      <c r="F14" s="59"/>
      <c r="G14" s="59"/>
      <c r="H14" s="59"/>
      <c r="I14" s="59"/>
      <c r="J14" s="59"/>
      <c r="K14" s="59"/>
      <c r="L14" s="59"/>
      <c r="M14" s="59"/>
      <c r="N14" s="59"/>
      <c r="O14" s="59"/>
      <c r="P14" s="59"/>
      <c r="Q14" s="59"/>
      <c r="R14" s="59"/>
    </row>
    <row r="15" spans="2:18" ht="13.5" customHeight="1">
      <c r="B15" s="59"/>
      <c r="C15" s="59"/>
      <c r="D15" s="59"/>
      <c r="E15" s="59"/>
      <c r="F15" s="59"/>
      <c r="G15" s="59"/>
      <c r="H15" s="59"/>
      <c r="I15" s="59"/>
      <c r="J15" s="59"/>
      <c r="K15" s="59"/>
      <c r="L15" s="59"/>
      <c r="M15" s="59"/>
      <c r="N15" s="59"/>
      <c r="O15" s="59"/>
      <c r="P15" s="59"/>
      <c r="Q15" s="59"/>
      <c r="R15" s="59"/>
    </row>
    <row r="16" spans="2:18" ht="13.5" customHeight="1">
      <c r="B16" s="59"/>
      <c r="C16" s="59"/>
      <c r="D16" s="59"/>
      <c r="E16" s="59"/>
      <c r="F16" s="59"/>
      <c r="G16" s="59"/>
      <c r="H16" s="59"/>
      <c r="I16" s="59"/>
      <c r="J16" s="59"/>
      <c r="K16" s="59"/>
      <c r="L16" s="59"/>
      <c r="M16" s="59"/>
      <c r="N16" s="59"/>
      <c r="O16" s="59"/>
      <c r="P16" s="59"/>
      <c r="Q16" s="59"/>
      <c r="R16" s="59"/>
    </row>
    <row r="17" spans="2:18" ht="13.5" customHeight="1">
      <c r="B17" s="59"/>
      <c r="C17" s="59"/>
      <c r="D17" s="59"/>
      <c r="E17" s="59"/>
      <c r="F17" s="59"/>
      <c r="G17" s="59"/>
      <c r="H17" s="59"/>
      <c r="I17" s="59"/>
      <c r="J17" s="59"/>
      <c r="K17" s="59"/>
      <c r="L17" s="59"/>
      <c r="M17" s="59"/>
      <c r="N17" s="59"/>
      <c r="O17" s="59"/>
      <c r="P17" s="59"/>
      <c r="Q17" s="59"/>
      <c r="R17" s="59"/>
    </row>
    <row r="18" spans="2:18" ht="13.5" customHeight="1">
      <c r="B18" s="59"/>
      <c r="C18" s="59"/>
      <c r="D18" s="59"/>
      <c r="E18" s="59"/>
      <c r="F18" s="59"/>
      <c r="G18" s="59"/>
      <c r="H18" s="59"/>
      <c r="I18" s="59"/>
      <c r="J18" s="59"/>
      <c r="K18" s="59"/>
      <c r="L18" s="59"/>
      <c r="M18" s="59"/>
      <c r="N18" s="59"/>
      <c r="O18" s="59"/>
      <c r="P18" s="59"/>
      <c r="Q18" s="59"/>
      <c r="R18" s="59"/>
    </row>
    <row r="19" spans="2:18" ht="13.5" customHeight="1">
      <c r="B19" s="59"/>
      <c r="C19" s="59"/>
      <c r="D19" s="59"/>
      <c r="E19" s="59"/>
      <c r="F19" s="59"/>
      <c r="G19" s="59"/>
      <c r="H19" s="59"/>
      <c r="I19" s="59"/>
      <c r="J19" s="59"/>
      <c r="K19" s="59"/>
      <c r="L19" s="59"/>
      <c r="M19" s="59"/>
      <c r="N19" s="59"/>
      <c r="O19" s="59"/>
      <c r="P19" s="59"/>
      <c r="Q19" s="59"/>
      <c r="R19" s="59"/>
    </row>
    <row r="20" spans="2:18" ht="13.5" customHeight="1">
      <c r="B20" s="59"/>
      <c r="C20" s="59"/>
      <c r="D20" s="59"/>
      <c r="E20" s="59"/>
      <c r="F20" s="59"/>
      <c r="G20" s="59"/>
      <c r="H20" s="59"/>
      <c r="I20" s="59"/>
      <c r="J20" s="59"/>
      <c r="K20" s="59"/>
      <c r="L20" s="59"/>
      <c r="M20" s="59"/>
      <c r="N20" s="59"/>
      <c r="O20" s="59"/>
      <c r="P20" s="59"/>
      <c r="Q20" s="59"/>
      <c r="R20" s="59"/>
    </row>
    <row r="21" spans="2:18" ht="13.5" customHeight="1">
      <c r="B21" s="59"/>
      <c r="C21" s="59"/>
      <c r="D21" s="59"/>
      <c r="E21" s="59"/>
      <c r="F21" s="59"/>
      <c r="G21" s="59"/>
      <c r="H21" s="59"/>
      <c r="I21" s="59"/>
      <c r="J21" s="59"/>
      <c r="K21" s="59"/>
      <c r="L21" s="59"/>
      <c r="M21" s="59"/>
      <c r="N21" s="59"/>
      <c r="O21" s="59"/>
      <c r="P21" s="59"/>
      <c r="Q21" s="59"/>
      <c r="R21" s="59"/>
    </row>
    <row r="22" spans="2:18" ht="13.5" customHeight="1">
      <c r="B22" s="59"/>
      <c r="C22" s="59"/>
      <c r="D22" s="59"/>
      <c r="E22" s="59"/>
      <c r="F22" s="59"/>
      <c r="G22" s="59"/>
      <c r="H22" s="59"/>
      <c r="I22" s="59"/>
      <c r="J22" s="59"/>
      <c r="K22" s="59"/>
      <c r="L22" s="59"/>
      <c r="M22" s="59"/>
      <c r="N22" s="59"/>
      <c r="O22" s="59"/>
      <c r="P22" s="59"/>
      <c r="Q22" s="59"/>
      <c r="R22" s="59"/>
    </row>
    <row r="23" spans="2:18" ht="13.5" customHeight="1">
      <c r="B23" s="59"/>
      <c r="C23" s="59"/>
      <c r="D23" s="59"/>
      <c r="E23" s="59"/>
      <c r="F23" s="59"/>
      <c r="G23" s="59"/>
      <c r="H23" s="59"/>
      <c r="I23" s="59"/>
      <c r="J23" s="59"/>
      <c r="K23" s="59"/>
      <c r="L23" s="59"/>
      <c r="M23" s="59"/>
      <c r="N23" s="59"/>
      <c r="O23" s="59"/>
      <c r="P23" s="59"/>
      <c r="Q23" s="59"/>
      <c r="R23" s="59"/>
    </row>
    <row r="24" spans="2:18" ht="13.5" customHeight="1">
      <c r="B24" s="59"/>
      <c r="C24" s="59"/>
      <c r="D24" s="59"/>
      <c r="E24" s="59"/>
      <c r="F24" s="59"/>
      <c r="G24" s="59"/>
      <c r="H24" s="59"/>
      <c r="I24" s="59"/>
      <c r="J24" s="59"/>
      <c r="K24" s="59"/>
      <c r="L24" s="59"/>
      <c r="M24" s="59"/>
      <c r="N24" s="59"/>
      <c r="O24" s="59"/>
      <c r="P24" s="59"/>
      <c r="Q24" s="59"/>
      <c r="R24" s="59"/>
    </row>
    <row r="25" spans="2:18" ht="13.5" customHeight="1">
      <c r="B25" s="59"/>
      <c r="C25" s="59"/>
      <c r="D25" s="59"/>
      <c r="E25" s="59"/>
      <c r="F25" s="59"/>
      <c r="G25" s="59"/>
      <c r="H25" s="59"/>
      <c r="I25" s="59"/>
      <c r="J25" s="59"/>
      <c r="K25" s="59"/>
      <c r="L25" s="59"/>
      <c r="M25" s="59"/>
      <c r="N25" s="59"/>
      <c r="O25" s="59"/>
      <c r="P25" s="59"/>
      <c r="Q25" s="59"/>
      <c r="R25" s="59"/>
    </row>
    <row r="26" spans="2:18" ht="13.5" customHeight="1">
      <c r="B26" s="59"/>
      <c r="C26" s="59"/>
      <c r="D26" s="59"/>
      <c r="E26" s="59"/>
      <c r="F26" s="59"/>
      <c r="G26" s="59"/>
      <c r="H26" s="59"/>
      <c r="I26" s="59"/>
      <c r="J26" s="59"/>
      <c r="K26" s="59"/>
      <c r="L26" s="59"/>
      <c r="M26" s="59"/>
      <c r="N26" s="59"/>
      <c r="O26" s="59"/>
      <c r="P26" s="59"/>
      <c r="Q26" s="59"/>
      <c r="R26" s="59"/>
    </row>
    <row r="27" spans="2:18" ht="13.5" customHeight="1">
      <c r="B27" s="59"/>
      <c r="C27" s="59"/>
      <c r="D27" s="59"/>
      <c r="E27" s="59"/>
      <c r="F27" s="59"/>
      <c r="G27" s="59"/>
      <c r="H27" s="59"/>
      <c r="I27" s="59"/>
      <c r="J27" s="59"/>
      <c r="K27" s="59"/>
      <c r="L27" s="59"/>
      <c r="M27" s="59"/>
      <c r="N27" s="59"/>
      <c r="O27" s="59"/>
      <c r="P27" s="59"/>
      <c r="Q27" s="59"/>
      <c r="R27" s="59"/>
    </row>
    <row r="28" spans="2:18" ht="13.5" customHeight="1">
      <c r="B28" s="59"/>
      <c r="C28" s="59"/>
      <c r="D28" s="59"/>
      <c r="E28" s="59"/>
      <c r="F28" s="59"/>
      <c r="G28" s="59"/>
      <c r="H28" s="59"/>
      <c r="I28" s="59"/>
      <c r="J28" s="59"/>
      <c r="K28" s="59"/>
      <c r="L28" s="59"/>
      <c r="M28" s="59"/>
      <c r="N28" s="59"/>
      <c r="O28" s="59"/>
      <c r="P28" s="59"/>
      <c r="Q28" s="59"/>
      <c r="R28" s="59"/>
    </row>
    <row r="29" spans="2:18" ht="13.5" customHeight="1">
      <c r="B29" s="59"/>
      <c r="C29" s="59"/>
      <c r="D29" s="59"/>
      <c r="E29" s="59"/>
      <c r="F29" s="59"/>
      <c r="G29" s="59"/>
      <c r="H29" s="59"/>
      <c r="I29" s="59"/>
      <c r="J29" s="59"/>
      <c r="K29" s="59"/>
      <c r="L29" s="59"/>
      <c r="M29" s="59"/>
      <c r="N29" s="59"/>
      <c r="O29" s="59"/>
      <c r="P29" s="59"/>
      <c r="Q29" s="59"/>
      <c r="R29" s="59"/>
    </row>
    <row r="30" spans="2:18" ht="13.5" customHeight="1">
      <c r="B30" s="59"/>
      <c r="C30" s="59"/>
      <c r="D30" s="59"/>
      <c r="E30" s="59"/>
      <c r="F30" s="59"/>
      <c r="G30" s="59"/>
      <c r="H30" s="59"/>
      <c r="I30" s="59"/>
      <c r="J30" s="59"/>
      <c r="K30" s="59"/>
      <c r="L30" s="59"/>
      <c r="M30" s="59"/>
      <c r="N30" s="59"/>
      <c r="O30" s="59"/>
      <c r="P30" s="59"/>
      <c r="Q30" s="59"/>
      <c r="R30" s="59"/>
    </row>
    <row r="31" spans="2:18" ht="13.5" customHeight="1">
      <c r="B31" s="59"/>
      <c r="C31" s="59"/>
      <c r="D31" s="59"/>
      <c r="E31" s="59"/>
      <c r="F31" s="59"/>
      <c r="G31" s="59"/>
      <c r="H31" s="59"/>
      <c r="I31" s="59"/>
      <c r="J31" s="59"/>
      <c r="K31" s="59"/>
      <c r="L31" s="59"/>
      <c r="M31" s="59"/>
      <c r="N31" s="59"/>
      <c r="O31" s="59"/>
      <c r="P31" s="59"/>
      <c r="Q31" s="59"/>
      <c r="R31" s="59"/>
    </row>
    <row r="32" spans="2:18" ht="13.5" customHeight="1">
      <c r="B32" s="59"/>
      <c r="C32" s="59"/>
      <c r="D32" s="59"/>
      <c r="E32" s="59"/>
      <c r="F32" s="59"/>
      <c r="G32" s="59"/>
      <c r="H32" s="59"/>
      <c r="I32" s="59"/>
      <c r="J32" s="59"/>
      <c r="K32" s="59"/>
      <c r="L32" s="59"/>
      <c r="M32" s="59"/>
      <c r="N32" s="59"/>
      <c r="O32" s="59"/>
      <c r="P32" s="59"/>
      <c r="Q32" s="59"/>
      <c r="R32" s="59"/>
    </row>
    <row r="33" spans="2:18" ht="13.5" customHeight="1">
      <c r="B33" s="59"/>
      <c r="C33" s="59"/>
      <c r="D33" s="59"/>
      <c r="E33" s="59"/>
      <c r="F33" s="59"/>
      <c r="G33" s="59"/>
      <c r="H33" s="59"/>
      <c r="I33" s="59"/>
      <c r="J33" s="59"/>
      <c r="K33" s="59"/>
      <c r="L33" s="59"/>
      <c r="M33" s="59"/>
      <c r="N33" s="59"/>
      <c r="O33" s="59"/>
      <c r="P33" s="59"/>
      <c r="Q33" s="59"/>
      <c r="R33" s="59"/>
    </row>
    <row r="34" spans="2:18" ht="13.5" customHeight="1">
      <c r="B34" s="59"/>
      <c r="C34" s="59"/>
      <c r="D34" s="59"/>
      <c r="E34" s="59"/>
      <c r="F34" s="59"/>
      <c r="G34" s="59"/>
      <c r="H34" s="59"/>
      <c r="I34" s="59"/>
      <c r="J34" s="59"/>
      <c r="K34" s="59"/>
      <c r="L34" s="59"/>
      <c r="M34" s="59"/>
      <c r="N34" s="59"/>
      <c r="O34" s="59"/>
      <c r="P34" s="59"/>
      <c r="Q34" s="59"/>
      <c r="R34" s="59"/>
    </row>
    <row r="35" spans="2:18" ht="13.5" customHeight="1">
      <c r="B35" s="59"/>
      <c r="C35" s="59"/>
      <c r="D35" s="59"/>
      <c r="E35" s="59"/>
      <c r="F35" s="59"/>
      <c r="G35" s="59"/>
      <c r="H35" s="59"/>
      <c r="I35" s="59"/>
      <c r="J35" s="59"/>
      <c r="K35" s="59"/>
      <c r="L35" s="59"/>
      <c r="M35" s="59"/>
      <c r="N35" s="59"/>
      <c r="O35" s="59"/>
      <c r="P35" s="59"/>
      <c r="Q35" s="59"/>
      <c r="R35" s="59"/>
    </row>
    <row r="36" spans="2:18" ht="13.5" customHeight="1">
      <c r="B36" s="59"/>
      <c r="C36" s="59"/>
      <c r="D36" s="59"/>
      <c r="E36" s="59"/>
      <c r="F36" s="59"/>
      <c r="G36" s="59"/>
      <c r="H36" s="59"/>
      <c r="I36" s="59"/>
      <c r="J36" s="59"/>
      <c r="K36" s="59"/>
      <c r="L36" s="59"/>
      <c r="M36" s="59"/>
      <c r="N36" s="59"/>
      <c r="O36" s="59"/>
      <c r="P36" s="59"/>
      <c r="Q36" s="59"/>
      <c r="R36" s="59"/>
    </row>
    <row r="37" spans="2:18" ht="13.5" customHeight="1">
      <c r="G37" s="59"/>
      <c r="H37" s="59"/>
      <c r="I37" s="59"/>
      <c r="J37" s="59"/>
      <c r="K37" s="59"/>
      <c r="L37" s="59"/>
      <c r="M37" s="59"/>
      <c r="N37" s="59"/>
      <c r="O37" s="59"/>
      <c r="P37" s="59"/>
      <c r="Q37" s="59"/>
      <c r="R37" s="59"/>
    </row>
    <row r="38" spans="2:18" ht="13.5" hidden="1" customHeight="1">
      <c r="J38" s="59"/>
      <c r="K38" s="59"/>
      <c r="L38" s="59"/>
      <c r="M38" s="59"/>
      <c r="N38" s="59"/>
      <c r="O38" s="59"/>
      <c r="P38" s="59"/>
      <c r="Q38" s="59"/>
      <c r="R38" s="59"/>
    </row>
  </sheetData>
  <phoneticPr fontId="4"/>
  <printOptions horizontalCentered="1"/>
  <pageMargins left="0.59055118110236227" right="0.78740157480314965" top="0.78740157480314965" bottom="0.78740157480314965" header="0.51181102362204722" footer="0.51181102362204722"/>
  <pageSetup paperSize="9" scale="59" orientation="portrait" horizontalDpi="4294967293" verticalDpi="4294967293" r:id="rId1"/>
  <headerFooter alignWithMargins="0">
    <oddHeader>&amp;L&amp;F&amp;R&amp;A</oddHeader>
    <oddFooter>&amp;C&amp;P/&amp;N</oddFooter>
  </headerFooter>
  <rowBreaks count="1" manualBreakCount="1">
    <brk id="37"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00"/>
    <pageSetUpPr fitToPage="1"/>
  </sheetPr>
  <dimension ref="A1:X99"/>
  <sheetViews>
    <sheetView showGridLines="0" zoomScaleNormal="100" workbookViewId="0">
      <selection activeCell="M6" sqref="M6"/>
    </sheetView>
  </sheetViews>
  <sheetFormatPr defaultColWidth="8.75" defaultRowHeight="13.5"/>
  <cols>
    <col min="1" max="1" width="2.5" style="1979" customWidth="1"/>
    <col min="2" max="2" width="2.75" style="1979" customWidth="1"/>
    <col min="3" max="3" width="15.125" style="1979" customWidth="1"/>
    <col min="4" max="8" width="11.875" style="1979" customWidth="1"/>
    <col min="9" max="9" width="12.375" style="1979" customWidth="1"/>
    <col min="10" max="10" width="11.875" style="1979" customWidth="1"/>
    <col min="11" max="11" width="1.375" style="1979" customWidth="1"/>
    <col min="12" max="12" width="2.375" style="1979" customWidth="1"/>
    <col min="13" max="13" width="9.875" style="1979" customWidth="1"/>
    <col min="14" max="14" width="10.375" style="1979" customWidth="1"/>
    <col min="15" max="15" width="9.875" style="1979" customWidth="1"/>
    <col min="16" max="17" width="10.375" style="1979" customWidth="1"/>
    <col min="18" max="18" width="13" style="1979" customWidth="1"/>
    <col min="19" max="20" width="8.75" style="1979" customWidth="1"/>
    <col min="21" max="16384" width="8.75" style="1979"/>
  </cols>
  <sheetData>
    <row r="1" spans="1:20" customFormat="1">
      <c r="A1" s="23"/>
      <c r="B1" s="23" t="s">
        <v>1251</v>
      </c>
      <c r="C1" s="23"/>
      <c r="D1" s="23"/>
      <c r="E1" s="23"/>
      <c r="F1" s="23"/>
      <c r="G1" s="23"/>
      <c r="H1" s="23"/>
      <c r="I1" s="23"/>
      <c r="J1" s="23"/>
      <c r="K1" s="23"/>
      <c r="L1" s="23"/>
      <c r="M1" s="2033"/>
      <c r="N1" s="1979"/>
      <c r="O1" t="s">
        <v>1311</v>
      </c>
      <c r="P1" s="1979"/>
    </row>
    <row r="2" spans="1:20" ht="23.25">
      <c r="A2" s="23"/>
      <c r="B2" s="1981" t="s">
        <v>1299</v>
      </c>
      <c r="C2" s="23"/>
      <c r="D2" s="23"/>
      <c r="E2" s="23"/>
      <c r="F2" s="23"/>
      <c r="G2" s="1981" t="s">
        <v>1298</v>
      </c>
      <c r="H2" s="23"/>
      <c r="I2" s="23"/>
      <c r="J2" s="23"/>
      <c r="K2" s="23"/>
      <c r="L2" s="23"/>
      <c r="M2" s="2033" t="str">
        <f>メイン!C6</f>
        <v>CASBEE-戸建（新築）2018年版</v>
      </c>
      <c r="N2" s="1979">
        <v>1</v>
      </c>
      <c r="P2" s="1979" t="str">
        <f>電気排出係数!B9</f>
        <v>北海道電力株式会社</v>
      </c>
      <c r="R2" s="1979" t="s">
        <v>1170</v>
      </c>
    </row>
    <row r="3" spans="1:20" s="1774" customFormat="1">
      <c r="A3" s="1384"/>
      <c r="B3" s="138" t="s">
        <v>1329</v>
      </c>
      <c r="C3" s="138"/>
      <c r="D3" s="138"/>
      <c r="E3" s="138"/>
      <c r="F3" s="138"/>
      <c r="G3" s="138"/>
      <c r="H3" s="138"/>
      <c r="I3" s="138"/>
      <c r="J3" s="138"/>
      <c r="K3" s="138"/>
      <c r="L3" s="1384"/>
      <c r="N3" s="1774">
        <v>2</v>
      </c>
      <c r="P3" s="1979" t="str">
        <f>電気排出係数!B10</f>
        <v>東北電力株式会社</v>
      </c>
      <c r="R3" s="1870" t="s">
        <v>1171</v>
      </c>
      <c r="S3" s="1870" t="s">
        <v>1172</v>
      </c>
      <c r="T3" s="1870" t="s">
        <v>1173</v>
      </c>
    </row>
    <row r="4" spans="1:20" ht="5.45" customHeight="1" thickBot="1">
      <c r="A4" s="1936"/>
      <c r="B4" s="1936"/>
      <c r="C4" s="1936"/>
      <c r="D4" s="1936"/>
      <c r="E4" s="1936"/>
      <c r="F4" s="1936"/>
      <c r="G4" s="1936"/>
      <c r="H4" s="1936"/>
      <c r="I4" s="1936"/>
      <c r="J4" s="1936"/>
      <c r="K4" s="1936"/>
      <c r="L4" s="1936"/>
      <c r="M4" s="369"/>
      <c r="R4" s="1029"/>
      <c r="S4" s="1029"/>
      <c r="T4" s="1871"/>
    </row>
    <row r="5" spans="1:20" ht="15" customHeight="1" thickBot="1">
      <c r="A5" s="1936"/>
      <c r="B5" s="1937" t="s">
        <v>1165</v>
      </c>
      <c r="C5" s="1938"/>
      <c r="D5" s="1938"/>
      <c r="E5" s="1938"/>
      <c r="F5" s="1938"/>
      <c r="G5" s="1938"/>
      <c r="H5" s="1938"/>
      <c r="I5" s="1938"/>
      <c r="J5" s="1938"/>
      <c r="K5" s="1939"/>
      <c r="L5" s="1936"/>
      <c r="M5" s="369"/>
      <c r="N5" s="1979">
        <v>4</v>
      </c>
      <c r="P5" s="1979" t="str">
        <f>電気排出係数!B12</f>
        <v>中部電力株式会社</v>
      </c>
      <c r="R5" s="1029">
        <v>2</v>
      </c>
      <c r="S5" s="1029">
        <v>0.4</v>
      </c>
      <c r="T5" s="1871" t="s">
        <v>1174</v>
      </c>
    </row>
    <row r="6" spans="1:20" ht="15" customHeight="1" thickBot="1">
      <c r="A6" s="1936"/>
      <c r="B6" s="1982" t="s">
        <v>216</v>
      </c>
      <c r="C6" s="1983"/>
      <c r="D6" s="2205" t="str">
        <f>メイン!C10</f>
        <v>〇〇邸</v>
      </c>
      <c r="E6" s="2206"/>
      <c r="F6" s="2207"/>
      <c r="G6" s="2098"/>
      <c r="H6" s="1974" t="s">
        <v>1230</v>
      </c>
      <c r="I6" s="2149">
        <f>メイン!C22</f>
        <v>0</v>
      </c>
      <c r="J6" s="1963" t="s">
        <v>1330</v>
      </c>
      <c r="K6" s="1984"/>
      <c r="L6" s="1936"/>
      <c r="M6" s="369"/>
      <c r="N6" s="1979">
        <v>5</v>
      </c>
      <c r="P6" s="1979" t="str">
        <f>電気排出係数!B13</f>
        <v>北陸電力株式会社</v>
      </c>
      <c r="R6" s="1029">
        <v>3</v>
      </c>
      <c r="S6" s="1029">
        <v>0.5</v>
      </c>
      <c r="T6" s="1871" t="s">
        <v>1174</v>
      </c>
    </row>
    <row r="7" spans="1:20" ht="15" customHeight="1" thickBot="1">
      <c r="A7" s="1936"/>
      <c r="B7" s="1946" t="s">
        <v>1252</v>
      </c>
      <c r="C7" s="1947"/>
      <c r="D7" s="2208" t="s">
        <v>1314</v>
      </c>
      <c r="E7" s="2209"/>
      <c r="F7" s="2210"/>
      <c r="G7" s="1961"/>
      <c r="H7" s="2113" t="s">
        <v>483</v>
      </c>
      <c r="I7" s="2211">
        <v>43192</v>
      </c>
      <c r="J7" s="2207"/>
      <c r="K7" s="1942"/>
      <c r="L7" s="1936"/>
      <c r="M7" s="369"/>
      <c r="N7" s="1979">
        <v>6</v>
      </c>
      <c r="P7" s="1979" t="str">
        <f>電気排出係数!B14</f>
        <v>関西電力株式会社</v>
      </c>
      <c r="R7" s="1029">
        <v>4</v>
      </c>
      <c r="S7" s="1029">
        <v>0.6</v>
      </c>
      <c r="T7" s="1871" t="s">
        <v>1174</v>
      </c>
    </row>
    <row r="8" spans="1:20" ht="15" hidden="1" customHeight="1">
      <c r="A8" s="1936"/>
      <c r="B8" s="1946" t="s">
        <v>252</v>
      </c>
      <c r="C8" s="1947"/>
      <c r="D8" s="2111">
        <f>メイン!C15</f>
        <v>0</v>
      </c>
      <c r="E8" s="2112" t="s">
        <v>708</v>
      </c>
      <c r="F8" s="2113" t="s">
        <v>1162</v>
      </c>
      <c r="G8" s="1965" t="s">
        <v>1147</v>
      </c>
      <c r="H8" s="2147">
        <v>0.5</v>
      </c>
      <c r="I8" s="2150" t="s">
        <v>1175</v>
      </c>
      <c r="J8" s="2151" t="e">
        <f>VLOOKUP(D8,R4:T11,2)</f>
        <v>#N/A</v>
      </c>
      <c r="K8" s="1956"/>
      <c r="L8" s="1936"/>
      <c r="M8" s="1921" t="e">
        <f>IF(J8=Q14,P14,IF(H8="",P15,IF(H8&lt;=J8,P14,P15)))</f>
        <v>#N/A</v>
      </c>
      <c r="N8" s="1979">
        <v>7</v>
      </c>
      <c r="P8" s="1979" t="str">
        <f>電気排出係数!B15</f>
        <v>中国電力株式会社</v>
      </c>
      <c r="R8" s="1029">
        <v>5</v>
      </c>
      <c r="S8" s="1029">
        <v>0.6</v>
      </c>
      <c r="T8" s="1029">
        <v>3</v>
      </c>
    </row>
    <row r="9" spans="1:20" ht="15" hidden="1" customHeight="1">
      <c r="A9" s="1936"/>
      <c r="B9" s="2099"/>
      <c r="C9" s="1961"/>
      <c r="D9" s="1961"/>
      <c r="E9" s="1961"/>
      <c r="F9" s="1974"/>
      <c r="G9" s="1965" t="s">
        <v>1148</v>
      </c>
      <c r="H9" s="2147">
        <v>2.8</v>
      </c>
      <c r="I9" s="2152" t="s">
        <v>1175</v>
      </c>
      <c r="J9" s="2153" t="e">
        <f>VLOOKUP(D8,R4:T11,3)</f>
        <v>#N/A</v>
      </c>
      <c r="K9" s="1956"/>
      <c r="L9" s="1936"/>
      <c r="M9" s="1921" t="e">
        <f>IF(J9=Q14,P14,IF(H9="",P15,IF(H9&lt;=J9,P14,P15)))</f>
        <v>#N/A</v>
      </c>
      <c r="N9" s="1979">
        <v>8</v>
      </c>
      <c r="P9" s="1979" t="str">
        <f>電気排出係数!B16</f>
        <v>四国電力株式会社</v>
      </c>
      <c r="R9" s="1029">
        <v>6</v>
      </c>
      <c r="S9" s="1029">
        <v>0.6</v>
      </c>
      <c r="T9" s="1029">
        <v>2.8</v>
      </c>
    </row>
    <row r="10" spans="1:20" ht="15" hidden="1" customHeight="1">
      <c r="A10" s="1936"/>
      <c r="B10" s="2099"/>
      <c r="C10" s="1961"/>
      <c r="D10" s="1961"/>
      <c r="E10" s="1961"/>
      <c r="F10" s="1974" t="s">
        <v>1331</v>
      </c>
      <c r="G10" s="1961"/>
      <c r="H10" s="2147"/>
      <c r="I10" s="2099" t="s">
        <v>1332</v>
      </c>
      <c r="J10" s="1984"/>
      <c r="K10" s="1984"/>
      <c r="L10" s="1936"/>
      <c r="M10" s="1921"/>
      <c r="P10" s="1979" t="str">
        <f>電気排出係数!B17</f>
        <v>九州電力株式会社</v>
      </c>
      <c r="R10" s="1029">
        <v>7</v>
      </c>
      <c r="S10" s="1029">
        <v>0.6</v>
      </c>
      <c r="T10" s="1029">
        <v>2.7</v>
      </c>
    </row>
    <row r="11" spans="1:20" ht="15" hidden="1" customHeight="1">
      <c r="A11" s="1936"/>
      <c r="B11" s="2099"/>
      <c r="C11" s="1961"/>
      <c r="D11" s="1961"/>
      <c r="E11" s="1961"/>
      <c r="F11" s="1974" t="s">
        <v>1333</v>
      </c>
      <c r="G11" s="1947"/>
      <c r="H11" s="2148" t="s">
        <v>1124</v>
      </c>
      <c r="I11" s="2154" t="s">
        <v>1246</v>
      </c>
      <c r="J11" s="2155"/>
      <c r="K11" s="1956"/>
      <c r="L11" s="1936"/>
      <c r="M11" s="1921"/>
      <c r="P11" s="1979" t="str">
        <f>電気排出係数!B18</f>
        <v>沖縄電力株式会社</v>
      </c>
      <c r="R11" s="1029">
        <v>8</v>
      </c>
      <c r="S11" s="1871" t="s">
        <v>1174</v>
      </c>
      <c r="T11" s="1029">
        <v>3.2</v>
      </c>
    </row>
    <row r="12" spans="1:20" ht="15" customHeight="1" thickBot="1">
      <c r="A12" s="1936"/>
      <c r="B12" s="1985" t="s">
        <v>1310</v>
      </c>
      <c r="C12" s="1978"/>
      <c r="D12" s="1978" t="str">
        <f>IF(N12=R14,電気排出係数!B22,"")</f>
        <v/>
      </c>
      <c r="E12" s="1978" t="str">
        <f>電気排出係数!D5</f>
        <v>N.A.</v>
      </c>
      <c r="F12" s="1978" t="s">
        <v>1334</v>
      </c>
      <c r="G12" s="2163"/>
      <c r="H12" s="1977" t="s">
        <v>523</v>
      </c>
      <c r="I12" s="2208" t="s">
        <v>1335</v>
      </c>
      <c r="J12" s="2210"/>
      <c r="K12" s="2100"/>
      <c r="L12" s="23"/>
      <c r="N12" s="1029">
        <f>メイン!C17</f>
        <v>0</v>
      </c>
      <c r="P12" s="1979" t="s">
        <v>949</v>
      </c>
    </row>
    <row r="13" spans="1:20" ht="5.0999999999999996" customHeight="1" thickBot="1">
      <c r="A13" s="1936"/>
      <c r="B13" s="1936"/>
      <c r="C13" s="1936"/>
      <c r="D13" s="1936"/>
      <c r="E13" s="1936"/>
      <c r="F13" s="1936"/>
      <c r="G13" s="1936"/>
      <c r="H13" s="1936"/>
      <c r="I13" s="1936"/>
      <c r="J13" s="1936"/>
      <c r="K13" s="1936"/>
      <c r="L13" s="1936"/>
      <c r="M13" s="369"/>
    </row>
    <row r="14" spans="1:20" ht="15" customHeight="1">
      <c r="A14" s="1936"/>
      <c r="B14" s="1937" t="s">
        <v>1166</v>
      </c>
      <c r="C14" s="1938"/>
      <c r="D14" s="1938"/>
      <c r="E14" s="1938"/>
      <c r="F14" s="1938"/>
      <c r="G14" s="1938"/>
      <c r="H14" s="1938"/>
      <c r="I14" s="1938"/>
      <c r="J14" s="1938"/>
      <c r="K14" s="1939"/>
      <c r="L14" s="1936"/>
      <c r="M14" s="369"/>
      <c r="N14" s="1029" t="s">
        <v>763</v>
      </c>
      <c r="O14" s="1029"/>
      <c r="P14" s="1979" t="s">
        <v>1177</v>
      </c>
      <c r="Q14" s="1979" t="s">
        <v>1210</v>
      </c>
      <c r="R14" s="1979" t="s">
        <v>949</v>
      </c>
    </row>
    <row r="15" spans="1:20" ht="15" customHeight="1" thickBot="1">
      <c r="A15" s="1936"/>
      <c r="B15" s="1948" t="s">
        <v>1336</v>
      </c>
      <c r="C15" s="1949"/>
      <c r="D15" s="1949"/>
      <c r="E15" s="1949"/>
      <c r="F15" s="1949"/>
      <c r="G15" s="1949"/>
      <c r="H15" s="1949"/>
      <c r="I15" s="1949"/>
      <c r="J15" s="1949"/>
      <c r="K15" s="1950"/>
      <c r="L15" s="1936"/>
      <c r="M15" s="369"/>
      <c r="P15" s="1979" t="s">
        <v>1176</v>
      </c>
    </row>
    <row r="16" spans="1:20" ht="15" customHeight="1" thickBot="1">
      <c r="A16" s="1936"/>
      <c r="B16" s="1986"/>
      <c r="C16" s="1987"/>
      <c r="D16" s="2116" t="s">
        <v>763</v>
      </c>
      <c r="E16" s="23" t="s">
        <v>1157</v>
      </c>
      <c r="F16" s="23"/>
      <c r="G16" s="23"/>
      <c r="H16" s="23"/>
      <c r="I16" s="23"/>
      <c r="J16" s="1952"/>
      <c r="K16" s="1953"/>
      <c r="L16" s="1936"/>
    </row>
    <row r="17" spans="1:18" ht="15" customHeight="1" thickBot="1">
      <c r="A17" s="1936"/>
      <c r="B17" s="1948" t="s">
        <v>1287</v>
      </c>
      <c r="C17" s="1949"/>
      <c r="D17" s="1949"/>
      <c r="E17" s="1949"/>
      <c r="F17" s="1949"/>
      <c r="G17" s="1949"/>
      <c r="H17" s="1949"/>
      <c r="I17" s="1949"/>
      <c r="J17" s="1949"/>
      <c r="K17" s="1950"/>
      <c r="L17" s="1936"/>
      <c r="M17" s="369"/>
      <c r="N17" s="1979" t="s">
        <v>1253</v>
      </c>
      <c r="O17" s="1979" t="s">
        <v>1285</v>
      </c>
    </row>
    <row r="18" spans="1:18" ht="15" customHeight="1" thickBot="1">
      <c r="A18" s="1936"/>
      <c r="B18" s="1951"/>
      <c r="C18" s="1952" t="s">
        <v>1149</v>
      </c>
      <c r="D18" s="2115">
        <v>3</v>
      </c>
      <c r="E18" s="1988" t="s">
        <v>1151</v>
      </c>
      <c r="F18" s="1989"/>
      <c r="G18" s="1989"/>
      <c r="H18" s="1989"/>
      <c r="I18" s="1989"/>
      <c r="J18" s="1991" t="s">
        <v>797</v>
      </c>
      <c r="K18" s="1990"/>
      <c r="L18" s="1936"/>
      <c r="M18" s="2109">
        <f>N18</f>
        <v>3</v>
      </c>
      <c r="N18" s="2110">
        <f>採点Q2!D8</f>
        <v>3</v>
      </c>
      <c r="O18" s="2110">
        <f>IF(D16=N14,5,D18)</f>
        <v>5</v>
      </c>
      <c r="Q18" s="1920"/>
      <c r="R18" t="s">
        <v>1198</v>
      </c>
    </row>
    <row r="19" spans="1:18" ht="15" customHeight="1">
      <c r="A19" s="1936"/>
      <c r="B19" s="1951"/>
      <c r="C19" s="23"/>
      <c r="D19" s="2114" t="s">
        <v>1337</v>
      </c>
      <c r="E19" s="1947" t="s">
        <v>1152</v>
      </c>
      <c r="F19" s="1947"/>
      <c r="G19" s="1947"/>
      <c r="H19" s="1947"/>
      <c r="I19" s="1947"/>
      <c r="J19" s="1947"/>
      <c r="K19" s="1956"/>
      <c r="L19" s="1936"/>
      <c r="Q19" s="2110">
        <v>3</v>
      </c>
      <c r="R19" s="1029">
        <v>30</v>
      </c>
    </row>
    <row r="20" spans="1:18" ht="15" customHeight="1">
      <c r="A20" s="1936"/>
      <c r="B20" s="1951"/>
      <c r="C20" s="2036" t="s">
        <v>1286</v>
      </c>
      <c r="D20" s="1955" t="s">
        <v>1338</v>
      </c>
      <c r="E20" s="1947" t="s">
        <v>1153</v>
      </c>
      <c r="F20" s="1947"/>
      <c r="G20" s="1947"/>
      <c r="H20" s="1947"/>
      <c r="I20" s="1947"/>
      <c r="J20" s="1947"/>
      <c r="K20" s="1956"/>
      <c r="L20" s="1936"/>
      <c r="M20" s="2034">
        <f>VLOOKUP(M18,Q19:R21,2,FALSE)</f>
        <v>30</v>
      </c>
      <c r="N20" s="1979" t="s">
        <v>1284</v>
      </c>
      <c r="Q20" s="2110">
        <v>4</v>
      </c>
      <c r="R20" s="1029">
        <v>60</v>
      </c>
    </row>
    <row r="21" spans="1:18" ht="15" customHeight="1">
      <c r="A21" s="1936"/>
      <c r="B21" s="1951"/>
      <c r="C21" s="2035" t="str">
        <f>M20&amp;"年"</f>
        <v>30年</v>
      </c>
      <c r="D21" s="1957" t="s">
        <v>1339</v>
      </c>
      <c r="E21" s="1952" t="s">
        <v>1154</v>
      </c>
      <c r="F21" s="1952"/>
      <c r="G21" s="1952"/>
      <c r="H21" s="1952"/>
      <c r="I21" s="1952"/>
      <c r="J21" s="1952"/>
      <c r="K21" s="1953"/>
      <c r="L21" s="1936"/>
      <c r="Q21" s="2110">
        <v>5</v>
      </c>
      <c r="R21" s="1029">
        <v>90</v>
      </c>
    </row>
    <row r="22" spans="1:18" ht="15" customHeight="1">
      <c r="A22" s="1936"/>
      <c r="B22" s="1958" t="s">
        <v>1340</v>
      </c>
      <c r="C22" s="1959" t="s">
        <v>1167</v>
      </c>
      <c r="D22" s="1959"/>
      <c r="E22" s="1959"/>
      <c r="F22" s="1959"/>
      <c r="G22" s="1959"/>
      <c r="H22" s="1959"/>
      <c r="I22" s="1959"/>
      <c r="J22" s="1959"/>
      <c r="K22" s="1960"/>
      <c r="L22" s="1936"/>
      <c r="M22" s="369"/>
      <c r="N22" s="2108"/>
    </row>
    <row r="23" spans="1:18" s="2186" customFormat="1" ht="15" customHeight="1">
      <c r="A23" s="2187"/>
      <c r="B23" s="2188" t="s">
        <v>1041</v>
      </c>
      <c r="C23" s="2189"/>
      <c r="D23" s="2189"/>
      <c r="E23" s="2190"/>
      <c r="F23" s="2190"/>
      <c r="G23" s="2190"/>
      <c r="H23" s="1944"/>
      <c r="I23" s="1952"/>
      <c r="J23" s="2191" t="str">
        <f>IF(N25=1,"",N26)</f>
        <v/>
      </c>
      <c r="K23" s="2192"/>
      <c r="L23" s="1936"/>
      <c r="M23" s="369"/>
    </row>
    <row r="24" spans="1:18" ht="15" customHeight="1" thickBot="1">
      <c r="A24" s="1936"/>
      <c r="B24" s="1973"/>
      <c r="C24" s="2226" t="s">
        <v>1323</v>
      </c>
      <c r="D24" s="2227"/>
      <c r="E24" s="2193" t="s">
        <v>1240</v>
      </c>
      <c r="F24" s="2193" t="s">
        <v>1245</v>
      </c>
      <c r="G24" s="2193" t="s">
        <v>1146</v>
      </c>
      <c r="H24" s="2194"/>
      <c r="I24" s="2127"/>
      <c r="J24" s="2138" t="s">
        <v>1324</v>
      </c>
      <c r="K24" s="2195"/>
      <c r="L24" s="1936"/>
      <c r="M24" s="369"/>
      <c r="N24" s="2108" t="s">
        <v>1300</v>
      </c>
      <c r="O24" s="1029" t="s">
        <v>1257</v>
      </c>
      <c r="P24" s="1029"/>
      <c r="Q24" s="1029"/>
      <c r="R24" s="2110">
        <v>1</v>
      </c>
    </row>
    <row r="25" spans="1:18" ht="15" customHeight="1">
      <c r="A25" s="1936"/>
      <c r="B25" s="1951"/>
      <c r="C25" s="1994" t="s">
        <v>1241</v>
      </c>
      <c r="D25" s="1995"/>
      <c r="E25" s="2181">
        <f>N29</f>
        <v>1</v>
      </c>
      <c r="F25" s="2119">
        <f>採点LR3!E19</f>
        <v>0</v>
      </c>
      <c r="G25" s="2117">
        <f>IF(F25=0,0,VLOOKUP(F25,D29:J34,7))</f>
        <v>0</v>
      </c>
      <c r="H25" s="2228"/>
      <c r="I25" s="2229"/>
      <c r="J25" s="2229"/>
      <c r="K25" s="2230"/>
      <c r="L25" s="1936"/>
      <c r="M25" s="369"/>
      <c r="N25" s="2145">
        <f>SUM(E25:E27)</f>
        <v>1</v>
      </c>
      <c r="O25" s="1029" t="s">
        <v>1258</v>
      </c>
      <c r="P25" s="1029"/>
      <c r="Q25" s="2001"/>
      <c r="R25" s="2110">
        <v>2</v>
      </c>
    </row>
    <row r="26" spans="1:18" ht="15" customHeight="1">
      <c r="A26" s="1936"/>
      <c r="B26" s="1951"/>
      <c r="C26" s="1994" t="s">
        <v>1242</v>
      </c>
      <c r="D26" s="1995"/>
      <c r="E26" s="2182">
        <f>O29</f>
        <v>0</v>
      </c>
      <c r="F26" s="2120">
        <f>採点LR3!E27</f>
        <v>0</v>
      </c>
      <c r="G26" s="2117">
        <f>IF(F26=0,0,VLOOKUP(F26,D36:J39,7))</f>
        <v>0</v>
      </c>
      <c r="H26" s="2228"/>
      <c r="I26" s="2229"/>
      <c r="J26" s="2229"/>
      <c r="K26" s="2230"/>
      <c r="L26" s="1936"/>
      <c r="M26" s="369"/>
      <c r="N26" s="2108" t="s">
        <v>1301</v>
      </c>
      <c r="O26" s="1029" t="s">
        <v>1259</v>
      </c>
      <c r="P26" s="1029"/>
      <c r="Q26" s="2001"/>
      <c r="R26" s="2110">
        <v>3</v>
      </c>
    </row>
    <row r="27" spans="1:18" ht="14.25" thickBot="1">
      <c r="A27" s="1936"/>
      <c r="B27" s="1951"/>
      <c r="C27" s="1996" t="s">
        <v>1243</v>
      </c>
      <c r="D27" s="1997"/>
      <c r="E27" s="2183">
        <f>P29</f>
        <v>0</v>
      </c>
      <c r="F27" s="2121">
        <f>採点LR3!E33</f>
        <v>0</v>
      </c>
      <c r="G27" s="2118">
        <f>IF(F27=0,0,VLOOKUP(F27,D41:J44,7))</f>
        <v>0</v>
      </c>
      <c r="H27" s="2228"/>
      <c r="I27" s="2229"/>
      <c r="J27" s="2229"/>
      <c r="K27" s="2230"/>
      <c r="L27" s="1936"/>
      <c r="M27" s="369"/>
      <c r="N27" s="2108"/>
      <c r="O27" s="1029" t="s">
        <v>1260</v>
      </c>
      <c r="P27" s="1029"/>
      <c r="Q27" s="2001"/>
      <c r="R27" s="2110">
        <v>4</v>
      </c>
    </row>
    <row r="28" spans="1:18" ht="16.5">
      <c r="A28" s="1936"/>
      <c r="B28" s="1951"/>
      <c r="C28" s="1963" t="s">
        <v>353</v>
      </c>
      <c r="D28" s="1964" t="s">
        <v>1244</v>
      </c>
      <c r="E28" s="1941" t="s">
        <v>1231</v>
      </c>
      <c r="F28" s="2012"/>
      <c r="G28" s="1947"/>
      <c r="H28" s="1947"/>
      <c r="I28" s="1947"/>
      <c r="J28" s="1965" t="s">
        <v>1145</v>
      </c>
      <c r="K28" s="1956"/>
      <c r="L28" s="1936"/>
      <c r="M28" s="369"/>
      <c r="N28" s="2108" t="s">
        <v>1302</v>
      </c>
      <c r="O28" s="2002" t="s">
        <v>1303</v>
      </c>
      <c r="P28" t="s">
        <v>1304</v>
      </c>
      <c r="Q28"/>
    </row>
    <row r="29" spans="1:18">
      <c r="A29" s="1936"/>
      <c r="B29" s="1951"/>
      <c r="C29" s="1954"/>
      <c r="D29" s="1955" t="s">
        <v>857</v>
      </c>
      <c r="E29" s="1947" t="s">
        <v>1305</v>
      </c>
      <c r="F29" s="1961"/>
      <c r="G29" s="1947"/>
      <c r="H29" s="1947"/>
      <c r="I29" s="1947"/>
      <c r="J29" s="2196">
        <v>0.04</v>
      </c>
      <c r="K29" s="1956"/>
      <c r="L29" s="1936"/>
      <c r="M29" s="369"/>
      <c r="N29" s="2146">
        <f>採点LR2!G8</f>
        <v>1</v>
      </c>
      <c r="O29" s="2146">
        <f>採点LR2!H8</f>
        <v>0</v>
      </c>
      <c r="P29" s="2146">
        <f>採点LR2!I8</f>
        <v>0</v>
      </c>
      <c r="Q29"/>
    </row>
    <row r="30" spans="1:18">
      <c r="A30" s="1936"/>
      <c r="B30" s="1951"/>
      <c r="C30" s="1966"/>
      <c r="D30" s="1955" t="s">
        <v>858</v>
      </c>
      <c r="E30" s="1947" t="s">
        <v>1315</v>
      </c>
      <c r="F30" s="1961"/>
      <c r="G30" s="1947"/>
      <c r="H30" s="1947"/>
      <c r="I30" s="1947"/>
      <c r="J30" s="2196">
        <v>0.02</v>
      </c>
      <c r="K30" s="1956"/>
      <c r="L30" s="1936"/>
      <c r="M30" s="369"/>
      <c r="O30"/>
      <c r="P30"/>
      <c r="Q30"/>
    </row>
    <row r="31" spans="1:18">
      <c r="A31" s="1936"/>
      <c r="B31" s="1951"/>
      <c r="C31" s="1966"/>
      <c r="D31" s="1955" t="s">
        <v>859</v>
      </c>
      <c r="E31" s="1947" t="s">
        <v>1316</v>
      </c>
      <c r="F31" s="1961"/>
      <c r="G31" s="1947"/>
      <c r="H31" s="1947"/>
      <c r="I31" s="1947"/>
      <c r="J31" s="2196">
        <v>0.04</v>
      </c>
      <c r="K31" s="1956"/>
      <c r="L31" s="1936"/>
      <c r="M31" s="369"/>
      <c r="O31"/>
      <c r="P31"/>
      <c r="Q31"/>
    </row>
    <row r="32" spans="1:18">
      <c r="A32" s="1936"/>
      <c r="B32" s="1951"/>
      <c r="C32" s="1954"/>
      <c r="D32" s="1955" t="s">
        <v>860</v>
      </c>
      <c r="E32" s="1947" t="s">
        <v>1141</v>
      </c>
      <c r="F32" s="1961"/>
      <c r="G32" s="1947"/>
      <c r="H32" s="1947"/>
      <c r="I32" s="1947"/>
      <c r="J32" s="2196">
        <v>0.06</v>
      </c>
      <c r="K32" s="1956"/>
      <c r="L32" s="1936"/>
      <c r="M32" s="369"/>
      <c r="O32"/>
      <c r="P32"/>
      <c r="Q32"/>
    </row>
    <row r="33" spans="1:24">
      <c r="A33" s="1936"/>
      <c r="B33" s="1951"/>
      <c r="C33" s="1954"/>
      <c r="D33" s="1955" t="s">
        <v>861</v>
      </c>
      <c r="E33" s="1947" t="s">
        <v>1142</v>
      </c>
      <c r="F33" s="1961"/>
      <c r="G33" s="1947"/>
      <c r="H33" s="1947"/>
      <c r="I33" s="1947"/>
      <c r="J33" s="2196">
        <v>0.08</v>
      </c>
      <c r="K33" s="1956"/>
      <c r="L33" s="1936"/>
      <c r="M33" s="369"/>
      <c r="O33"/>
      <c r="P33"/>
      <c r="Q33"/>
    </row>
    <row r="34" spans="1:24">
      <c r="A34" s="1936"/>
      <c r="B34" s="1951"/>
      <c r="C34" s="1941"/>
      <c r="D34" s="1955"/>
      <c r="E34" s="1947" t="s">
        <v>1143</v>
      </c>
      <c r="F34" s="1961"/>
      <c r="G34" s="1947"/>
      <c r="H34" s="1947"/>
      <c r="I34" s="1947"/>
      <c r="J34" s="2196">
        <v>0</v>
      </c>
      <c r="K34" s="1956"/>
      <c r="L34" s="1936"/>
      <c r="M34" s="369"/>
      <c r="O34"/>
      <c r="P34"/>
      <c r="Q34"/>
    </row>
    <row r="35" spans="1:24" ht="16.5">
      <c r="A35" s="1936"/>
      <c r="B35" s="1951"/>
      <c r="C35" s="1963" t="s">
        <v>354</v>
      </c>
      <c r="D35" s="1964" t="s">
        <v>1244</v>
      </c>
      <c r="E35" s="1947" t="s">
        <v>1231</v>
      </c>
      <c r="F35" s="1961"/>
      <c r="G35" s="1947"/>
      <c r="H35" s="1947"/>
      <c r="I35" s="1947"/>
      <c r="J35" s="2196" t="s">
        <v>1145</v>
      </c>
      <c r="K35" s="1956"/>
      <c r="L35" s="1936"/>
      <c r="M35" s="369"/>
      <c r="O35"/>
      <c r="P35"/>
      <c r="Q35"/>
    </row>
    <row r="36" spans="1:24">
      <c r="A36" s="1936"/>
      <c r="B36" s="1951"/>
      <c r="C36" s="1966"/>
      <c r="D36" s="1955" t="s">
        <v>857</v>
      </c>
      <c r="E36" s="1947" t="s">
        <v>1341</v>
      </c>
      <c r="F36" s="1961"/>
      <c r="G36" s="1947"/>
      <c r="H36" s="1947"/>
      <c r="I36" s="1947"/>
      <c r="J36" s="2197">
        <v>0.09</v>
      </c>
      <c r="K36" s="1956"/>
      <c r="L36" s="1936"/>
      <c r="M36" s="369"/>
    </row>
    <row r="37" spans="1:24">
      <c r="A37" s="1936"/>
      <c r="B37" s="1951"/>
      <c r="C37" s="1966"/>
      <c r="D37" s="1955" t="s">
        <v>858</v>
      </c>
      <c r="E37" s="1947" t="s">
        <v>1342</v>
      </c>
      <c r="F37" s="1961"/>
      <c r="G37" s="1947"/>
      <c r="H37" s="1947"/>
      <c r="I37" s="1947"/>
      <c r="J37" s="2197">
        <v>0.04</v>
      </c>
      <c r="K37" s="1956"/>
      <c r="L37" s="1936"/>
      <c r="M37" s="369"/>
    </row>
    <row r="38" spans="1:24">
      <c r="A38" s="1936"/>
      <c r="B38" s="1951"/>
      <c r="C38" s="1954"/>
      <c r="D38" s="1955" t="s">
        <v>859</v>
      </c>
      <c r="E38" s="1947" t="s">
        <v>1144</v>
      </c>
      <c r="F38" s="1961"/>
      <c r="G38" s="1947"/>
      <c r="H38" s="1947"/>
      <c r="I38" s="1947"/>
      <c r="J38" s="2197">
        <v>0.13</v>
      </c>
      <c r="K38" s="1956"/>
      <c r="L38" s="1936"/>
      <c r="M38" s="369"/>
    </row>
    <row r="39" spans="1:24">
      <c r="A39" s="1936"/>
      <c r="B39" s="1951"/>
      <c r="C39" s="1941"/>
      <c r="D39" s="1955"/>
      <c r="E39" s="1947" t="s">
        <v>1143</v>
      </c>
      <c r="F39" s="1961"/>
      <c r="G39" s="1947"/>
      <c r="H39" s="1947"/>
      <c r="I39" s="1947"/>
      <c r="J39" s="2196">
        <v>0</v>
      </c>
      <c r="K39" s="1956"/>
      <c r="L39" s="1936"/>
      <c r="M39" s="369"/>
    </row>
    <row r="40" spans="1:24" ht="16.5">
      <c r="A40" s="1936"/>
      <c r="B40" s="1951"/>
      <c r="C40" s="1968" t="s">
        <v>355</v>
      </c>
      <c r="D40" s="1964" t="s">
        <v>1244</v>
      </c>
      <c r="E40" s="1947" t="s">
        <v>1231</v>
      </c>
      <c r="F40" s="1961"/>
      <c r="G40" s="1947"/>
      <c r="H40" s="1947"/>
      <c r="I40" s="1947"/>
      <c r="J40" s="2196" t="s">
        <v>1145</v>
      </c>
      <c r="K40" s="1956"/>
      <c r="L40" s="1936"/>
      <c r="M40" s="369"/>
    </row>
    <row r="41" spans="1:24">
      <c r="A41" s="1936"/>
      <c r="B41" s="1951"/>
      <c r="C41" s="1954"/>
      <c r="D41" s="1955" t="s">
        <v>1343</v>
      </c>
      <c r="E41" s="1947" t="s">
        <v>1342</v>
      </c>
      <c r="F41" s="1961"/>
      <c r="G41" s="1947"/>
      <c r="H41" s="1947"/>
      <c r="I41" s="1947"/>
      <c r="J41" s="2196">
        <v>0.03</v>
      </c>
      <c r="K41" s="1956"/>
      <c r="L41" s="1936"/>
      <c r="M41" s="369"/>
    </row>
    <row r="42" spans="1:24">
      <c r="A42" s="1936"/>
      <c r="B42" s="1951"/>
      <c r="C42" s="1954"/>
      <c r="D42" s="1955" t="s">
        <v>858</v>
      </c>
      <c r="E42" s="1947" t="s">
        <v>1344</v>
      </c>
      <c r="F42" s="1961"/>
      <c r="G42" s="1947"/>
      <c r="H42" s="1947"/>
      <c r="I42" s="1947"/>
      <c r="J42" s="2196">
        <v>7.0000000000000007E-2</v>
      </c>
      <c r="K42" s="1956"/>
      <c r="L42" s="1936"/>
      <c r="M42" s="369"/>
    </row>
    <row r="43" spans="1:24">
      <c r="A43" s="1936"/>
      <c r="B43" s="1951"/>
      <c r="C43" s="1954"/>
      <c r="D43" s="1955" t="s">
        <v>859</v>
      </c>
      <c r="E43" s="1947" t="s">
        <v>1144</v>
      </c>
      <c r="F43" s="1961"/>
      <c r="G43" s="1947"/>
      <c r="H43" s="1947"/>
      <c r="I43" s="1947"/>
      <c r="J43" s="2196">
        <v>0.1</v>
      </c>
      <c r="K43" s="1956"/>
      <c r="L43" s="1936"/>
      <c r="M43" s="369"/>
    </row>
    <row r="44" spans="1:24">
      <c r="A44" s="1936"/>
      <c r="B44" s="1940"/>
      <c r="C44" s="1941"/>
      <c r="D44" s="1969"/>
      <c r="E44" s="1947" t="s">
        <v>1143</v>
      </c>
      <c r="F44" s="1961"/>
      <c r="G44" s="1947"/>
      <c r="H44" s="1947"/>
      <c r="I44" s="1947"/>
      <c r="J44" s="2198">
        <v>0</v>
      </c>
      <c r="K44" s="1956"/>
      <c r="L44" s="1936"/>
      <c r="M44" s="369"/>
    </row>
    <row r="45" spans="1:24" ht="16.5">
      <c r="A45" s="1936"/>
      <c r="B45" s="1998" t="s">
        <v>1043</v>
      </c>
      <c r="C45" s="1945"/>
      <c r="D45" s="1945"/>
      <c r="E45" s="1943"/>
      <c r="F45" s="1943"/>
      <c r="G45" s="1943"/>
      <c r="H45" s="1943"/>
      <c r="I45" s="1943"/>
      <c r="J45" s="1943"/>
      <c r="K45" s="2009"/>
      <c r="L45" s="1936"/>
      <c r="M45" s="369"/>
      <c r="N45" s="1980" t="s">
        <v>1253</v>
      </c>
      <c r="O45" s="1992" t="s">
        <v>1285</v>
      </c>
    </row>
    <row r="46" spans="1:24" ht="15" customHeight="1" thickBot="1">
      <c r="A46" s="1936"/>
      <c r="B46" s="1951"/>
      <c r="C46" s="1999" t="s">
        <v>1155</v>
      </c>
      <c r="D46" s="2101">
        <f>P47+R47</f>
        <v>3</v>
      </c>
      <c r="E46" s="1988" t="s">
        <v>1151</v>
      </c>
      <c r="F46" s="1989"/>
      <c r="G46" s="1989"/>
      <c r="H46" s="1989"/>
      <c r="I46" s="1989"/>
      <c r="J46" s="1991" t="s">
        <v>1275</v>
      </c>
      <c r="K46" s="1990"/>
      <c r="L46" s="1936"/>
      <c r="M46" s="2109">
        <f>N46</f>
        <v>3</v>
      </c>
      <c r="N46" s="2110">
        <f>採点Q2!D19</f>
        <v>3</v>
      </c>
      <c r="O46" s="2110">
        <f>D46</f>
        <v>3</v>
      </c>
    </row>
    <row r="47" spans="1:24" ht="15" customHeight="1" thickBot="1">
      <c r="A47" s="1936"/>
      <c r="B47" s="1951"/>
      <c r="C47" s="2000"/>
      <c r="D47" s="2122" t="s">
        <v>1254</v>
      </c>
      <c r="E47" s="2216" t="s">
        <v>1258</v>
      </c>
      <c r="F47" s="2217"/>
      <c r="G47" s="2217"/>
      <c r="H47" s="2217"/>
      <c r="I47" s="2218"/>
      <c r="J47" s="1963"/>
      <c r="K47" s="1956"/>
      <c r="L47" s="1936"/>
      <c r="M47" s="369"/>
      <c r="O47" s="1979" t="s">
        <v>472</v>
      </c>
      <c r="P47" s="1876">
        <f>VLOOKUP(E47,O24:R27,4,FALSE)</f>
        <v>2</v>
      </c>
      <c r="Q47" s="1979" t="s">
        <v>1256</v>
      </c>
      <c r="R47" s="1029">
        <f>IF(COUNTIF(F48:J48,N14)&gt;0,1,0)</f>
        <v>1</v>
      </c>
      <c r="T47" s="369"/>
      <c r="U47" s="369"/>
      <c r="V47" s="369"/>
      <c r="W47" s="369"/>
      <c r="X47" s="369"/>
    </row>
    <row r="48" spans="1:24" ht="15" customHeight="1" thickBot="1">
      <c r="A48" s="1936"/>
      <c r="B48" s="1951"/>
      <c r="C48" s="2006"/>
      <c r="D48" s="1969" t="s">
        <v>1255</v>
      </c>
      <c r="E48" s="2123" t="s">
        <v>1345</v>
      </c>
      <c r="F48" s="2116" t="s">
        <v>763</v>
      </c>
      <c r="G48" s="2007" t="s">
        <v>1326</v>
      </c>
      <c r="H48" s="2116"/>
      <c r="I48" s="2007" t="s">
        <v>1346</v>
      </c>
      <c r="J48" s="2116"/>
      <c r="K48" s="2008"/>
      <c r="L48" s="1936"/>
      <c r="M48" s="369"/>
      <c r="N48" s="1979" t="s">
        <v>1261</v>
      </c>
      <c r="O48" s="1992" t="s">
        <v>1285</v>
      </c>
      <c r="T48" s="369"/>
      <c r="U48" s="369"/>
      <c r="V48" s="369"/>
      <c r="W48" s="369"/>
      <c r="X48" s="369"/>
    </row>
    <row r="49" spans="1:24" ht="15" customHeight="1" thickBot="1">
      <c r="A49" s="1936"/>
      <c r="B49" s="1951"/>
      <c r="C49" s="2010" t="s">
        <v>1262</v>
      </c>
      <c r="D49" s="2106">
        <f>IF(P50+R50&gt;5,5,P50+R50)</f>
        <v>5</v>
      </c>
      <c r="E49" s="1988" t="s">
        <v>1151</v>
      </c>
      <c r="F49" s="1989"/>
      <c r="G49" s="1989"/>
      <c r="H49" s="1989"/>
      <c r="I49" s="2127"/>
      <c r="J49" s="2124" t="s">
        <v>1274</v>
      </c>
      <c r="K49" s="2019"/>
      <c r="L49" s="1936"/>
      <c r="M49" s="2109">
        <f>N49</f>
        <v>3</v>
      </c>
      <c r="N49" s="2110">
        <f>採点Q2!D36</f>
        <v>3</v>
      </c>
      <c r="O49" s="2110">
        <f>D49</f>
        <v>5</v>
      </c>
      <c r="T49" s="369"/>
      <c r="U49" s="369"/>
      <c r="V49" s="369"/>
      <c r="W49" s="369"/>
      <c r="X49" s="369"/>
    </row>
    <row r="50" spans="1:24" ht="15" customHeight="1" thickBot="1">
      <c r="A50" s="1936"/>
      <c r="B50" s="1951"/>
      <c r="C50" s="2013" t="s">
        <v>1263</v>
      </c>
      <c r="D50" s="2122" t="s">
        <v>1254</v>
      </c>
      <c r="E50" s="2216" t="s">
        <v>1260</v>
      </c>
      <c r="F50" s="2217"/>
      <c r="G50" s="2217"/>
      <c r="H50" s="2217"/>
      <c r="I50" s="2218"/>
      <c r="J50" s="23"/>
      <c r="K50" s="1942"/>
      <c r="L50" s="1936"/>
      <c r="M50" s="369"/>
      <c r="O50" s="1992" t="s">
        <v>472</v>
      </c>
      <c r="P50" s="1876">
        <f>VLOOKUP(E50,O24:R27,4,FALSE)</f>
        <v>4</v>
      </c>
      <c r="Q50" s="1992" t="s">
        <v>1255</v>
      </c>
      <c r="R50" s="1029">
        <f>IF(C51=P51,R51,R52+R53)</f>
        <v>1</v>
      </c>
    </row>
    <row r="51" spans="1:24" s="1992" customFormat="1" ht="15" customHeight="1" thickBot="1">
      <c r="A51" s="1936"/>
      <c r="B51" s="1951"/>
      <c r="C51" s="2126" t="s">
        <v>1269</v>
      </c>
      <c r="D51" s="2125" t="s">
        <v>1264</v>
      </c>
      <c r="E51" s="2128" t="s">
        <v>1325</v>
      </c>
      <c r="F51" s="2116"/>
      <c r="G51" s="2129" t="s">
        <v>1326</v>
      </c>
      <c r="H51" s="2116" t="s">
        <v>763</v>
      </c>
      <c r="I51" s="2129"/>
      <c r="J51" s="2004"/>
      <c r="K51" s="1956"/>
      <c r="L51" s="1936"/>
      <c r="M51"/>
      <c r="O51" s="2002" t="s">
        <v>1271</v>
      </c>
      <c r="P51" s="2002" t="s">
        <v>1269</v>
      </c>
      <c r="R51" s="1029">
        <f>IF(COUNTIF(F51:J51,N14)&gt;0,1,0)</f>
        <v>1</v>
      </c>
      <c r="S51" s="1979"/>
    </row>
    <row r="52" spans="1:24" s="1992" customFormat="1" ht="15" customHeight="1">
      <c r="A52" s="1936"/>
      <c r="B52" s="1951"/>
      <c r="C52" s="2000"/>
      <c r="D52" s="2003" t="s">
        <v>1265</v>
      </c>
      <c r="E52" s="2219" t="s">
        <v>1266</v>
      </c>
      <c r="F52" s="2220"/>
      <c r="G52" s="2130" t="s">
        <v>1325</v>
      </c>
      <c r="H52" s="2131" t="s">
        <v>763</v>
      </c>
      <c r="I52" s="2005" t="s">
        <v>1326</v>
      </c>
      <c r="J52" s="2131" t="s">
        <v>763</v>
      </c>
      <c r="K52" s="1956"/>
      <c r="L52" s="1936"/>
      <c r="M52"/>
      <c r="O52" s="2002"/>
      <c r="P52" s="2002" t="s">
        <v>1270</v>
      </c>
      <c r="Q52" t="s">
        <v>1267</v>
      </c>
      <c r="R52" s="1029">
        <f>IF(COUNTIF(H52:J52,N14)&gt;0,1,0)</f>
        <v>1</v>
      </c>
      <c r="S52" s="2002"/>
    </row>
    <row r="53" spans="1:24" ht="15" customHeight="1" thickBot="1">
      <c r="A53" s="1936"/>
      <c r="B53" s="1951"/>
      <c r="C53" s="2006"/>
      <c r="D53" s="1957"/>
      <c r="E53" s="2221" t="s">
        <v>1312</v>
      </c>
      <c r="F53" s="2222"/>
      <c r="G53" s="2123" t="s">
        <v>1325</v>
      </c>
      <c r="H53" s="2132"/>
      <c r="I53" s="2007" t="s">
        <v>1347</v>
      </c>
      <c r="J53" s="2132" t="s">
        <v>763</v>
      </c>
      <c r="K53" s="2008"/>
      <c r="L53" s="1936"/>
      <c r="M53"/>
      <c r="N53" s="1992" t="s">
        <v>1253</v>
      </c>
      <c r="O53" s="1992" t="s">
        <v>1285</v>
      </c>
      <c r="P53"/>
      <c r="Q53" t="s">
        <v>1268</v>
      </c>
      <c r="R53" s="1029">
        <f>IF(COUNTIF(H53:J53,N14)&gt;0,1,0)</f>
        <v>1</v>
      </c>
    </row>
    <row r="54" spans="1:24" ht="15" customHeight="1">
      <c r="A54" s="1936"/>
      <c r="B54" s="1951"/>
      <c r="C54" s="2010" t="s">
        <v>1348</v>
      </c>
      <c r="D54" s="2107">
        <f>IF(D16=N14,5,IF(R55&gt;=2,5,IF(R55=1,4,3)))</f>
        <v>5</v>
      </c>
      <c r="E54" s="1988" t="s">
        <v>1151</v>
      </c>
      <c r="F54" s="1989"/>
      <c r="G54" s="1989"/>
      <c r="H54" s="1989"/>
      <c r="I54" s="1989"/>
      <c r="J54" s="1991" t="s">
        <v>1273</v>
      </c>
      <c r="K54" s="1990"/>
      <c r="L54" s="1936"/>
      <c r="M54" s="2109">
        <f>N54</f>
        <v>3</v>
      </c>
      <c r="N54" s="2110">
        <f>採点Q2!D106</f>
        <v>3</v>
      </c>
      <c r="O54" s="2110">
        <f>D54</f>
        <v>5</v>
      </c>
      <c r="P54"/>
      <c r="Q54"/>
      <c r="R54"/>
    </row>
    <row r="55" spans="1:24" ht="15" customHeight="1" thickBot="1">
      <c r="A55" s="1936"/>
      <c r="B55" s="1951"/>
      <c r="C55" s="2010" t="s">
        <v>1313</v>
      </c>
      <c r="D55" s="2134" t="s">
        <v>1272</v>
      </c>
      <c r="E55" s="2223" t="s">
        <v>1156</v>
      </c>
      <c r="F55" s="2224"/>
      <c r="G55" s="2224"/>
      <c r="H55" s="2224"/>
      <c r="I55" s="2224"/>
      <c r="J55" s="2224"/>
      <c r="K55" s="2225"/>
      <c r="L55" s="1936"/>
      <c r="M55"/>
      <c r="O55" s="369"/>
      <c r="Q55" s="1882" t="s">
        <v>1208</v>
      </c>
      <c r="R55" s="1884">
        <f>COUNTIF(D56:D59,N14)</f>
        <v>1</v>
      </c>
    </row>
    <row r="56" spans="1:24" ht="15" customHeight="1">
      <c r="A56" s="1936"/>
      <c r="B56" s="1951"/>
      <c r="C56" s="2133"/>
      <c r="D56" s="2131" t="s">
        <v>763</v>
      </c>
      <c r="E56" s="1947" t="s">
        <v>1158</v>
      </c>
      <c r="F56" s="1947"/>
      <c r="G56" s="1947"/>
      <c r="H56" s="1947"/>
      <c r="I56" s="1947"/>
      <c r="J56" s="1947"/>
      <c r="K56" s="1956"/>
      <c r="L56" s="1936"/>
      <c r="M56" s="369"/>
      <c r="O56" s="2110">
        <v>3</v>
      </c>
      <c r="P56" s="1882" t="s">
        <v>1206</v>
      </c>
      <c r="Q56" s="1883"/>
      <c r="R56" s="1884"/>
    </row>
    <row r="57" spans="1:24" ht="30.6" customHeight="1">
      <c r="A57" s="1936"/>
      <c r="B57" s="1951"/>
      <c r="C57" s="2133"/>
      <c r="D57" s="2136"/>
      <c r="E57" s="1947" t="s">
        <v>1159</v>
      </c>
      <c r="F57" s="1947"/>
      <c r="G57" s="1947"/>
      <c r="H57" s="1947"/>
      <c r="I57" s="1947"/>
      <c r="J57" s="1947"/>
      <c r="K57" s="1956"/>
      <c r="L57" s="1936"/>
      <c r="M57" s="369"/>
      <c r="O57" s="2110">
        <v>4</v>
      </c>
      <c r="P57" s="1882" t="s">
        <v>1207</v>
      </c>
      <c r="Q57" s="1883"/>
      <c r="R57" s="1884"/>
    </row>
    <row r="58" spans="1:24" ht="30.6" customHeight="1">
      <c r="A58" s="1936"/>
      <c r="B58" s="1951"/>
      <c r="C58" s="2133"/>
      <c r="D58" s="2136"/>
      <c r="E58" s="2214" t="s">
        <v>1160</v>
      </c>
      <c r="F58" s="2214"/>
      <c r="G58" s="2214"/>
      <c r="H58" s="2214"/>
      <c r="I58" s="2214"/>
      <c r="J58" s="2214"/>
      <c r="K58" s="1956"/>
      <c r="L58" s="1936"/>
      <c r="M58" s="369"/>
      <c r="O58" s="2110">
        <v>5</v>
      </c>
      <c r="P58" s="1882" t="s">
        <v>1209</v>
      </c>
      <c r="Q58" s="1883"/>
      <c r="R58" s="1884"/>
    </row>
    <row r="59" spans="1:24" ht="30.6" customHeight="1" thickBot="1">
      <c r="A59" s="1936"/>
      <c r="B59" s="1967"/>
      <c r="C59" s="2006"/>
      <c r="D59" s="2137"/>
      <c r="E59" s="2215" t="s">
        <v>1161</v>
      </c>
      <c r="F59" s="2215"/>
      <c r="G59" s="2215"/>
      <c r="H59" s="2215"/>
      <c r="I59" s="2215"/>
      <c r="J59" s="2215"/>
      <c r="K59" s="2008"/>
      <c r="L59" s="1936"/>
      <c r="M59" s="369"/>
    </row>
    <row r="60" spans="1:24" ht="15" customHeight="1">
      <c r="A60" s="1936"/>
      <c r="B60" s="2014" t="s">
        <v>1276</v>
      </c>
      <c r="C60" s="2015"/>
      <c r="D60" s="2135"/>
      <c r="E60" s="2015"/>
      <c r="F60" s="2015"/>
      <c r="G60" s="2015"/>
      <c r="H60" s="2015"/>
      <c r="I60" s="2015"/>
      <c r="J60" s="2015"/>
      <c r="K60" s="2016"/>
      <c r="L60" s="1936"/>
      <c r="M60" s="369"/>
      <c r="O60" s="2156" t="s">
        <v>1281</v>
      </c>
    </row>
    <row r="61" spans="1:24" ht="15" customHeight="1" thickBot="1">
      <c r="A61" s="1936"/>
      <c r="B61" s="2017"/>
      <c r="C61" s="1993" t="s">
        <v>1169</v>
      </c>
      <c r="D61" s="2018"/>
      <c r="E61" s="2018"/>
      <c r="F61" s="2138" t="s">
        <v>1277</v>
      </c>
      <c r="G61" s="2032"/>
      <c r="H61" s="2032"/>
      <c r="I61" s="2032"/>
      <c r="J61" s="2138" t="s">
        <v>1277</v>
      </c>
      <c r="K61" s="2019"/>
      <c r="L61" s="1936"/>
      <c r="O61" s="2001" t="s">
        <v>1235</v>
      </c>
      <c r="P61" s="2161">
        <f>F62</f>
        <v>70782</v>
      </c>
      <c r="Q61" s="1029" t="s">
        <v>1232</v>
      </c>
      <c r="R61" s="2161">
        <f>J62</f>
        <v>-12468</v>
      </c>
    </row>
    <row r="62" spans="1:24" ht="15" customHeight="1">
      <c r="A62" s="1936"/>
      <c r="B62" s="2017"/>
      <c r="C62" s="2159" t="s">
        <v>1235</v>
      </c>
      <c r="D62" s="2157"/>
      <c r="E62" s="2157"/>
      <c r="F62" s="2139">
        <f>採点LR1!H17</f>
        <v>70782</v>
      </c>
      <c r="G62" s="2020" t="s">
        <v>1306</v>
      </c>
      <c r="H62" s="2021"/>
      <c r="I62" s="2020"/>
      <c r="J62" s="2139">
        <f>採点LR1!H20</f>
        <v>-12468</v>
      </c>
      <c r="K62" s="1956"/>
      <c r="L62" s="1936"/>
      <c r="O62" s="2001" t="s">
        <v>1236</v>
      </c>
      <c r="P62" s="2162">
        <f>採点LR1!H18</f>
        <v>18811</v>
      </c>
      <c r="Q62" s="1029" t="s">
        <v>1233</v>
      </c>
      <c r="R62" s="2161">
        <f t="shared" ref="R62:R63" si="0">J63</f>
        <v>0</v>
      </c>
    </row>
    <row r="63" spans="1:24" ht="14.25" thickBot="1">
      <c r="A63" s="1936"/>
      <c r="B63" s="2017"/>
      <c r="C63" s="2159" t="s">
        <v>1349</v>
      </c>
      <c r="D63" s="2157"/>
      <c r="E63" s="2157"/>
      <c r="F63" s="2140">
        <f>採点LR1!H19</f>
        <v>46343</v>
      </c>
      <c r="G63" s="2020" t="s">
        <v>1307</v>
      </c>
      <c r="H63" s="2021"/>
      <c r="I63" s="2020"/>
      <c r="J63" s="2141">
        <f>採点LR1!H21</f>
        <v>0</v>
      </c>
      <c r="K63" s="1956"/>
      <c r="L63" s="1936"/>
      <c r="O63" s="2001" t="s">
        <v>1237</v>
      </c>
      <c r="P63" s="2161">
        <f>F63</f>
        <v>46343</v>
      </c>
      <c r="Q63" s="1029" t="s">
        <v>1234</v>
      </c>
      <c r="R63" s="2161">
        <f t="shared" si="0"/>
        <v>32879</v>
      </c>
    </row>
    <row r="64" spans="1:24" ht="15" customHeight="1" thickBot="1">
      <c r="A64" s="1936"/>
      <c r="B64" s="2017"/>
      <c r="C64" s="2160"/>
      <c r="D64" s="2158"/>
      <c r="E64" s="2158"/>
      <c r="F64" s="2158"/>
      <c r="G64" s="2022" t="s">
        <v>1308</v>
      </c>
      <c r="H64" s="2023"/>
      <c r="I64" s="2022"/>
      <c r="J64" s="2142">
        <f>採点LR1!H22</f>
        <v>32879</v>
      </c>
      <c r="K64" s="2008"/>
      <c r="L64" s="1936"/>
      <c r="M64" s="369"/>
      <c r="N64" s="1992" t="s">
        <v>1281</v>
      </c>
      <c r="O64" s="1992" t="s">
        <v>1285</v>
      </c>
    </row>
    <row r="65" spans="1:22" s="1992" customFormat="1" ht="15" customHeight="1">
      <c r="A65" s="1936"/>
      <c r="B65" s="2017"/>
      <c r="C65" s="2024" t="s">
        <v>1327</v>
      </c>
      <c r="D65" s="2011">
        <f>IF(R66=3,5,IF(R66=2,4,3))</f>
        <v>4</v>
      </c>
      <c r="E65" s="1988" t="s">
        <v>1151</v>
      </c>
      <c r="F65" s="1989"/>
      <c r="G65" s="1989"/>
      <c r="H65" s="1989"/>
      <c r="I65" s="1989"/>
      <c r="J65" s="1991" t="s">
        <v>1328</v>
      </c>
      <c r="K65" s="1990"/>
      <c r="L65" s="1936"/>
      <c r="M65" s="2109">
        <f>N65</f>
        <v>3</v>
      </c>
      <c r="N65" s="2110">
        <f>採点LR1!D71</f>
        <v>3</v>
      </c>
      <c r="O65" s="2110">
        <f>D65</f>
        <v>4</v>
      </c>
    </row>
    <row r="66" spans="1:22" s="1992" customFormat="1" ht="15" customHeight="1" thickBot="1">
      <c r="A66" s="1936"/>
      <c r="B66" s="2017"/>
      <c r="C66" s="2025"/>
      <c r="D66" s="2134" t="s">
        <v>1272</v>
      </c>
      <c r="E66" s="2223" t="s">
        <v>1156</v>
      </c>
      <c r="F66" s="2224"/>
      <c r="G66" s="2224"/>
      <c r="H66" s="2224"/>
      <c r="I66" s="2224"/>
      <c r="J66" s="2224"/>
      <c r="K66" s="2225"/>
      <c r="L66" s="1936"/>
      <c r="M66" s="369"/>
      <c r="O66" s="369"/>
      <c r="Q66" s="1882" t="s">
        <v>1208</v>
      </c>
      <c r="R66" s="1884">
        <f>COUNTIF(D67:D69,N14)</f>
        <v>2</v>
      </c>
    </row>
    <row r="67" spans="1:22" s="1992" customFormat="1" ht="15" customHeight="1">
      <c r="A67" s="1936"/>
      <c r="B67" s="2017"/>
      <c r="C67" s="2143"/>
      <c r="D67" s="2131" t="s">
        <v>763</v>
      </c>
      <c r="E67" s="2097" t="s">
        <v>1278</v>
      </c>
      <c r="F67" s="2102"/>
      <c r="G67" s="2020"/>
      <c r="H67" s="2021"/>
      <c r="I67" s="2020"/>
      <c r="J67" s="2103"/>
      <c r="K67" s="2026"/>
      <c r="L67" s="1936"/>
      <c r="M67" s="369"/>
      <c r="O67" s="2110">
        <v>3</v>
      </c>
      <c r="P67" s="1882" t="s">
        <v>1207</v>
      </c>
      <c r="Q67" s="1883"/>
      <c r="R67" s="1884"/>
    </row>
    <row r="68" spans="1:22" s="1992" customFormat="1" ht="15" customHeight="1">
      <c r="A68" s="1936"/>
      <c r="B68" s="2017"/>
      <c r="C68" s="2143"/>
      <c r="D68" s="2136" t="s">
        <v>763</v>
      </c>
      <c r="E68" s="2097" t="s">
        <v>1279</v>
      </c>
      <c r="F68" s="2102"/>
      <c r="G68" s="2020"/>
      <c r="H68" s="2021"/>
      <c r="I68" s="2020"/>
      <c r="J68" s="2103"/>
      <c r="K68" s="2026"/>
      <c r="L68" s="1936"/>
      <c r="M68" s="369"/>
      <c r="O68" s="2110">
        <v>4</v>
      </c>
      <c r="P68" s="1882" t="s">
        <v>1282</v>
      </c>
      <c r="Q68" s="1883"/>
      <c r="R68" s="1884"/>
    </row>
    <row r="69" spans="1:22" s="1992" customFormat="1" ht="15" customHeight="1" thickBot="1">
      <c r="A69" s="1936"/>
      <c r="B69" s="2027"/>
      <c r="C69" s="2144"/>
      <c r="D69" s="2137"/>
      <c r="E69" s="2028" t="s">
        <v>1280</v>
      </c>
      <c r="F69" s="2104"/>
      <c r="G69" s="2029"/>
      <c r="H69" s="2030"/>
      <c r="I69" s="2029"/>
      <c r="J69" s="2105"/>
      <c r="K69" s="2031"/>
      <c r="L69" s="1936"/>
      <c r="M69" s="369"/>
      <c r="O69" s="2110">
        <v>5</v>
      </c>
      <c r="P69" s="1882" t="s">
        <v>1283</v>
      </c>
      <c r="Q69" s="1883"/>
      <c r="R69" s="1884"/>
    </row>
    <row r="70" spans="1:22" ht="5.0999999999999996" customHeight="1" thickBot="1">
      <c r="A70" s="1936"/>
      <c r="B70" s="1936"/>
      <c r="C70" s="23"/>
      <c r="D70" s="23"/>
      <c r="E70" s="1936"/>
      <c r="F70" s="1936"/>
      <c r="G70" s="23"/>
      <c r="H70" s="1936"/>
      <c r="I70" s="1936"/>
      <c r="J70" s="1936"/>
      <c r="K70" s="1936"/>
      <c r="L70" s="1936"/>
      <c r="M70" s="369"/>
    </row>
    <row r="71" spans="1:22" ht="15" customHeight="1" thickBot="1">
      <c r="A71" s="1936"/>
      <c r="B71" s="1937" t="s">
        <v>1168</v>
      </c>
      <c r="C71" s="1971"/>
      <c r="D71" s="1971"/>
      <c r="E71" s="1971"/>
      <c r="F71" s="1971"/>
      <c r="G71" s="1971"/>
      <c r="H71" s="1971"/>
      <c r="I71" s="1971"/>
      <c r="J71" s="1971"/>
      <c r="K71" s="1972"/>
      <c r="L71" s="1936"/>
      <c r="M71" s="369"/>
      <c r="O71" s="1979" t="s">
        <v>472</v>
      </c>
      <c r="P71" s="1876">
        <f>IF(D54=N14,5,IF(R55&gt;=2,5,IF(R55=1,4,3)))</f>
        <v>4</v>
      </c>
    </row>
    <row r="72" spans="1:22" ht="15" customHeight="1">
      <c r="A72" s="1936"/>
      <c r="B72" s="1973"/>
      <c r="C72" s="1944"/>
      <c r="D72" s="1944"/>
      <c r="E72" s="1944"/>
      <c r="F72" s="2048" t="s">
        <v>1292</v>
      </c>
      <c r="G72" s="2049"/>
      <c r="H72" s="2049"/>
      <c r="I72" s="2050"/>
      <c r="J72" s="2212" t="s">
        <v>1350</v>
      </c>
      <c r="K72" s="2213"/>
      <c r="L72" s="1936"/>
      <c r="M72" s="369"/>
      <c r="O72" s="354" t="s">
        <v>444</v>
      </c>
      <c r="P72" s="1347" t="e">
        <f>IF(I78&lt;=0,1,IF(I78&lt;=0.5,0.8,IF(I78&lt;=0.75,0.6,IF(I78&lt;=1,0.4,0.2))))</f>
        <v>#VALUE!</v>
      </c>
    </row>
    <row r="73" spans="1:22" ht="15" customHeight="1">
      <c r="A73" s="1936"/>
      <c r="B73" s="2231" t="e">
        <f>IF(I78&lt;=0,M73,M74)</f>
        <v>#VALUE!</v>
      </c>
      <c r="C73" s="2232"/>
      <c r="D73" s="2232"/>
      <c r="E73" s="2233"/>
      <c r="F73" s="2051"/>
      <c r="G73" s="1995"/>
      <c r="H73" s="1995"/>
      <c r="I73" s="2037" t="s">
        <v>472</v>
      </c>
      <c r="J73" s="2185" t="s">
        <v>258</v>
      </c>
      <c r="K73" s="2038"/>
      <c r="L73" s="1936"/>
      <c r="M73" s="369" t="s">
        <v>1293</v>
      </c>
      <c r="O73" s="354" t="s">
        <v>134</v>
      </c>
      <c r="P73" s="757" t="e">
        <f>1-P72</f>
        <v>#VALUE!</v>
      </c>
    </row>
    <row r="74" spans="1:22" ht="15" customHeight="1">
      <c r="A74" s="1936"/>
      <c r="B74" s="2231"/>
      <c r="C74" s="2232"/>
      <c r="D74" s="2232"/>
      <c r="E74" s="2233"/>
      <c r="F74" s="2052" t="s">
        <v>1288</v>
      </c>
      <c r="G74" s="2039"/>
      <c r="H74" s="2040" t="s">
        <v>1325</v>
      </c>
      <c r="I74" s="1962" t="e">
        <f>CO2計算!M78</f>
        <v>#VALUE!</v>
      </c>
      <c r="J74" s="1975">
        <f>CO2計算!P78</f>
        <v>6.13</v>
      </c>
      <c r="K74" s="1956"/>
      <c r="L74" s="1936"/>
      <c r="M74" s="369" t="s">
        <v>1294</v>
      </c>
      <c r="O74" s="1979" t="s">
        <v>1178</v>
      </c>
      <c r="P74" s="1869"/>
    </row>
    <row r="75" spans="1:22" ht="15" customHeight="1">
      <c r="A75" s="1936"/>
      <c r="B75" s="2231"/>
      <c r="C75" s="2232"/>
      <c r="D75" s="2232"/>
      <c r="E75" s="2233"/>
      <c r="F75" s="2052" t="s">
        <v>1289</v>
      </c>
      <c r="G75" s="2039"/>
      <c r="H75" s="2040" t="s">
        <v>1326</v>
      </c>
      <c r="I75" s="1962" t="e">
        <f>CO2計算!M79</f>
        <v>#DIV/0!</v>
      </c>
      <c r="J75" s="1975">
        <f>CO2計算!P79</f>
        <v>2.37</v>
      </c>
      <c r="K75" s="1956"/>
      <c r="L75" s="1936"/>
      <c r="M75" s="369"/>
      <c r="O75" s="1873" t="s">
        <v>1180</v>
      </c>
      <c r="P75" s="1874" t="s">
        <v>1181</v>
      </c>
      <c r="Q75" s="1875">
        <f>F62-P62</f>
        <v>51971</v>
      </c>
      <c r="V75" s="1869"/>
    </row>
    <row r="76" spans="1:22" ht="15" customHeight="1">
      <c r="A76" s="1936"/>
      <c r="B76" s="2231"/>
      <c r="C76" s="2232"/>
      <c r="D76" s="2232"/>
      <c r="E76" s="2233"/>
      <c r="F76" s="2052" t="s">
        <v>1290</v>
      </c>
      <c r="G76" s="2039"/>
      <c r="H76" s="2040" t="s">
        <v>1346</v>
      </c>
      <c r="I76" s="1962" t="e">
        <f>CO2計算!M80</f>
        <v>#VALUE!</v>
      </c>
      <c r="J76" s="1975" t="e">
        <f>CO2計算!P80</f>
        <v>#VALUE!</v>
      </c>
      <c r="K76" s="1956"/>
      <c r="L76" s="1936"/>
      <c r="M76" s="369"/>
      <c r="O76" s="1873" t="s">
        <v>1184</v>
      </c>
      <c r="P76" s="1874" t="s">
        <v>1185</v>
      </c>
      <c r="Q76" s="1875">
        <f>J63</f>
        <v>0</v>
      </c>
    </row>
    <row r="77" spans="1:22" ht="15" customHeight="1" thickBot="1">
      <c r="A77" s="1936"/>
      <c r="B77" s="2231"/>
      <c r="C77" s="2232"/>
      <c r="D77" s="2232"/>
      <c r="E77" s="2233"/>
      <c r="F77" s="2053" t="s">
        <v>1238</v>
      </c>
      <c r="G77" s="2041"/>
      <c r="H77" s="2042" t="s">
        <v>1351</v>
      </c>
      <c r="I77" s="2060" t="e">
        <f>"(d1)  "&amp;ROUND(CO2計算!M81,2)</f>
        <v>#VALUE!</v>
      </c>
      <c r="J77" s="2061" t="e">
        <f>"(d2)  "&amp;ROUND(CO2計算!P81,2)</f>
        <v>#VALUE!</v>
      </c>
      <c r="K77" s="2008"/>
      <c r="L77" s="1936"/>
      <c r="M77" s="369"/>
      <c r="O77" s="1873" t="s">
        <v>1197</v>
      </c>
      <c r="P77" s="1874" t="s">
        <v>1188</v>
      </c>
      <c r="Q77" s="1875">
        <f>F63-P62-J62</f>
        <v>40000</v>
      </c>
    </row>
    <row r="78" spans="1:22" ht="15" customHeight="1" thickBot="1">
      <c r="A78" s="1936"/>
      <c r="B78" s="1976"/>
      <c r="C78" s="1970"/>
      <c r="D78" s="1970"/>
      <c r="E78" s="1970"/>
      <c r="F78" s="2054" t="s">
        <v>1291</v>
      </c>
      <c r="G78" s="2043"/>
      <c r="H78" s="2044" t="s">
        <v>1352</v>
      </c>
      <c r="I78" s="2045" t="e">
        <f>ROUNDUP(CO2計算!M81/CO2計算!P81,2)</f>
        <v>#VALUE!</v>
      </c>
      <c r="J78" s="2046">
        <v>1</v>
      </c>
      <c r="K78" s="2047"/>
      <c r="L78" s="1936"/>
      <c r="M78" s="369"/>
      <c r="O78" s="1873" t="s">
        <v>1190</v>
      </c>
      <c r="P78" s="1874" t="s">
        <v>1191</v>
      </c>
      <c r="Q78" s="1875">
        <f>J64</f>
        <v>32879</v>
      </c>
    </row>
    <row r="79" spans="1:22">
      <c r="A79" s="1936"/>
      <c r="B79" s="23"/>
      <c r="C79" s="23"/>
      <c r="D79" s="23"/>
      <c r="E79" s="23"/>
      <c r="F79" s="23"/>
      <c r="G79" s="23"/>
      <c r="H79" s="23"/>
      <c r="I79" s="23"/>
      <c r="J79" s="23"/>
      <c r="K79" s="23"/>
      <c r="L79" s="23"/>
      <c r="M79" s="369"/>
      <c r="O79" s="1873" t="s">
        <v>1193</v>
      </c>
      <c r="P79" s="1874" t="s">
        <v>1194</v>
      </c>
      <c r="Q79" s="1875">
        <f>Q75-Q77</f>
        <v>11971</v>
      </c>
    </row>
    <row r="80" spans="1:22" hidden="1">
      <c r="A80" s="1921"/>
      <c r="B80" s="1921"/>
      <c r="C80" s="1921"/>
      <c r="D80" s="1921"/>
      <c r="E80" s="1921"/>
      <c r="F80" s="1921"/>
      <c r="G80" s="1921"/>
      <c r="H80" s="1921"/>
      <c r="I80" s="1921"/>
      <c r="J80" s="1921"/>
      <c r="K80" s="1921"/>
      <c r="L80" s="1921"/>
      <c r="M80" s="369"/>
      <c r="O80" s="1873" t="s">
        <v>1195</v>
      </c>
      <c r="P80" s="1874" t="s">
        <v>1196</v>
      </c>
      <c r="Q80" s="1875">
        <f>Q79+Q78</f>
        <v>44850</v>
      </c>
    </row>
    <row r="81" spans="1:18" hidden="1">
      <c r="A81" s="1921"/>
      <c r="B81" s="1921"/>
      <c r="C81" s="1921"/>
      <c r="D81" s="1921"/>
      <c r="E81" s="1921"/>
      <c r="F81" s="1921"/>
      <c r="H81" s="1921"/>
      <c r="I81" s="1921"/>
      <c r="J81" s="1921"/>
      <c r="K81" s="1921"/>
      <c r="L81" s="1921"/>
      <c r="M81" s="369"/>
    </row>
    <row r="82" spans="1:18" hidden="1">
      <c r="A82" s="1921"/>
      <c r="B82" s="1921"/>
      <c r="E82" s="1921"/>
      <c r="F82" s="1921"/>
      <c r="G82" s="1921"/>
      <c r="H82" s="1921"/>
      <c r="I82" s="1921"/>
      <c r="J82" s="1921"/>
      <c r="K82" s="1921"/>
      <c r="L82" s="1921"/>
      <c r="M82" s="369"/>
      <c r="R82" s="1872" t="s">
        <v>1179</v>
      </c>
    </row>
    <row r="83" spans="1:18" hidden="1">
      <c r="A83" s="1921"/>
      <c r="B83" s="1921"/>
      <c r="C83" s="1921"/>
      <c r="H83" s="1921"/>
      <c r="I83" s="1921"/>
      <c r="J83" s="1921"/>
      <c r="K83" s="1921"/>
      <c r="L83" s="1921"/>
      <c r="M83" s="369"/>
      <c r="O83" s="1029" t="s">
        <v>1182</v>
      </c>
      <c r="P83" s="1029">
        <f>Q80/Q75</f>
        <v>0.86298127802043445</v>
      </c>
      <c r="Q83" s="1029" t="s">
        <v>1183</v>
      </c>
      <c r="R83" s="1874" t="str">
        <f>IF(P83&gt;=1,P14,P15)</f>
        <v>NG</v>
      </c>
    </row>
    <row r="84" spans="1:18" hidden="1">
      <c r="A84" s="1921"/>
      <c r="B84" s="1921"/>
      <c r="C84" s="1921"/>
      <c r="H84" s="1921"/>
      <c r="I84" s="1921"/>
      <c r="J84" s="1921"/>
      <c r="K84" s="1921"/>
      <c r="L84" s="1921"/>
      <c r="M84" s="369"/>
      <c r="O84" s="1029" t="s">
        <v>1186</v>
      </c>
      <c r="P84" s="1029">
        <f>Q79/Q75</f>
        <v>0.23033999730618998</v>
      </c>
      <c r="Q84" s="1029" t="s">
        <v>1187</v>
      </c>
      <c r="R84" s="1874" t="str">
        <f>IF(P84&gt;=0.2,P14,P15)</f>
        <v>OK</v>
      </c>
    </row>
    <row r="85" spans="1:18" hidden="1">
      <c r="A85" s="1921"/>
      <c r="B85" s="1921"/>
      <c r="C85" s="1921"/>
      <c r="H85" s="1921"/>
      <c r="I85" s="1921"/>
      <c r="J85" s="1921"/>
      <c r="K85" s="1921"/>
      <c r="L85" s="1921"/>
      <c r="M85" s="369"/>
      <c r="R85" s="1869" t="s">
        <v>1189</v>
      </c>
    </row>
    <row r="86" spans="1:18" hidden="1">
      <c r="M86" s="369"/>
      <c r="Q86" s="1886" t="s">
        <v>1192</v>
      </c>
      <c r="R86" s="1874" t="str">
        <f>IF(AND(R83=P14,R84=P14),P14,P15)</f>
        <v>NG</v>
      </c>
    </row>
    <row r="87" spans="1:18" hidden="1">
      <c r="B87" s="1931" t="s">
        <v>1239</v>
      </c>
      <c r="C87" s="1922"/>
      <c r="D87" s="1932" t="e">
        <f>IF(AND(F88=P14,F89=P14,F90=P14),P14,P15)</f>
        <v>#N/A</v>
      </c>
      <c r="E87" s="1922"/>
      <c r="F87" s="1922"/>
      <c r="M87" s="369"/>
    </row>
    <row r="88" spans="1:18" hidden="1">
      <c r="B88" s="1926"/>
      <c r="C88" s="1925" t="s">
        <v>1162</v>
      </c>
      <c r="D88" s="1925" t="str">
        <f>G8&amp;"＝"&amp;H8</f>
        <v>U値＝0.5</v>
      </c>
      <c r="E88" s="1925" t="str">
        <f>G9&amp;"＝"&amp;H9</f>
        <v>ηAC値＝2.8</v>
      </c>
      <c r="F88" s="1929" t="e">
        <f>IF(AND(M8=P14,M9=P14),P14,P15)</f>
        <v>#N/A</v>
      </c>
      <c r="M88" s="369"/>
    </row>
    <row r="89" spans="1:18" hidden="1">
      <c r="B89" s="1926"/>
      <c r="C89" s="1925" t="s">
        <v>1163</v>
      </c>
      <c r="D89" s="1925"/>
      <c r="E89" s="1927">
        <f>P84</f>
        <v>0.23033999730618998</v>
      </c>
      <c r="F89" s="1929" t="str">
        <f>R83</f>
        <v>NG</v>
      </c>
      <c r="M89" s="369"/>
    </row>
    <row r="90" spans="1:18" ht="14.25" hidden="1" thickBot="1">
      <c r="B90" s="1923"/>
      <c r="C90" s="1924" t="s">
        <v>1164</v>
      </c>
      <c r="D90" s="1924"/>
      <c r="E90" s="1928">
        <f>P83</f>
        <v>0.86298127802043445</v>
      </c>
      <c r="F90" s="1930" t="str">
        <f>R84</f>
        <v>OK</v>
      </c>
      <c r="M90" s="369"/>
    </row>
    <row r="91" spans="1:18" hidden="1">
      <c r="M91" s="369"/>
    </row>
    <row r="92" spans="1:18" hidden="1">
      <c r="M92" s="369"/>
    </row>
    <row r="93" spans="1:18" hidden="1">
      <c r="M93" s="369"/>
    </row>
    <row r="94" spans="1:18">
      <c r="M94" s="369"/>
    </row>
    <row r="95" spans="1:18">
      <c r="M95" s="369"/>
    </row>
    <row r="96" spans="1:18">
      <c r="M96" s="369"/>
    </row>
    <row r="97" spans="13:13">
      <c r="M97" s="369"/>
    </row>
    <row r="98" spans="13:13">
      <c r="M98" s="369"/>
    </row>
    <row r="99" spans="13:13">
      <c r="M99" s="369"/>
    </row>
  </sheetData>
  <sortState ref="O23:R26">
    <sortCondition descending="1" ref="O46"/>
  </sortState>
  <mergeCells count="18">
    <mergeCell ref="B73:E77"/>
    <mergeCell ref="E66:K66"/>
    <mergeCell ref="D6:F6"/>
    <mergeCell ref="D7:F7"/>
    <mergeCell ref="I7:J7"/>
    <mergeCell ref="I12:J12"/>
    <mergeCell ref="J72:K72"/>
    <mergeCell ref="E58:J58"/>
    <mergeCell ref="E59:J59"/>
    <mergeCell ref="E47:I47"/>
    <mergeCell ref="E52:F52"/>
    <mergeCell ref="E53:F53"/>
    <mergeCell ref="E50:I50"/>
    <mergeCell ref="E55:K55"/>
    <mergeCell ref="C24:D24"/>
    <mergeCell ref="H25:K25"/>
    <mergeCell ref="H26:K26"/>
    <mergeCell ref="H27:K27"/>
  </mergeCells>
  <phoneticPr fontId="4"/>
  <conditionalFormatting sqref="H11">
    <cfRule type="cellIs" dxfId="184" priority="11" stopIfTrue="1" operator="equal">
      <formula>0</formula>
    </cfRule>
  </conditionalFormatting>
  <conditionalFormatting sqref="D18:K21 D55:K59">
    <cfRule type="expression" dxfId="183" priority="10">
      <formula>$D$16=$N$14</formula>
    </cfRule>
  </conditionalFormatting>
  <conditionalFormatting sqref="D51:K51">
    <cfRule type="expression" dxfId="182" priority="9">
      <formula>$C$51=$P$52</formula>
    </cfRule>
  </conditionalFormatting>
  <conditionalFormatting sqref="D52:K53">
    <cfRule type="expression" dxfId="181" priority="8">
      <formula>$C$51=$P$51</formula>
    </cfRule>
  </conditionalFormatting>
  <conditionalFormatting sqref="E25:E27">
    <cfRule type="expression" dxfId="180" priority="7">
      <formula>OR($N$25&gt;1,$N$25&lt;1)</formula>
    </cfRule>
  </conditionalFormatting>
  <conditionalFormatting sqref="F25">
    <cfRule type="expression" dxfId="179" priority="6">
      <formula>$E$25=0</formula>
    </cfRule>
  </conditionalFormatting>
  <conditionalFormatting sqref="F26">
    <cfRule type="expression" dxfId="178" priority="5">
      <formula>$E$26=0</formula>
    </cfRule>
  </conditionalFormatting>
  <conditionalFormatting sqref="F27">
    <cfRule type="expression" dxfId="177" priority="4">
      <formula>$E$27=0</formula>
    </cfRule>
  </conditionalFormatting>
  <conditionalFormatting sqref="G25">
    <cfRule type="expression" dxfId="176" priority="3">
      <formula>$E$25=0</formula>
    </cfRule>
  </conditionalFormatting>
  <conditionalFormatting sqref="G26">
    <cfRule type="expression" dxfId="175" priority="2">
      <formula>$E$26=0</formula>
    </cfRule>
  </conditionalFormatting>
  <conditionalFormatting sqref="G27">
    <cfRule type="expression" dxfId="174" priority="1">
      <formula>$E$27=0</formula>
    </cfRule>
  </conditionalFormatting>
  <dataValidations count="10">
    <dataValidation type="list" allowBlank="1" showInputMessage="1" showErrorMessage="1" sqref="N12">
      <formula1>$P$2:$P$12</formula1>
    </dataValidation>
    <dataValidation type="list" allowBlank="1" showInputMessage="1" showErrorMessage="1" sqref="D8">
      <formula1>$N$2:$N$9</formula1>
    </dataValidation>
    <dataValidation type="list" allowBlank="1" showInputMessage="1" showErrorMessage="1" sqref="F25">
      <formula1>$D$29:$D$34</formula1>
    </dataValidation>
    <dataValidation type="list" allowBlank="1" showInputMessage="1" showErrorMessage="1" sqref="F27">
      <formula1>$D$41:$D$44</formula1>
    </dataValidation>
    <dataValidation type="list" allowBlank="1" showInputMessage="1" showErrorMessage="1" sqref="F26">
      <formula1>$D$36:$D$39</formula1>
    </dataValidation>
    <dataValidation allowBlank="1" showInputMessage="1" sqref="D46 D49"/>
    <dataValidation type="list" allowBlank="1" showInputMessage="1" showErrorMessage="1" sqref="D67:D69 F48 H48 J48 D16 F51 H51:H53 D56:D59 J52:J53">
      <formula1>$N$14:$O$14</formula1>
    </dataValidation>
    <dataValidation type="list" allowBlank="1" showInputMessage="1" showErrorMessage="1" sqref="C51">
      <formula1>$P$51:$P$52</formula1>
    </dataValidation>
    <dataValidation type="list" showInputMessage="1" showErrorMessage="1" sqref="E47 E50">
      <formula1>$O$24:$O$27</formula1>
    </dataValidation>
    <dataValidation type="list" allowBlank="1" showInputMessage="1" sqref="D18">
      <formula1>$Q$19:$Q$21</formula1>
    </dataValidation>
  </dataValidations>
  <pageMargins left="0.7" right="0.7" top="0.75" bottom="0.75" header="0.3" footer="0.3"/>
  <pageSetup paperSize="9" scale="83"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U80"/>
  <sheetViews>
    <sheetView showGridLines="0" zoomScaleNormal="100" workbookViewId="0">
      <selection activeCell="C22" sqref="C22"/>
    </sheetView>
  </sheetViews>
  <sheetFormatPr defaultColWidth="0" defaultRowHeight="0" customHeight="1" zeroHeight="1"/>
  <cols>
    <col min="1" max="1" width="1.75" style="23" customWidth="1"/>
    <col min="2" max="2" width="26.125" style="23" customWidth="1"/>
    <col min="3" max="3" width="19.25" style="23" customWidth="1"/>
    <col min="4" max="4" width="18.375" style="23" customWidth="1"/>
    <col min="5" max="5" width="17.5" style="23" customWidth="1"/>
    <col min="6" max="6" width="3" style="23" customWidth="1"/>
    <col min="7" max="7" width="19.25" style="23" hidden="1" customWidth="1"/>
    <col min="8" max="8" width="5.625" style="23" hidden="1" customWidth="1"/>
    <col min="9" max="9" width="26.75" style="23" hidden="1" customWidth="1"/>
    <col min="10" max="10" width="29.5" style="23" hidden="1" customWidth="1"/>
    <col min="11" max="11" width="1.25" style="23" hidden="1" customWidth="1"/>
    <col min="12" max="12" width="1.625" style="12" hidden="1" customWidth="1"/>
    <col min="13" max="13" width="8" style="328" hidden="1" customWidth="1"/>
    <col min="14" max="14" width="11.375" style="328" hidden="1" customWidth="1"/>
    <col min="15" max="22" width="9.125" style="12" hidden="1" customWidth="1"/>
    <col min="23" max="250" width="8.875" style="12" hidden="1" customWidth="1"/>
    <col min="251" max="255" width="9" style="12" hidden="1" customWidth="1"/>
    <col min="256" max="16384" width="5.125" style="12" hidden="1"/>
  </cols>
  <sheetData>
    <row r="1" spans="1:17" ht="14.25" customHeight="1">
      <c r="A1" s="10"/>
      <c r="B1" s="27"/>
      <c r="C1" s="10"/>
      <c r="D1" s="10"/>
      <c r="E1" s="10"/>
      <c r="F1" s="10"/>
      <c r="G1" s="10"/>
      <c r="H1" s="10"/>
      <c r="I1" s="10"/>
      <c r="J1" s="11"/>
      <c r="K1" s="10"/>
      <c r="M1" s="14"/>
      <c r="N1" s="14"/>
      <c r="O1" s="14"/>
    </row>
    <row r="2" spans="1:17" ht="14.25" customHeight="1">
      <c r="A2" s="10"/>
      <c r="B2" s="871"/>
      <c r="C2" s="871"/>
      <c r="D2" s="871"/>
      <c r="E2" s="872"/>
      <c r="F2" s="10"/>
      <c r="G2" s="865"/>
      <c r="H2" s="866"/>
      <c r="I2" s="12"/>
      <c r="J2" s="12"/>
      <c r="K2" s="10"/>
      <c r="O2" s="328"/>
    </row>
    <row r="3" spans="1:17" ht="32.25" customHeight="1">
      <c r="A3" s="10"/>
      <c r="B3" s="873"/>
      <c r="C3" s="873"/>
      <c r="D3" s="873"/>
      <c r="E3" s="959"/>
      <c r="F3" s="10"/>
      <c r="G3" s="865"/>
      <c r="H3" s="866"/>
      <c r="I3" s="12"/>
      <c r="J3" s="12"/>
      <c r="K3" s="10"/>
      <c r="O3" s="328"/>
    </row>
    <row r="4" spans="1:17" s="13" customFormat="1" ht="30" customHeight="1">
      <c r="A4" s="8"/>
      <c r="B4" s="964" t="s">
        <v>1017</v>
      </c>
      <c r="C4" s="965"/>
      <c r="D4" s="965"/>
      <c r="E4" s="966"/>
      <c r="F4" s="10"/>
      <c r="G4" s="865"/>
      <c r="H4" s="866"/>
      <c r="I4" s="12"/>
      <c r="J4"/>
      <c r="K4" s="10"/>
      <c r="L4" s="12"/>
      <c r="M4" s="401"/>
      <c r="O4" s="401"/>
    </row>
    <row r="5" spans="1:17" s="13" customFormat="1" ht="14.25" customHeight="1">
      <c r="A5" s="8"/>
      <c r="B5" s="963" t="s">
        <v>207</v>
      </c>
      <c r="C5" s="877" t="s">
        <v>1247</v>
      </c>
      <c r="D5" s="876"/>
      <c r="E5" s="874"/>
      <c r="F5" s="10"/>
      <c r="G5" s="865"/>
      <c r="H5" s="866"/>
      <c r="I5" s="12"/>
      <c r="J5" s="12"/>
      <c r="K5" s="10"/>
      <c r="L5" s="12"/>
      <c r="M5" s="401"/>
      <c r="N5" s="401"/>
      <c r="O5" s="401"/>
    </row>
    <row r="6" spans="1:17" s="13" customFormat="1" ht="14.25" customHeight="1">
      <c r="A6" s="8"/>
      <c r="B6" s="875" t="s">
        <v>107</v>
      </c>
      <c r="C6" s="876" t="s">
        <v>1248</v>
      </c>
      <c r="D6" s="877"/>
      <c r="E6" s="874"/>
      <c r="F6" s="10"/>
      <c r="G6" s="865"/>
      <c r="H6" s="866"/>
      <c r="I6" s="12"/>
      <c r="J6" s="12"/>
      <c r="K6" s="10"/>
      <c r="L6" s="12"/>
      <c r="M6" s="401"/>
      <c r="N6" s="401"/>
      <c r="O6" s="401"/>
    </row>
    <row r="7" spans="1:17" s="13" customFormat="1" ht="9" customHeight="1" thickBot="1">
      <c r="A7" s="8"/>
      <c r="B7" s="58"/>
      <c r="C7" s="58"/>
      <c r="D7" s="58"/>
      <c r="E7" s="58"/>
      <c r="F7" s="10"/>
      <c r="G7" s="865"/>
      <c r="H7" s="866"/>
      <c r="I7" s="12"/>
      <c r="J7" s="12"/>
      <c r="K7" s="58"/>
      <c r="L7" s="12"/>
      <c r="M7" s="401"/>
      <c r="N7" s="401"/>
      <c r="O7" s="401"/>
    </row>
    <row r="8" spans="1:17" s="13" customFormat="1" ht="17.25" customHeight="1">
      <c r="A8" s="8"/>
      <c r="B8" s="1033" t="s">
        <v>524</v>
      </c>
      <c r="C8" s="1034"/>
      <c r="D8" s="1034"/>
      <c r="E8" s="1035"/>
      <c r="F8" s="10"/>
      <c r="G8" s="103" t="s">
        <v>229</v>
      </c>
      <c r="H8" s="104"/>
      <c r="I8" s="105"/>
      <c r="J8" s="106"/>
      <c r="K8" s="10"/>
      <c r="L8" s="12"/>
      <c r="M8" s="402"/>
      <c r="N8" s="403" t="s">
        <v>536</v>
      </c>
      <c r="O8" s="402" t="s">
        <v>950</v>
      </c>
    </row>
    <row r="9" spans="1:17" s="13" customFormat="1" ht="17.25" customHeight="1" thickBot="1">
      <c r="A9" s="8"/>
      <c r="B9" s="107" t="s">
        <v>63</v>
      </c>
      <c r="C9" s="108"/>
      <c r="D9" s="109"/>
      <c r="E9" s="109"/>
      <c r="F9" s="110"/>
      <c r="G9" s="111" t="s">
        <v>898</v>
      </c>
      <c r="H9" s="112" t="s">
        <v>76</v>
      </c>
      <c r="I9" s="112" t="s">
        <v>77</v>
      </c>
      <c r="J9" s="113"/>
      <c r="K9" s="10"/>
      <c r="L9" s="12"/>
      <c r="M9" s="404" t="s">
        <v>551</v>
      </c>
      <c r="N9" s="1399">
        <v>1</v>
      </c>
      <c r="O9" s="404"/>
      <c r="P9" s="1400">
        <f>IF($H$10=M9,$I$10,0)+IF($H$12=M9,$I$12,0)+IF($H$13=M9,$I$13,0)+IF($H$14=M9,$I$14,0)</f>
        <v>0</v>
      </c>
      <c r="Q9" s="13" t="s">
        <v>89</v>
      </c>
    </row>
    <row r="10" spans="1:17" s="13" customFormat="1" ht="17.25" customHeight="1">
      <c r="A10" s="10"/>
      <c r="B10" s="975" t="s">
        <v>78</v>
      </c>
      <c r="C10" s="1" t="s">
        <v>1322</v>
      </c>
      <c r="D10" s="878"/>
      <c r="E10" s="116"/>
      <c r="F10" s="114"/>
      <c r="G10" s="115" t="s">
        <v>550</v>
      </c>
      <c r="H10" s="749" t="s">
        <v>551</v>
      </c>
      <c r="I10" s="317">
        <f>C22</f>
        <v>0</v>
      </c>
      <c r="J10" s="116" t="s">
        <v>80</v>
      </c>
      <c r="K10" s="10"/>
      <c r="L10" s="12"/>
      <c r="M10" s="470" t="s">
        <v>79</v>
      </c>
      <c r="N10" s="471">
        <f>IF($H$10=M10,$I$10,0)+IF($H$12=M10,$I$12,0)+IF($H$13=M10,$I$13,0)+IF($H$14=M10,$I$14,0)</f>
        <v>0</v>
      </c>
      <c r="O10" s="404"/>
    </row>
    <row r="11" spans="1:17" s="13" customFormat="1" ht="14.25" hidden="1" customHeight="1">
      <c r="A11" s="10"/>
      <c r="B11" s="976" t="s">
        <v>549</v>
      </c>
      <c r="C11" s="15"/>
      <c r="D11" s="864"/>
      <c r="E11" s="120"/>
      <c r="F11" s="114"/>
      <c r="G11" s="176"/>
      <c r="H11" s="749"/>
      <c r="I11" s="317"/>
      <c r="J11" s="116"/>
      <c r="K11" s="10"/>
      <c r="L11" s="12"/>
      <c r="M11" s="470"/>
      <c r="N11" s="471"/>
      <c r="O11" s="404"/>
    </row>
    <row r="12" spans="1:17" ht="17.25" customHeight="1">
      <c r="A12" s="10"/>
      <c r="B12" s="976" t="s">
        <v>125</v>
      </c>
      <c r="C12" s="868" t="s">
        <v>1318</v>
      </c>
      <c r="D12" s="864"/>
      <c r="E12" s="967"/>
      <c r="F12" s="117"/>
      <c r="G12" s="176"/>
      <c r="H12" s="749"/>
      <c r="I12" s="317"/>
      <c r="J12" s="116" t="s">
        <v>80</v>
      </c>
      <c r="K12" s="10"/>
      <c r="M12" s="470" t="s">
        <v>81</v>
      </c>
      <c r="N12" s="471">
        <f t="shared" ref="N12:N19" si="0">IF($H$10=M12,$I$10,0)+IF($H$12=M12,$I$12,0)+IF($H$13=M12,$I$13,0)+IF($H$14=M12,$I$14,0)</f>
        <v>0</v>
      </c>
      <c r="O12" s="404"/>
    </row>
    <row r="13" spans="1:17" ht="17.25" customHeight="1">
      <c r="A13" s="10"/>
      <c r="B13" s="976" t="s">
        <v>547</v>
      </c>
      <c r="C13" s="2234"/>
      <c r="D13" s="2235"/>
      <c r="E13" s="2244"/>
      <c r="F13" s="118"/>
      <c r="G13" s="176"/>
      <c r="H13" s="749"/>
      <c r="I13" s="317"/>
      <c r="J13" s="116" t="s">
        <v>80</v>
      </c>
      <c r="K13" s="10"/>
      <c r="M13" s="470" t="s">
        <v>82</v>
      </c>
      <c r="N13" s="471">
        <f t="shared" si="0"/>
        <v>0</v>
      </c>
      <c r="O13" s="404"/>
    </row>
    <row r="14" spans="1:17" s="14" customFormat="1" ht="17.25" customHeight="1">
      <c r="A14" s="10"/>
      <c r="B14" s="976" t="s">
        <v>344</v>
      </c>
      <c r="C14" s="2236"/>
      <c r="D14" s="2237"/>
      <c r="E14" s="2246"/>
      <c r="F14" s="119"/>
      <c r="G14" s="176"/>
      <c r="H14" s="749"/>
      <c r="I14" s="317"/>
      <c r="J14" s="116" t="s">
        <v>80</v>
      </c>
      <c r="K14" s="10"/>
      <c r="L14" s="12"/>
      <c r="M14" s="470" t="s">
        <v>68</v>
      </c>
      <c r="N14" s="471">
        <f t="shared" si="0"/>
        <v>0</v>
      </c>
      <c r="O14" s="404"/>
    </row>
    <row r="15" spans="1:17" ht="17.25" customHeight="1" thickBot="1">
      <c r="A15" s="10"/>
      <c r="B15" s="976" t="s">
        <v>345</v>
      </c>
      <c r="C15" s="869"/>
      <c r="D15" s="864" t="s">
        <v>708</v>
      </c>
      <c r="E15" s="2246"/>
      <c r="F15" s="119"/>
      <c r="G15" s="472" t="s">
        <v>0</v>
      </c>
      <c r="H15" s="473" t="str">
        <f>H10</f>
        <v>戸建住宅</v>
      </c>
      <c r="I15" s="474">
        <f>IF(H10="",0,I10)+IF(H12="",0,I12)+IF(H13="",0,I13)+IF(H14="",0,I14)</f>
        <v>0</v>
      </c>
      <c r="J15" s="475" t="s">
        <v>1</v>
      </c>
      <c r="K15" s="119"/>
      <c r="M15" s="470" t="s">
        <v>963</v>
      </c>
      <c r="N15" s="471">
        <f t="shared" si="0"/>
        <v>0</v>
      </c>
      <c r="O15" s="404">
        <f>N15*I22</f>
        <v>0</v>
      </c>
    </row>
    <row r="16" spans="1:17" ht="17.25" hidden="1" customHeight="1" thickBot="1">
      <c r="A16" s="10"/>
      <c r="B16" s="976" t="s">
        <v>548</v>
      </c>
      <c r="C16" s="728"/>
      <c r="D16" s="864"/>
      <c r="E16" s="2245"/>
      <c r="F16" s="119"/>
      <c r="K16" s="16"/>
      <c r="M16" s="470" t="s">
        <v>228</v>
      </c>
      <c r="N16" s="471">
        <f t="shared" si="0"/>
        <v>0</v>
      </c>
      <c r="O16" s="404">
        <f>N16*I23</f>
        <v>0</v>
      </c>
    </row>
    <row r="17" spans="1:15" ht="17.25" customHeight="1" thickBot="1">
      <c r="A17" s="10"/>
      <c r="B17" s="976" t="s">
        <v>302</v>
      </c>
      <c r="C17" s="2184"/>
      <c r="D17" s="1402" t="str">
        <f>IF(C17=H17,I17,"")</f>
        <v/>
      </c>
      <c r="E17" s="967"/>
      <c r="F17" s="119"/>
      <c r="G17" s="1382" t="s">
        <v>303</v>
      </c>
      <c r="H17" s="1384" t="s">
        <v>917</v>
      </c>
      <c r="I17" s="14" t="s">
        <v>888</v>
      </c>
      <c r="K17" s="16"/>
      <c r="M17" s="470"/>
      <c r="N17" s="471"/>
      <c r="O17" s="404"/>
    </row>
    <row r="18" spans="1:15" ht="17.25" customHeight="1">
      <c r="A18" s="10"/>
      <c r="B18" s="976" t="s">
        <v>357</v>
      </c>
      <c r="C18" s="1"/>
      <c r="D18" s="864"/>
      <c r="E18" s="2244"/>
      <c r="F18" s="57"/>
      <c r="G18" s="1379" t="str">
        <f>電気排出係数!B9</f>
        <v>北海道電力株式会社</v>
      </c>
      <c r="K18" s="16"/>
      <c r="M18" s="501" t="s">
        <v>66</v>
      </c>
      <c r="N18" s="502">
        <f t="shared" si="0"/>
        <v>0</v>
      </c>
      <c r="O18" s="404">
        <f>N18*I24</f>
        <v>0</v>
      </c>
    </row>
    <row r="19" spans="1:15" ht="17.25" customHeight="1">
      <c r="A19" s="10"/>
      <c r="B19" s="976" t="s">
        <v>36</v>
      </c>
      <c r="C19" s="1"/>
      <c r="D19" s="864"/>
      <c r="E19" s="2245"/>
      <c r="F19" s="110"/>
      <c r="G19" s="1380" t="str">
        <f>電気排出係数!B10</f>
        <v>東北電力株式会社</v>
      </c>
      <c r="K19" s="16"/>
      <c r="M19" s="470" t="s">
        <v>69</v>
      </c>
      <c r="N19" s="471">
        <f t="shared" si="0"/>
        <v>0</v>
      </c>
      <c r="O19" s="404"/>
    </row>
    <row r="20" spans="1:15" ht="17.25" customHeight="1">
      <c r="A20" s="10"/>
      <c r="B20" s="976" t="s">
        <v>223</v>
      </c>
      <c r="C20" s="2169"/>
      <c r="D20" s="57" t="s">
        <v>224</v>
      </c>
      <c r="E20" s="967"/>
      <c r="F20" s="110"/>
      <c r="G20" s="1380" t="str">
        <f>電気排出係数!B11</f>
        <v>東京電力ｴﾅｼﾞｰﾊﾟｰﾄﾅｰ株式会社</v>
      </c>
      <c r="K20" s="16"/>
      <c r="M20" s="404" t="s">
        <v>70</v>
      </c>
      <c r="N20" s="405">
        <f>SUM(N9:N19)</f>
        <v>1</v>
      </c>
      <c r="O20" s="404"/>
    </row>
    <row r="21" spans="1:15" ht="17.25" customHeight="1">
      <c r="A21" s="10"/>
      <c r="B21" s="976" t="s">
        <v>64</v>
      </c>
      <c r="C21" s="2169"/>
      <c r="D21" s="57" t="s">
        <v>65</v>
      </c>
      <c r="E21" s="2244"/>
      <c r="F21" s="121"/>
      <c r="G21" s="1380" t="str">
        <f>電気排出係数!B12</f>
        <v>中部電力株式会社</v>
      </c>
      <c r="K21" s="16"/>
      <c r="L21" s="414"/>
      <c r="M21" s="406"/>
      <c r="N21" s="407"/>
      <c r="O21" s="406"/>
    </row>
    <row r="22" spans="1:15" ht="17.25" customHeight="1">
      <c r="A22" s="10"/>
      <c r="B22" s="976" t="s">
        <v>67</v>
      </c>
      <c r="C22" s="2169"/>
      <c r="D22" s="57" t="s">
        <v>224</v>
      </c>
      <c r="E22" s="2245"/>
      <c r="F22" s="122"/>
      <c r="G22" s="1380" t="str">
        <f>電気排出係数!B13</f>
        <v>北陸電力株式会社</v>
      </c>
      <c r="K22" s="10"/>
      <c r="M22" s="729"/>
      <c r="N22" s="895" t="s">
        <v>121</v>
      </c>
      <c r="O22" s="406"/>
    </row>
    <row r="23" spans="1:15" ht="17.25" customHeight="1" thickBot="1">
      <c r="A23" s="10"/>
      <c r="B23" s="976" t="s">
        <v>346</v>
      </c>
      <c r="C23" s="29"/>
      <c r="D23" s="864"/>
      <c r="E23" s="967"/>
      <c r="F23" s="123"/>
      <c r="G23" s="1380" t="str">
        <f>電気排出係数!B14</f>
        <v>関西電力株式会社</v>
      </c>
      <c r="K23" s="10"/>
      <c r="M23" s="729"/>
      <c r="N23" s="895" t="s">
        <v>122</v>
      </c>
      <c r="O23" s="406"/>
    </row>
    <row r="24" spans="1:15" ht="17.25" customHeight="1" thickBot="1">
      <c r="A24" s="10"/>
      <c r="B24" s="127" t="s">
        <v>905</v>
      </c>
      <c r="C24" s="128"/>
      <c r="D24" s="128"/>
      <c r="E24" s="129"/>
      <c r="F24" s="124"/>
      <c r="G24" s="1380" t="str">
        <f>電気排出係数!B15</f>
        <v>中国電力株式会社</v>
      </c>
      <c r="K24" s="10"/>
      <c r="M24" s="729"/>
      <c r="N24" s="895" t="s">
        <v>123</v>
      </c>
      <c r="O24" s="406"/>
    </row>
    <row r="25" spans="1:15" s="19" customFormat="1" ht="18" customHeight="1">
      <c r="A25" s="10"/>
      <c r="B25" s="976" t="s">
        <v>261</v>
      </c>
      <c r="C25" s="867"/>
      <c r="D25" s="864"/>
      <c r="E25" s="116"/>
      <c r="F25" s="124"/>
      <c r="G25" s="1380" t="str">
        <f>電気排出係数!B16</f>
        <v>四国電力株式会社</v>
      </c>
      <c r="H25" s="23"/>
      <c r="I25" s="23"/>
      <c r="J25" s="23"/>
      <c r="K25" s="18"/>
      <c r="M25" s="408"/>
      <c r="N25" s="412" t="s">
        <v>350</v>
      </c>
      <c r="O25" s="408"/>
    </row>
    <row r="26" spans="1:15" s="19" customFormat="1" ht="17.25" customHeight="1">
      <c r="A26" s="18"/>
      <c r="B26" s="976" t="s">
        <v>347</v>
      </c>
      <c r="C26" s="867"/>
      <c r="D26" s="864"/>
      <c r="E26" s="116"/>
      <c r="F26" s="130"/>
      <c r="G26" s="1380" t="str">
        <f>電気排出係数!B17</f>
        <v>九州電力株式会社</v>
      </c>
      <c r="H26" s="23"/>
      <c r="I26" s="23"/>
      <c r="J26" s="23"/>
      <c r="K26" s="18"/>
      <c r="M26" s="409"/>
      <c r="N26" s="412" t="s">
        <v>351</v>
      </c>
      <c r="O26" s="409"/>
    </row>
    <row r="27" spans="1:15" s="13" customFormat="1" ht="17.25" customHeight="1">
      <c r="A27" s="18"/>
      <c r="B27" s="976" t="s">
        <v>262</v>
      </c>
      <c r="C27" s="867"/>
      <c r="D27" s="864"/>
      <c r="E27" s="116"/>
      <c r="F27" s="130"/>
      <c r="G27" s="1380" t="str">
        <f>電気排出係数!B18</f>
        <v>沖縄電力株式会社</v>
      </c>
      <c r="K27" s="10"/>
      <c r="L27" s="12"/>
      <c r="M27" s="409"/>
      <c r="N27" s="412" t="s">
        <v>352</v>
      </c>
      <c r="O27" s="409"/>
    </row>
    <row r="28" spans="1:15" s="13" customFormat="1" ht="17.25" customHeight="1" thickBot="1">
      <c r="A28" s="18"/>
      <c r="B28" s="976" t="s">
        <v>349</v>
      </c>
      <c r="C28" s="2238"/>
      <c r="D28" s="2239"/>
      <c r="E28" s="2240"/>
      <c r="F28" s="130"/>
      <c r="G28" s="1381" t="s">
        <v>917</v>
      </c>
      <c r="K28" s="10"/>
      <c r="L28" s="12"/>
      <c r="M28" s="409"/>
      <c r="N28" s="412" t="s">
        <v>350</v>
      </c>
      <c r="O28" s="409"/>
    </row>
    <row r="29" spans="1:15" s="13" customFormat="1" ht="17.25" customHeight="1" thickBot="1">
      <c r="A29" s="20"/>
      <c r="B29" s="977"/>
      <c r="C29" s="2241"/>
      <c r="D29" s="2242"/>
      <c r="E29" s="2243"/>
      <c r="F29" s="110"/>
      <c r="K29" s="10"/>
      <c r="L29" s="12"/>
      <c r="M29" s="410"/>
      <c r="N29" s="412" t="s">
        <v>352</v>
      </c>
      <c r="O29" s="410"/>
    </row>
    <row r="30" spans="1:15" s="13" customFormat="1" ht="17.25" customHeight="1" thickBot="1">
      <c r="A30" s="20"/>
      <c r="B30" s="127" t="s">
        <v>245</v>
      </c>
      <c r="C30" s="870"/>
      <c r="D30" s="870"/>
      <c r="E30" s="113"/>
      <c r="F30" s="110"/>
      <c r="K30" s="10"/>
      <c r="L30" s="12"/>
      <c r="M30" s="410"/>
      <c r="N30" s="402"/>
      <c r="O30" s="410"/>
    </row>
    <row r="31" spans="1:15" s="13" customFormat="1" ht="17.25" customHeight="1">
      <c r="A31" s="20"/>
      <c r="B31" s="131" t="s">
        <v>810</v>
      </c>
      <c r="C31" s="28" t="s">
        <v>1318</v>
      </c>
      <c r="D31" s="864"/>
      <c r="E31" s="132"/>
      <c r="F31" s="110"/>
      <c r="K31" s="10"/>
      <c r="L31" s="12"/>
      <c r="M31" s="411"/>
      <c r="N31" s="402" t="s">
        <v>953</v>
      </c>
      <c r="O31" s="411"/>
    </row>
    <row r="32" spans="1:15" s="13" customFormat="1" ht="17.25" customHeight="1">
      <c r="A32" s="17"/>
      <c r="B32" s="131" t="s">
        <v>952</v>
      </c>
      <c r="C32" s="1" t="s">
        <v>1060</v>
      </c>
      <c r="D32" s="864"/>
      <c r="E32" s="132"/>
      <c r="F32" s="126"/>
      <c r="G32" s="22"/>
      <c r="H32" s="21"/>
      <c r="I32" s="21"/>
      <c r="J32" s="10"/>
      <c r="K32" s="10"/>
      <c r="L32" s="12"/>
      <c r="M32" s="411"/>
      <c r="N32" s="402" t="s">
        <v>954</v>
      </c>
      <c r="O32" s="411"/>
    </row>
    <row r="33" spans="1:18" s="14" customFormat="1" ht="17.25" customHeight="1">
      <c r="A33" s="17"/>
      <c r="B33" s="131" t="s">
        <v>37</v>
      </c>
      <c r="C33" s="28" t="s">
        <v>1318</v>
      </c>
      <c r="D33" s="864"/>
      <c r="E33" s="132"/>
      <c r="F33" s="126"/>
      <c r="G33" s="22"/>
      <c r="H33" s="21"/>
      <c r="I33" s="21"/>
      <c r="J33" s="10"/>
      <c r="K33" s="10"/>
      <c r="L33" s="12"/>
      <c r="M33" s="411"/>
      <c r="N33" s="402" t="s">
        <v>537</v>
      </c>
      <c r="O33" s="411"/>
    </row>
    <row r="34" spans="1:18" s="14" customFormat="1" ht="17.25" customHeight="1">
      <c r="A34" s="17"/>
      <c r="B34" s="1355" t="s">
        <v>38</v>
      </c>
      <c r="C34" s="1" t="s">
        <v>1319</v>
      </c>
      <c r="D34" s="864"/>
      <c r="E34" s="132"/>
      <c r="F34" s="126"/>
      <c r="G34" s="22"/>
      <c r="H34" s="21"/>
      <c r="I34" s="21"/>
      <c r="J34" s="10"/>
      <c r="K34" s="10"/>
      <c r="L34" s="12"/>
      <c r="M34" s="413"/>
      <c r="N34" s="1144"/>
      <c r="O34" s="413"/>
    </row>
    <row r="35" spans="1:18" s="14" customFormat="1" ht="17.25" customHeight="1" thickBot="1">
      <c r="A35" s="17"/>
      <c r="B35" s="1378" t="s">
        <v>298</v>
      </c>
      <c r="C35" s="1387" t="s">
        <v>304</v>
      </c>
      <c r="D35" s="1354" t="str">
        <f>IF(C35=H35,"",J36)</f>
        <v/>
      </c>
      <c r="E35" s="133"/>
      <c r="F35" s="126"/>
      <c r="G35" s="22"/>
      <c r="H35" s="14" t="s">
        <v>304</v>
      </c>
      <c r="K35" s="10"/>
      <c r="L35" s="12"/>
      <c r="M35" s="413"/>
    </row>
    <row r="36" spans="1:18" s="14" customFormat="1" ht="9.75" customHeight="1" thickBot="1">
      <c r="A36" s="17"/>
      <c r="B36" s="10"/>
      <c r="C36" s="10"/>
      <c r="D36" s="10"/>
      <c r="E36" s="10"/>
      <c r="F36" s="17"/>
      <c r="G36" s="22"/>
      <c r="H36" s="14" t="s">
        <v>305</v>
      </c>
      <c r="J36" s="14" t="s">
        <v>311</v>
      </c>
      <c r="K36" s="10"/>
      <c r="L36" s="12"/>
    </row>
    <row r="37" spans="1:18" ht="14.25" thickBot="1">
      <c r="A37" s="10"/>
      <c r="B37" s="960" t="s">
        <v>246</v>
      </c>
      <c r="C37" s="961"/>
      <c r="D37" s="961"/>
      <c r="E37" s="962"/>
      <c r="F37" s="10"/>
      <c r="G37" s="10"/>
      <c r="H37" s="10"/>
      <c r="I37" s="10"/>
      <c r="J37" s="10"/>
      <c r="K37" s="10"/>
    </row>
    <row r="38" spans="1:18" ht="14.25" thickBot="1">
      <c r="A38" s="10"/>
      <c r="B38" s="125" t="s">
        <v>412</v>
      </c>
      <c r="C38" s="1385" t="s">
        <v>407</v>
      </c>
      <c r="D38" s="1422" t="s">
        <v>463</v>
      </c>
      <c r="E38" s="1386" t="s">
        <v>408</v>
      </c>
      <c r="F38" s="10"/>
      <c r="G38" s="10"/>
      <c r="H38" s="10"/>
      <c r="I38" s="10"/>
      <c r="J38" s="10"/>
      <c r="K38" s="10"/>
    </row>
    <row r="39" spans="1:18" ht="14.25" thickBot="1">
      <c r="A39" s="10"/>
      <c r="B39" s="125"/>
      <c r="C39" s="987" t="s">
        <v>409</v>
      </c>
      <c r="D39" s="1373" t="s">
        <v>410</v>
      </c>
      <c r="E39" s="1372" t="s">
        <v>411</v>
      </c>
      <c r="F39" s="10"/>
      <c r="G39" s="10"/>
      <c r="H39" s="10"/>
      <c r="I39" s="10"/>
      <c r="J39" s="10"/>
      <c r="K39" s="10"/>
    </row>
    <row r="40" spans="1:18" ht="13.5">
      <c r="A40" s="10"/>
      <c r="B40" s="1370"/>
      <c r="C40" s="987" t="s">
        <v>348</v>
      </c>
      <c r="D40" s="1373" t="s">
        <v>461</v>
      </c>
      <c r="E40" s="1375"/>
      <c r="F40" s="1376"/>
      <c r="G40" s="1376"/>
      <c r="H40" s="1376"/>
      <c r="I40" s="1376"/>
      <c r="J40" s="1376"/>
      <c r="K40" s="1376"/>
      <c r="L40" s="1151"/>
      <c r="M40" s="1151"/>
      <c r="N40" s="1151"/>
      <c r="O40" s="1151"/>
      <c r="P40" s="1151"/>
      <c r="Q40" s="1151"/>
      <c r="R40" s="1151"/>
    </row>
    <row r="41" spans="1:18" ht="13.5">
      <c r="A41" s="10"/>
      <c r="B41" s="1371" t="s">
        <v>415</v>
      </c>
      <c r="C41" s="987" t="s">
        <v>297</v>
      </c>
      <c r="D41" s="1373" t="s">
        <v>462</v>
      </c>
      <c r="E41" s="1421"/>
      <c r="F41" s="10"/>
      <c r="G41" s="10"/>
      <c r="H41" s="10"/>
      <c r="I41" s="10"/>
      <c r="J41" s="10"/>
      <c r="K41" s="10"/>
    </row>
    <row r="42" spans="1:18" ht="13.5">
      <c r="A42" s="10"/>
      <c r="B42" s="1371" t="s">
        <v>92</v>
      </c>
      <c r="C42" s="987" t="s">
        <v>93</v>
      </c>
      <c r="D42" s="1373"/>
      <c r="E42" s="1421"/>
      <c r="F42" s="10"/>
      <c r="G42" s="10"/>
      <c r="H42" s="10"/>
      <c r="I42" s="10"/>
      <c r="J42" s="10"/>
      <c r="K42" s="10"/>
    </row>
    <row r="43" spans="1:18" ht="14.25" thickBot="1">
      <c r="A43" s="10"/>
      <c r="B43" s="125" t="s">
        <v>413</v>
      </c>
      <c r="C43" s="1009" t="s">
        <v>414</v>
      </c>
      <c r="D43" s="1374" t="s">
        <v>464</v>
      </c>
      <c r="E43" s="1423" t="s">
        <v>465</v>
      </c>
      <c r="F43" s="10"/>
      <c r="G43" s="10"/>
      <c r="H43" s="10"/>
      <c r="I43" s="10"/>
      <c r="J43" s="10"/>
      <c r="K43" s="10"/>
    </row>
    <row r="44" spans="1:18" ht="13.5">
      <c r="A44" s="10"/>
      <c r="B44" s="10"/>
      <c r="C44" s="10"/>
      <c r="D44" s="8"/>
      <c r="E44" s="10"/>
      <c r="F44" s="10"/>
      <c r="G44" s="10"/>
      <c r="H44" s="10"/>
      <c r="I44" s="10"/>
      <c r="J44" s="10"/>
      <c r="K44" s="10"/>
    </row>
    <row r="45" spans="1:18" ht="13.5" hidden="1">
      <c r="G45" s="12"/>
      <c r="H45" s="12"/>
      <c r="I45" s="12"/>
      <c r="J45" s="12"/>
    </row>
    <row r="46" spans="1:18" ht="13.5" hidden="1">
      <c r="G46" s="12"/>
      <c r="H46" s="12"/>
      <c r="I46" s="12"/>
      <c r="J46" s="12"/>
    </row>
    <row r="47" spans="1:18" ht="13.5" hidden="1">
      <c r="G47" s="12"/>
      <c r="H47" s="12"/>
      <c r="I47" s="12"/>
      <c r="J47" s="12"/>
    </row>
    <row r="48" spans="1:18" ht="13.5" hidden="1">
      <c r="G48" s="12"/>
      <c r="H48" s="12"/>
      <c r="I48" s="12"/>
      <c r="J48" s="12"/>
    </row>
    <row r="49" spans="7:10" ht="13.5" hidden="1">
      <c r="G49" s="12"/>
      <c r="H49" s="12"/>
      <c r="I49" s="12"/>
      <c r="J49" s="12"/>
    </row>
    <row r="50" spans="7:10" ht="13.5" hidden="1"/>
    <row r="51" spans="7:10" ht="13.5" hidden="1"/>
    <row r="52" spans="7:10" ht="13.5" hidden="1"/>
    <row r="53" spans="7:10" ht="13.5" hidden="1"/>
    <row r="54" spans="7:10" ht="13.5" hidden="1"/>
    <row r="55" spans="7:10" ht="13.5" hidden="1"/>
    <row r="56" spans="7:10" ht="13.5" hidden="1"/>
    <row r="57" spans="7:10" ht="13.5" hidden="1"/>
    <row r="58" spans="7:10" ht="13.5" hidden="1"/>
    <row r="59" spans="7:10" ht="13.5" hidden="1"/>
    <row r="60" spans="7:10" ht="13.5" hidden="1"/>
    <row r="61" spans="7:10" ht="13.5" hidden="1"/>
    <row r="62" spans="7:10" ht="13.5" hidden="1"/>
    <row r="63" spans="7:10" ht="13.5" hidden="1"/>
    <row r="64" spans="7:10" ht="13.5" hidden="1"/>
    <row r="65" ht="13.5" hidden="1"/>
    <row r="66" ht="13.5" hidden="1"/>
    <row r="67" ht="13.5" hidden="1"/>
    <row r="68" ht="13.5" hidden="1"/>
    <row r="69" ht="13.5" hidden="1"/>
    <row r="70" ht="13.5" hidden="1"/>
    <row r="71" ht="13.5" hidden="1"/>
    <row r="72" ht="13.5" hidden="1"/>
    <row r="73" ht="13.5" hidden="1"/>
    <row r="74" ht="13.5" hidden="1"/>
    <row r="75" ht="13.5" hidden="1"/>
    <row r="76" ht="13.5" hidden="1"/>
    <row r="77" ht="13.5" hidden="1"/>
    <row r="78" ht="13.5" hidden="1"/>
    <row r="79" ht="13.5" hidden="1"/>
    <row r="80" ht="13.5" hidden="1"/>
  </sheetData>
  <sheetProtection algorithmName="SHA-512" hashValue="cMlfZG+JY8zo8CIQwgSZ91HAt0QtdwxxBG8yqPYUGLFxIAfGHZO2Tqr5cAQ13yB5d4KvXc6ubx61SZ/iwq1cTw==" saltValue="hm6L6nck3ELEn5XmbVQEZQ==" spinCount="100000" sheet="1" objects="1" scenarios="1"/>
  <mergeCells count="6">
    <mergeCell ref="C13:D13"/>
    <mergeCell ref="C14:D14"/>
    <mergeCell ref="C28:E29"/>
    <mergeCell ref="E18:E19"/>
    <mergeCell ref="E21:E22"/>
    <mergeCell ref="E13:E16"/>
  </mergeCells>
  <phoneticPr fontId="4"/>
  <conditionalFormatting sqref="H10:I14 E20:E21 E23 C31:C32 C10 E12:E13 E17:E18 C16">
    <cfRule type="cellIs" dxfId="173" priority="13" stopIfTrue="1" operator="equal">
      <formula>0</formula>
    </cfRule>
  </conditionalFormatting>
  <conditionalFormatting sqref="C33:C34">
    <cfRule type="cellIs" dxfId="172" priority="10" stopIfTrue="1" operator="equal">
      <formula>0</formula>
    </cfRule>
  </conditionalFormatting>
  <conditionalFormatting sqref="C12">
    <cfRule type="cellIs" dxfId="171" priority="8" stopIfTrue="1" operator="equal">
      <formula>0</formula>
    </cfRule>
  </conditionalFormatting>
  <conditionalFormatting sqref="C13:C14">
    <cfRule type="cellIs" dxfId="170" priority="7" stopIfTrue="1" operator="equal">
      <formula>0</formula>
    </cfRule>
  </conditionalFormatting>
  <conditionalFormatting sqref="C15">
    <cfRule type="cellIs" dxfId="169" priority="6" stopIfTrue="1" operator="equal">
      <formula>0</formula>
    </cfRule>
  </conditionalFormatting>
  <conditionalFormatting sqref="C17">
    <cfRule type="cellIs" dxfId="168" priority="5" stopIfTrue="1" operator="equal">
      <formula>0</formula>
    </cfRule>
  </conditionalFormatting>
  <conditionalFormatting sqref="C18">
    <cfRule type="cellIs" dxfId="167" priority="4" stopIfTrue="1" operator="equal">
      <formula>0</formula>
    </cfRule>
  </conditionalFormatting>
  <conditionalFormatting sqref="C19:C23">
    <cfRule type="cellIs" dxfId="166" priority="3" stopIfTrue="1" operator="equal">
      <formula>0</formula>
    </cfRule>
  </conditionalFormatting>
  <conditionalFormatting sqref="C25:C27">
    <cfRule type="cellIs" dxfId="165" priority="2" stopIfTrue="1" operator="equal">
      <formula>0</formula>
    </cfRule>
  </conditionalFormatting>
  <conditionalFormatting sqref="C28">
    <cfRule type="cellIs" dxfId="164" priority="1" stopIfTrue="1" operator="equal">
      <formula>0</formula>
    </cfRule>
  </conditionalFormatting>
  <dataValidations count="8">
    <dataValidation type="list" allowBlank="1" showInputMessage="1" showErrorMessage="1" sqref="H10:H14">
      <formula1>$M$9</formula1>
    </dataValidation>
    <dataValidation type="list" allowBlank="1" showInputMessage="1" showErrorMessage="1" sqref="E12">
      <formula1>$N$23:$N$24</formula1>
    </dataValidation>
    <dataValidation type="list" allowBlank="1" showInputMessage="1" showErrorMessage="1" sqref="C15">
      <formula1>"1,2,3,4,5,6,7,8"</formula1>
    </dataValidation>
    <dataValidation type="list" allowBlank="1" showInputMessage="1" showErrorMessage="1" sqref="C16">
      <formula1>"い,ろ,は"</formula1>
    </dataValidation>
    <dataValidation type="list" allowBlank="1" showInputMessage="1" showErrorMessage="1" sqref="C25:C27">
      <formula1>$N$25:$N$27</formula1>
    </dataValidation>
    <dataValidation type="list" allowBlank="1" showInputMessage="1" showErrorMessage="1" sqref="E13:E23">
      <formula1>$N$28:$N$29</formula1>
    </dataValidation>
    <dataValidation type="list" allowBlank="1" showInputMessage="1" showErrorMessage="1" sqref="C35">
      <formula1>$H$35:$H$36</formula1>
    </dataValidation>
    <dataValidation type="list" allowBlank="1" showInputMessage="1" showErrorMessage="1" sqref="C17">
      <formula1>$G$18:$G$28</formula1>
    </dataValidation>
  </dataValidations>
  <hyperlinks>
    <hyperlink ref="C43" location="重み!Print_Titles" tooltip="[重み]シート" display="●重み"/>
    <hyperlink ref="C42" location="結果!Print_Area" tooltip="[結果]シート" display="●結果　"/>
    <hyperlink ref="C40" location="配慮!A1" tooltip="[配慮]シート" display="●配慮"/>
    <hyperlink ref="C39" location="採点LR1!A1" tooltip="[採点LR1]シート" display="●採点ＬＲ１"/>
    <hyperlink ref="D39" location="採点LR2!A1" tooltip="[採点LR2]シート" display="●採点ＬＲ２"/>
    <hyperlink ref="E39" location="採点LR3!A1" tooltip="[採点LR3]シート" display="●採点ＬＲ３"/>
    <hyperlink ref="C41" location="スコア!Print_Area" tooltip="[スコア]シート" display="●スコア"/>
    <hyperlink ref="D41" location="CO2計算!Print_Area" tooltip="[CO2計算]シート" display="●CO2計算"/>
    <hyperlink ref="D43" location="CO2データ!Print_Area" tooltip="[CO2データ]シート" display="●CO2データ"/>
    <hyperlink ref="D40" location="CO2独自計算!A1" tooltip="[CO2独自計算]シート" display="●CO2独自計算"/>
    <hyperlink ref="C38" location="採点Q1!A1" tooltip="[採点Q1]シート" display="●採点Ｑ１"/>
    <hyperlink ref="D38" location="採点Q2!A1" tooltip="[採点Q2]シート" display="●採点Ｑ２"/>
    <hyperlink ref="E38" location="採点Q3!A1" tooltip="[採点Q3]シート" display="●採点Ｑ３"/>
    <hyperlink ref="E43" location="電気排出係数!A1" tooltip="[電気排出係数]シート" display="●電気排出係数"/>
  </hyperlinks>
  <printOptions horizontalCentered="1"/>
  <pageMargins left="1.1811023622047245" right="0.98425196850393704" top="0.78740157480314965" bottom="0.78740157480314965" header="0.51181102362204722" footer="0.51181102362204722"/>
  <pageSetup paperSize="9" scale="92" orientation="portrait" verticalDpi="4294967293" r:id="rId1"/>
  <headerFooter alignWithMargins="0">
    <oddHeader>&amp;L&amp;F&amp;R&amp;A</oddHeader>
    <oddFooter>&amp;C&amp;P/&amp;N</oddFooter>
  </headerFooter>
  <colBreaks count="1" manualBreakCount="1">
    <brk id="12" max="1048575" man="1"/>
  </colBreaks>
  <cellWatches>
    <cellWatch r="C42"/>
  </cellWatches>
  <ignoredErrors>
    <ignoredError sqref="I10"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6"/>
  <sheetViews>
    <sheetView zoomScaleNormal="100" workbookViewId="0"/>
  </sheetViews>
  <sheetFormatPr defaultColWidth="0" defaultRowHeight="13.5" zeroHeight="1"/>
  <cols>
    <col min="1" max="1" width="4.5" customWidth="1"/>
    <col min="2" max="2" width="8.875" customWidth="1"/>
    <col min="3" max="3" width="17.75" customWidth="1"/>
    <col min="4" max="4" width="18.375" customWidth="1"/>
    <col min="5" max="5" width="16" customWidth="1"/>
    <col min="6" max="6" width="5.75" customWidth="1"/>
    <col min="7" max="7" width="8.875" customWidth="1"/>
    <col min="8" max="8" width="8.625" customWidth="1"/>
    <col min="9" max="9" width="0.75" hidden="1" customWidth="1"/>
    <col min="10" max="10" width="17.875" customWidth="1"/>
    <col min="11" max="11" width="2.75" customWidth="1"/>
  </cols>
  <sheetData>
    <row r="1" spans="1:12" ht="16.5">
      <c r="A1" s="1486" t="s">
        <v>1140</v>
      </c>
      <c r="B1" s="1487"/>
      <c r="C1" s="1487"/>
      <c r="D1" s="10"/>
      <c r="E1" s="1487"/>
      <c r="F1" s="1488" t="s">
        <v>1122</v>
      </c>
      <c r="G1" s="10"/>
      <c r="H1" s="10"/>
      <c r="I1" s="10"/>
      <c r="J1" s="10"/>
      <c r="K1" s="1586"/>
    </row>
    <row r="2" spans="1:12">
      <c r="A2" s="1486"/>
      <c r="B2" s="1487"/>
      <c r="C2" s="1487"/>
      <c r="D2" s="10"/>
      <c r="E2" s="1487"/>
      <c r="F2" s="1487"/>
      <c r="G2" s="10"/>
      <c r="H2" s="10"/>
      <c r="I2" s="10"/>
      <c r="J2" s="1489"/>
      <c r="K2" s="1586"/>
    </row>
    <row r="3" spans="1:12">
      <c r="A3" s="1486"/>
      <c r="B3" s="1487" t="s">
        <v>163</v>
      </c>
      <c r="C3" s="1487"/>
      <c r="D3" s="10"/>
      <c r="E3" s="1487"/>
      <c r="F3" s="1490"/>
      <c r="G3" s="10"/>
      <c r="H3" s="10"/>
      <c r="I3" s="10"/>
      <c r="J3" s="10"/>
      <c r="K3" s="1586"/>
    </row>
    <row r="4" spans="1:12" ht="14.25" thickBot="1">
      <c r="A4" s="1486"/>
      <c r="B4" s="1487" t="s">
        <v>164</v>
      </c>
      <c r="C4" s="1487"/>
      <c r="D4" s="17" t="s">
        <v>165</v>
      </c>
      <c r="E4" s="1487" t="s">
        <v>166</v>
      </c>
      <c r="F4" s="1490"/>
      <c r="G4" s="10"/>
      <c r="H4" s="10"/>
      <c r="I4" s="10"/>
      <c r="J4" s="10"/>
      <c r="K4" s="1586"/>
    </row>
    <row r="5" spans="1:12" ht="14.25" thickBot="1">
      <c r="A5" s="1486"/>
      <c r="B5" s="1491">
        <f>判定!N12</f>
        <v>0</v>
      </c>
      <c r="C5" s="1492"/>
      <c r="D5" s="1493" t="str">
        <f>IF(B5=0,L5,VLOOKUP($B$5,$B$9:$E$19,3,FALSE))</f>
        <v>N.A.</v>
      </c>
      <c r="E5" s="1494" t="e">
        <f>VLOOKUP($B$5,$B$9:$E$19,4,FALSE)</f>
        <v>#N/A</v>
      </c>
      <c r="F5" s="1495"/>
      <c r="G5" s="10"/>
      <c r="H5" s="10"/>
      <c r="I5" s="10"/>
      <c r="J5" s="10"/>
      <c r="K5" s="1586"/>
      <c r="L5" t="s">
        <v>199</v>
      </c>
    </row>
    <row r="6" spans="1:12">
      <c r="A6" s="1486"/>
      <c r="B6" s="1496"/>
      <c r="C6" s="1496"/>
      <c r="D6" s="1497"/>
      <c r="E6" s="1496"/>
      <c r="F6" s="1498"/>
      <c r="G6" s="1499"/>
      <c r="H6" s="1499"/>
      <c r="I6" s="1499"/>
      <c r="J6" s="1499"/>
      <c r="K6" s="1586"/>
    </row>
    <row r="7" spans="1:12" ht="42" customHeight="1">
      <c r="A7" s="1500"/>
      <c r="B7" s="2247" t="s">
        <v>1123</v>
      </c>
      <c r="C7" s="2247"/>
      <c r="D7" s="2247"/>
      <c r="E7" s="2247"/>
      <c r="F7" s="1490"/>
      <c r="G7" s="2254" t="s">
        <v>1227</v>
      </c>
      <c r="H7" s="2255"/>
      <c r="I7" s="2255"/>
      <c r="J7" s="2255"/>
      <c r="K7" s="1586"/>
    </row>
    <row r="8" spans="1:12" ht="14.25" thickBot="1">
      <c r="A8" s="1365"/>
      <c r="B8" s="1501" t="s">
        <v>189</v>
      </c>
      <c r="C8" s="1502"/>
      <c r="D8" s="1503" t="s">
        <v>165</v>
      </c>
      <c r="E8" s="1504" t="s">
        <v>167</v>
      </c>
      <c r="F8" s="1487"/>
      <c r="G8" s="2248" t="s">
        <v>165</v>
      </c>
      <c r="H8" s="2249"/>
      <c r="I8" s="2250" t="s">
        <v>167</v>
      </c>
      <c r="J8" s="2251"/>
      <c r="K8" s="1586"/>
    </row>
    <row r="9" spans="1:12" ht="14.25" thickBot="1">
      <c r="A9" s="1365"/>
      <c r="B9" s="1501" t="s">
        <v>190</v>
      </c>
      <c r="C9" s="1502"/>
      <c r="D9" s="1505">
        <f>H9</f>
        <v>6.3199999999999997E-4</v>
      </c>
      <c r="E9" s="1506">
        <f>J9</f>
        <v>6.4000000000000005E-4</v>
      </c>
      <c r="F9" s="1487"/>
      <c r="G9" s="2062"/>
      <c r="H9" s="2063">
        <v>6.3199999999999997E-4</v>
      </c>
      <c r="I9" s="2062"/>
      <c r="J9" s="2064">
        <v>6.4000000000000005E-4</v>
      </c>
      <c r="K9" s="1586"/>
    </row>
    <row r="10" spans="1:12" ht="14.25" thickBot="1">
      <c r="A10" s="1365"/>
      <c r="B10" s="1501" t="s">
        <v>191</v>
      </c>
      <c r="C10" s="1502"/>
      <c r="D10" s="1505">
        <f t="shared" ref="D10:D18" si="0">H10</f>
        <v>5.4500000000000002E-4</v>
      </c>
      <c r="E10" s="1506">
        <f t="shared" ref="E10:E18" si="1">J10</f>
        <v>5.4799999999999998E-4</v>
      </c>
      <c r="F10" s="1487"/>
      <c r="G10" s="2062"/>
      <c r="H10" s="2063">
        <v>5.4500000000000002E-4</v>
      </c>
      <c r="I10" s="2062"/>
      <c r="J10" s="2064">
        <v>5.4799999999999998E-4</v>
      </c>
      <c r="K10" s="1586"/>
    </row>
    <row r="11" spans="1:12" ht="14.25" thickBot="1">
      <c r="A11" s="1365"/>
      <c r="B11" s="1501" t="s">
        <v>1250</v>
      </c>
      <c r="C11" s="1502"/>
      <c r="D11" s="1505">
        <f t="shared" si="0"/>
        <v>4.86E-4</v>
      </c>
      <c r="E11" s="1506">
        <f t="shared" si="1"/>
        <v>4.7399999999999997E-4</v>
      </c>
      <c r="F11" s="1487"/>
      <c r="G11" s="2062"/>
      <c r="H11" s="2063">
        <v>4.86E-4</v>
      </c>
      <c r="I11" s="2062"/>
      <c r="J11" s="2064">
        <v>4.7399999999999997E-4</v>
      </c>
      <c r="K11" s="1586"/>
    </row>
    <row r="12" spans="1:12" ht="14.25" thickBot="1">
      <c r="A12" s="1365"/>
      <c r="B12" s="1501" t="s">
        <v>192</v>
      </c>
      <c r="C12" s="1502"/>
      <c r="D12" s="1505">
        <f t="shared" si="0"/>
        <v>4.8500000000000003E-4</v>
      </c>
      <c r="E12" s="1506">
        <f t="shared" si="1"/>
        <v>4.8000000000000001E-4</v>
      </c>
      <c r="F12" s="1487"/>
      <c r="G12" s="2062"/>
      <c r="H12" s="2063">
        <v>4.8500000000000003E-4</v>
      </c>
      <c r="I12" s="2062"/>
      <c r="J12" s="2064">
        <v>4.8000000000000001E-4</v>
      </c>
      <c r="K12" s="1586"/>
    </row>
    <row r="13" spans="1:12" ht="14.25" thickBot="1">
      <c r="A13" s="1365"/>
      <c r="B13" s="1501" t="s">
        <v>193</v>
      </c>
      <c r="C13" s="1502"/>
      <c r="D13" s="1505">
        <f t="shared" si="0"/>
        <v>6.4000000000000005E-4</v>
      </c>
      <c r="E13" s="1506">
        <f t="shared" si="1"/>
        <v>6.2399999999999999E-4</v>
      </c>
      <c r="F13" s="1487"/>
      <c r="G13" s="2062"/>
      <c r="H13" s="2065">
        <v>6.4000000000000005E-4</v>
      </c>
      <c r="I13" s="2062"/>
      <c r="J13" s="2064">
        <v>6.2399999999999999E-4</v>
      </c>
      <c r="K13" s="1586"/>
    </row>
    <row r="14" spans="1:12" ht="14.25" thickBot="1">
      <c r="A14" s="1365"/>
      <c r="B14" s="1501" t="s">
        <v>194</v>
      </c>
      <c r="C14" s="1502"/>
      <c r="D14" s="1505">
        <f t="shared" si="0"/>
        <v>5.0900000000000001E-4</v>
      </c>
      <c r="E14" s="1506">
        <f t="shared" si="1"/>
        <v>4.9299999999999995E-4</v>
      </c>
      <c r="F14" s="1487"/>
      <c r="G14" s="2062"/>
      <c r="H14" s="2063">
        <v>5.0900000000000001E-4</v>
      </c>
      <c r="I14" s="2062"/>
      <c r="J14" s="2064">
        <v>4.9299999999999995E-4</v>
      </c>
      <c r="K14" s="1586"/>
    </row>
    <row r="15" spans="1:12" ht="14.25" thickBot="1">
      <c r="A15" s="1365"/>
      <c r="B15" s="1501" t="s">
        <v>195</v>
      </c>
      <c r="C15" s="1502"/>
      <c r="D15" s="1505">
        <f t="shared" si="0"/>
        <v>6.9099999999999999E-4</v>
      </c>
      <c r="E15" s="1506">
        <f t="shared" si="1"/>
        <v>6.9399999999999996E-4</v>
      </c>
      <c r="F15" s="1487"/>
      <c r="G15" s="2062"/>
      <c r="H15" s="2063">
        <v>6.9099999999999999E-4</v>
      </c>
      <c r="I15" s="2062"/>
      <c r="J15" s="2064">
        <v>6.9399999999999996E-4</v>
      </c>
      <c r="K15" s="1586"/>
    </row>
    <row r="16" spans="1:12" ht="14.25" thickBot="1">
      <c r="A16" s="1365"/>
      <c r="B16" s="1501" t="s">
        <v>196</v>
      </c>
      <c r="C16" s="1502"/>
      <c r="D16" s="1505">
        <f t="shared" si="0"/>
        <v>5.1000000000000004E-4</v>
      </c>
      <c r="E16" s="1506">
        <f t="shared" si="1"/>
        <v>5.2899999999999996E-4</v>
      </c>
      <c r="F16" s="1487"/>
      <c r="G16" s="2062"/>
      <c r="H16" s="2065">
        <v>5.1000000000000004E-4</v>
      </c>
      <c r="I16" s="2062"/>
      <c r="J16" s="2064">
        <v>5.2899999999999996E-4</v>
      </c>
      <c r="K16" s="1586"/>
    </row>
    <row r="17" spans="1:11" ht="14.25" thickBot="1">
      <c r="A17" s="1365"/>
      <c r="B17" s="1507" t="s">
        <v>197</v>
      </c>
      <c r="C17" s="1508"/>
      <c r="D17" s="1505">
        <f t="shared" si="0"/>
        <v>4.6200000000000001E-4</v>
      </c>
      <c r="E17" s="1506">
        <f t="shared" si="1"/>
        <v>4.8299999999999998E-4</v>
      </c>
      <c r="F17" s="1487"/>
      <c r="G17" s="2062"/>
      <c r="H17" s="2063">
        <v>4.6200000000000001E-4</v>
      </c>
      <c r="I17" s="2062"/>
      <c r="J17" s="2064">
        <v>4.8299999999999998E-4</v>
      </c>
      <c r="K17" s="1586"/>
    </row>
    <row r="18" spans="1:11" ht="14.25" thickBot="1">
      <c r="A18" s="1365"/>
      <c r="B18" s="1509" t="s">
        <v>198</v>
      </c>
      <c r="C18" s="1501"/>
      <c r="D18" s="1505">
        <f t="shared" si="0"/>
        <v>7.9900000000000001E-4</v>
      </c>
      <c r="E18" s="1506">
        <f t="shared" si="1"/>
        <v>7.8899999999999999E-4</v>
      </c>
      <c r="F18" s="1487"/>
      <c r="G18" s="2062"/>
      <c r="H18" s="2063">
        <v>7.9900000000000001E-4</v>
      </c>
      <c r="I18" s="2062"/>
      <c r="J18" s="2064">
        <v>7.8899999999999999E-4</v>
      </c>
      <c r="K18" s="1586"/>
    </row>
    <row r="19" spans="1:11" ht="14.25" hidden="1" thickBot="1">
      <c r="A19" s="1365"/>
      <c r="B19" s="1510" t="s">
        <v>168</v>
      </c>
      <c r="C19" s="1511"/>
      <c r="D19" s="1512">
        <f>D22</f>
        <v>5.1199999999999998E-4</v>
      </c>
      <c r="E19" s="1513">
        <f>E22</f>
        <v>0</v>
      </c>
      <c r="F19" s="1487"/>
      <c r="G19" s="1488"/>
      <c r="H19" s="1488"/>
      <c r="I19" s="1488"/>
      <c r="J19" s="1488"/>
      <c r="K19" s="1586"/>
    </row>
    <row r="20" spans="1:11">
      <c r="A20" s="17"/>
      <c r="B20" s="1514" t="s">
        <v>169</v>
      </c>
      <c r="C20" s="17"/>
      <c r="D20" s="17"/>
      <c r="E20" s="17"/>
      <c r="F20" s="17"/>
      <c r="G20" s="17"/>
      <c r="H20" s="17"/>
      <c r="I20" s="17"/>
      <c r="J20" s="17"/>
      <c r="K20" s="1586"/>
    </row>
    <row r="21" spans="1:11" ht="14.25" thickBot="1">
      <c r="A21" s="1365"/>
      <c r="B21" s="1501" t="s">
        <v>170</v>
      </c>
      <c r="C21" s="1515"/>
      <c r="D21" s="17"/>
      <c r="E21" s="17"/>
      <c r="F21" s="1487"/>
      <c r="G21" s="17"/>
      <c r="H21" s="17"/>
      <c r="I21" s="17"/>
      <c r="J21" s="17"/>
      <c r="K21" s="1586"/>
    </row>
    <row r="22" spans="1:11" ht="14.25" thickBot="1">
      <c r="A22" s="1365"/>
      <c r="B22" s="2252" t="str">
        <f>G22</f>
        <v>代替値</v>
      </c>
      <c r="C22" s="2253"/>
      <c r="D22" s="1505">
        <f>H22</f>
        <v>5.1199999999999998E-4</v>
      </c>
      <c r="E22" s="1506"/>
      <c r="F22" s="1487"/>
      <c r="G22" s="2066" t="s">
        <v>1201</v>
      </c>
      <c r="H22" s="2067">
        <v>5.1199999999999998E-4</v>
      </c>
      <c r="I22" s="17"/>
      <c r="J22" s="17"/>
      <c r="K22" s="1586"/>
    </row>
    <row r="23" spans="1:11">
      <c r="A23" s="10"/>
      <c r="B23" s="10"/>
      <c r="C23" s="10"/>
      <c r="D23" s="1516" t="s">
        <v>171</v>
      </c>
      <c r="E23" s="10"/>
      <c r="F23" s="10"/>
      <c r="G23" s="10"/>
      <c r="H23" s="10"/>
      <c r="I23" s="10"/>
      <c r="J23" s="10"/>
      <c r="K23" s="1586"/>
    </row>
    <row r="24" spans="1:11" ht="14.25" thickBot="1">
      <c r="A24" s="10"/>
      <c r="B24" s="10"/>
      <c r="C24" s="10"/>
      <c r="D24" s="1517" t="s">
        <v>172</v>
      </c>
      <c r="E24" s="10"/>
      <c r="F24" s="10"/>
      <c r="G24" s="10"/>
      <c r="H24" s="10"/>
      <c r="I24" s="10"/>
      <c r="J24" s="10"/>
      <c r="K24" s="1586"/>
    </row>
    <row r="25" spans="1:11" ht="14.25" thickBot="1">
      <c r="A25" s="10"/>
      <c r="B25" s="10"/>
      <c r="C25" s="10"/>
      <c r="D25" s="10"/>
      <c r="E25" s="10"/>
      <c r="F25" s="1489" t="s">
        <v>173</v>
      </c>
      <c r="G25" s="1518"/>
      <c r="H25" s="17" t="s">
        <v>174</v>
      </c>
      <c r="I25" s="10"/>
      <c r="J25" s="10"/>
      <c r="K25" s="1586"/>
    </row>
    <row r="26" spans="1:11" ht="7.5" customHeight="1">
      <c r="A26" s="1586"/>
      <c r="B26" s="1586"/>
      <c r="C26" s="1586"/>
      <c r="D26" s="1586"/>
      <c r="E26" s="1586"/>
      <c r="F26" s="1586"/>
      <c r="G26" s="1586"/>
      <c r="H26" s="1586"/>
      <c r="I26" s="1586"/>
      <c r="J26" s="1586"/>
      <c r="K26" s="1586"/>
    </row>
  </sheetData>
  <sheetProtection algorithmName="SHA-512" hashValue="ZLkpXVg1OAdVeZzsf5W81vKZzaFjiC742vcmeSjjNOW7pPeGRV409P/n7IOrwevqShEQFUhnORBI27Egc9dbGg==" saltValue="6TTmsuVptAfJz1peExIf6A==" spinCount="100000" sheet="1" objects="1" scenarios="1"/>
  <mergeCells count="5">
    <mergeCell ref="B7:E7"/>
    <mergeCell ref="G8:H8"/>
    <mergeCell ref="I8:J8"/>
    <mergeCell ref="B22:C22"/>
    <mergeCell ref="G7:J7"/>
  </mergeCells>
  <phoneticPr fontId="4"/>
  <pageMargins left="0.74803149606299213" right="0.74803149606299213" top="0.98425196850393704" bottom="0.98425196850393704" header="0.51181102362204722" footer="0.51181102362204722"/>
  <pageSetup paperSize="9" scale="79" orientation="portrait" verticalDpi="4294967293" r:id="rId1"/>
  <headerFooter alignWithMargins="0">
    <oddHeader>&amp;L&amp;F&amp;R&amp;A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U80"/>
  <sheetViews>
    <sheetView showGridLines="0" tabSelected="1" zoomScale="145" zoomScaleNormal="145" workbookViewId="0">
      <selection activeCell="Q48" sqref="Q48"/>
    </sheetView>
  </sheetViews>
  <sheetFormatPr defaultColWidth="0" defaultRowHeight="0" customHeight="1" zeroHeight="1"/>
  <cols>
    <col min="1" max="1" width="0.75" style="434" customWidth="1"/>
    <col min="2" max="2" width="2.125" style="448" customWidth="1"/>
    <col min="3" max="3" width="13.375" style="448" customWidth="1"/>
    <col min="4" max="4" width="5.375" style="449" customWidth="1"/>
    <col min="5" max="5" width="6.75" style="451" customWidth="1"/>
    <col min="6" max="6" width="8.25" style="452" customWidth="1"/>
    <col min="7" max="7" width="8.375" style="452" customWidth="1"/>
    <col min="8" max="8" width="9.625" style="452" customWidth="1"/>
    <col min="9" max="9" width="6.125" style="453" customWidth="1"/>
    <col min="10" max="10" width="13.875" style="453" customWidth="1"/>
    <col min="11" max="11" width="14.5" style="452" customWidth="1"/>
    <col min="12" max="12" width="10.75" style="452" customWidth="1"/>
    <col min="13" max="15" width="10.75" style="361" customWidth="1"/>
    <col min="16" max="16" width="1.375" style="434" customWidth="1"/>
    <col min="17" max="17" width="3.875" style="434" customWidth="1"/>
    <col min="18" max="18" width="30.125" style="334" hidden="1" customWidth="1"/>
    <col min="19" max="19" width="18.625" style="335" hidden="1" customWidth="1"/>
    <col min="20" max="20" width="15.25" style="334" hidden="1" customWidth="1"/>
    <col min="21" max="21" width="22.875" style="334" hidden="1" customWidth="1"/>
    <col min="22" max="22" width="18.625" style="334" hidden="1" customWidth="1"/>
    <col min="23" max="23" width="12.75" style="334" hidden="1" customWidth="1"/>
    <col min="24" max="26" width="10.5" style="334" hidden="1" customWidth="1"/>
    <col min="27" max="27" width="4.625" style="334" hidden="1" customWidth="1"/>
    <col min="28" max="28" width="13.25" style="334" hidden="1" customWidth="1"/>
    <col min="29" max="31" width="5" style="336" hidden="1" customWidth="1"/>
    <col min="32" max="32" width="5.125" style="336" hidden="1" customWidth="1"/>
    <col min="33" max="34" width="9" style="336" hidden="1" customWidth="1"/>
    <col min="35" max="35" width="16.5" style="336" hidden="1" customWidth="1"/>
    <col min="36" max="254" width="9" style="336" hidden="1" customWidth="1"/>
    <col min="255" max="255" width="8.875" style="336" hidden="1" customWidth="1"/>
    <col min="256" max="16384" width="4.375" style="336" hidden="1"/>
  </cols>
  <sheetData>
    <row r="1" spans="1:28" s="332" customFormat="1" ht="6" customHeight="1" thickBot="1">
      <c r="A1" s="423"/>
      <c r="B1" s="424"/>
      <c r="C1" s="425"/>
      <c r="D1" s="426"/>
      <c r="E1" s="427"/>
      <c r="F1" s="428"/>
      <c r="G1" s="428"/>
      <c r="H1" s="428"/>
      <c r="I1" s="422"/>
      <c r="J1" s="422"/>
      <c r="K1" s="428"/>
      <c r="L1" s="429"/>
      <c r="M1" s="427"/>
      <c r="N1" s="427"/>
      <c r="O1" s="427"/>
      <c r="P1" s="423"/>
      <c r="Q1" s="430"/>
      <c r="S1" s="333"/>
    </row>
    <row r="2" spans="1:28" s="334" customFormat="1" ht="15.75" customHeight="1" thickTop="1">
      <c r="A2" s="431"/>
      <c r="B2" s="753"/>
      <c r="C2" s="754"/>
      <c r="D2" s="63"/>
      <c r="E2" s="64"/>
      <c r="F2" s="755"/>
      <c r="G2" s="755"/>
      <c r="H2" s="755"/>
      <c r="I2" s="751"/>
      <c r="J2" s="751"/>
      <c r="K2" s="751"/>
      <c r="L2" s="751"/>
      <c r="M2" s="751"/>
      <c r="N2" s="755"/>
      <c r="O2" s="421"/>
      <c r="P2" s="431"/>
      <c r="Q2" s="2300" t="s">
        <v>74</v>
      </c>
      <c r="R2" s="349"/>
      <c r="S2" s="349"/>
      <c r="T2" s="349"/>
      <c r="U2" s="349"/>
      <c r="W2" s="349"/>
      <c r="X2" s="349"/>
      <c r="Y2" s="349"/>
      <c r="Z2" s="349"/>
      <c r="AA2" s="349"/>
      <c r="AB2" s="349"/>
    </row>
    <row r="3" spans="1:28" s="334" customFormat="1" ht="30" customHeight="1">
      <c r="A3" s="431"/>
      <c r="B3" s="750"/>
      <c r="C3" s="750"/>
      <c r="D3" s="750"/>
      <c r="E3" s="750"/>
      <c r="F3" s="755"/>
      <c r="G3" s="755"/>
      <c r="H3" s="755"/>
      <c r="I3" s="751"/>
      <c r="J3" s="751"/>
      <c r="K3" s="751"/>
      <c r="L3" s="751"/>
      <c r="M3" s="751"/>
      <c r="N3" s="755"/>
      <c r="O3" s="755"/>
      <c r="P3" s="431"/>
      <c r="Q3" s="2301"/>
      <c r="R3" s="349"/>
      <c r="S3" s="349"/>
      <c r="T3" s="349"/>
      <c r="U3" s="349"/>
      <c r="W3" s="349"/>
      <c r="X3" s="349"/>
      <c r="Y3" s="349"/>
      <c r="Z3" s="349"/>
      <c r="AA3" s="349"/>
      <c r="AB3" s="349"/>
    </row>
    <row r="4" spans="1:28" s="334" customFormat="1" ht="12" customHeight="1">
      <c r="A4" s="431"/>
      <c r="B4" s="750"/>
      <c r="C4" s="750"/>
      <c r="D4" s="750"/>
      <c r="E4" s="750"/>
      <c r="F4" s="755"/>
      <c r="G4" s="755"/>
      <c r="H4" s="755"/>
      <c r="I4" s="751"/>
      <c r="J4" s="751"/>
      <c r="K4" s="751"/>
      <c r="L4" s="751"/>
      <c r="M4" s="751"/>
      <c r="O4" s="51"/>
      <c r="P4" s="431"/>
      <c r="Q4" s="2301"/>
      <c r="R4" s="349"/>
      <c r="S4" s="349"/>
      <c r="T4" s="349"/>
      <c r="U4" s="349"/>
      <c r="W4" s="349"/>
      <c r="X4" s="349"/>
      <c r="Y4" s="349"/>
      <c r="Z4" s="349"/>
      <c r="AA4" s="349"/>
      <c r="AB4" s="349"/>
    </row>
    <row r="5" spans="1:28" s="334" customFormat="1" ht="13.5" customHeight="1" thickBot="1">
      <c r="A5" s="431"/>
      <c r="B5" s="756"/>
      <c r="C5" s="62"/>
      <c r="D5" s="63"/>
      <c r="E5" s="64"/>
      <c r="F5" s="755"/>
      <c r="G5" s="1837" t="s">
        <v>1065</v>
      </c>
      <c r="H5" s="1676"/>
      <c r="I5" s="1676"/>
      <c r="K5" s="1419" t="str">
        <f>メイン!C6</f>
        <v>CASBEE-戸建（新築）2018年版</v>
      </c>
      <c r="L5" s="1104" t="s">
        <v>1229</v>
      </c>
      <c r="M5" s="894"/>
      <c r="N5" s="755"/>
      <c r="O5" s="893" t="str">
        <f>メイン!C5</f>
        <v>CASBEE-DH_NC_2018v1.0</v>
      </c>
      <c r="P5" s="431"/>
      <c r="Q5" s="2302"/>
      <c r="R5" s="349"/>
      <c r="S5" s="349"/>
      <c r="T5" s="349"/>
      <c r="U5" s="349"/>
      <c r="W5" s="349"/>
      <c r="X5" s="349"/>
      <c r="Y5" s="349"/>
      <c r="Z5" s="349"/>
      <c r="AA5" s="349"/>
      <c r="AB5" s="349"/>
    </row>
    <row r="6" spans="1:28" s="334" customFormat="1" ht="3" customHeight="1" thickTop="1" thickBot="1">
      <c r="A6" s="431"/>
      <c r="B6" s="67"/>
      <c r="C6" s="67"/>
      <c r="D6" s="68"/>
      <c r="E6" s="69"/>
      <c r="F6" s="69"/>
      <c r="G6" s="69"/>
      <c r="H6" s="69"/>
      <c r="I6" s="69"/>
      <c r="J6" s="69"/>
      <c r="K6" s="69"/>
      <c r="L6" s="69"/>
      <c r="M6" s="69"/>
      <c r="N6" s="69"/>
      <c r="O6" s="69"/>
      <c r="P6" s="431"/>
      <c r="Q6" s="434"/>
      <c r="R6" s="349"/>
      <c r="S6" s="349"/>
      <c r="T6" s="349"/>
      <c r="U6" s="349"/>
      <c r="W6" s="349"/>
      <c r="X6" s="349"/>
      <c r="Y6" s="349"/>
      <c r="Z6" s="349"/>
      <c r="AA6" s="349"/>
      <c r="AB6" s="349"/>
    </row>
    <row r="7" spans="1:28" s="334" customFormat="1" ht="19.5" customHeight="1" thickBot="1">
      <c r="A7" s="431"/>
      <c r="B7" s="833" t="s">
        <v>254</v>
      </c>
      <c r="C7" s="832"/>
      <c r="D7" s="834"/>
      <c r="E7" s="832"/>
      <c r="F7" s="832"/>
      <c r="G7" s="832"/>
      <c r="H7" s="832"/>
      <c r="I7" s="832"/>
      <c r="J7" s="832"/>
      <c r="K7" s="832"/>
      <c r="L7" s="862" t="s">
        <v>341</v>
      </c>
      <c r="M7" s="337"/>
      <c r="N7" s="337"/>
      <c r="O7" s="338"/>
      <c r="P7" s="431"/>
      <c r="Q7" s="434"/>
      <c r="R7" s="921" t="s">
        <v>135</v>
      </c>
      <c r="S7" s="439"/>
      <c r="T7" s="439"/>
      <c r="U7" s="921" t="s">
        <v>126</v>
      </c>
      <c r="AB7" s="355"/>
    </row>
    <row r="8" spans="1:28" s="334" customFormat="1" ht="15.75" customHeight="1">
      <c r="A8" s="431"/>
      <c r="B8" s="844" t="s">
        <v>216</v>
      </c>
      <c r="C8" s="845"/>
      <c r="D8" s="2297" t="str">
        <f>メイン!C10</f>
        <v>〇〇邸</v>
      </c>
      <c r="E8" s="2298"/>
      <c r="F8" s="2299"/>
      <c r="G8" s="968" t="str">
        <f>IF(メイン!E10="","",メイン!E10)</f>
        <v/>
      </c>
      <c r="H8" s="841" t="s">
        <v>208</v>
      </c>
      <c r="I8" s="432"/>
      <c r="J8" s="885" t="s">
        <v>265</v>
      </c>
      <c r="K8" s="882">
        <f>メイン!C25</f>
        <v>0</v>
      </c>
      <c r="L8" s="454"/>
      <c r="M8" s="454"/>
      <c r="N8" s="454"/>
      <c r="O8" s="455"/>
      <c r="P8" s="431"/>
      <c r="Q8" s="434"/>
      <c r="R8" s="922" t="s">
        <v>969</v>
      </c>
      <c r="S8" s="922">
        <f>スコア!W8</f>
        <v>3</v>
      </c>
      <c r="T8" s="439"/>
      <c r="U8" s="351"/>
      <c r="V8" s="353"/>
      <c r="W8" s="907" t="s">
        <v>120</v>
      </c>
      <c r="X8" s="907">
        <v>4</v>
      </c>
      <c r="Y8" s="907">
        <v>2</v>
      </c>
      <c r="Z8" s="354" t="s">
        <v>821</v>
      </c>
      <c r="AA8" s="892" t="s">
        <v>233</v>
      </c>
      <c r="AB8" s="355"/>
    </row>
    <row r="9" spans="1:28" s="334" customFormat="1" ht="15.75" customHeight="1">
      <c r="A9" s="431"/>
      <c r="B9" s="847" t="s">
        <v>124</v>
      </c>
      <c r="C9" s="848"/>
      <c r="D9" s="2294" t="str">
        <f>メイン!C12</f>
        <v>2018年●月●日</v>
      </c>
      <c r="E9" s="2295"/>
      <c r="F9" s="2296"/>
      <c r="G9" s="896">
        <f>メイン!E12</f>
        <v>0</v>
      </c>
      <c r="H9" s="843"/>
      <c r="J9" s="886" t="s">
        <v>266</v>
      </c>
      <c r="K9" s="883">
        <f>メイン!C26</f>
        <v>0</v>
      </c>
      <c r="L9" s="454"/>
      <c r="M9" s="454"/>
      <c r="N9" s="454"/>
      <c r="O9" s="455"/>
      <c r="P9" s="431"/>
      <c r="Q9" s="434"/>
      <c r="R9" s="922" t="s">
        <v>970</v>
      </c>
      <c r="S9" s="922" t="e">
        <f>スコア!W51</f>
        <v>#VALUE!</v>
      </c>
      <c r="T9" s="439"/>
      <c r="U9" s="922" t="s">
        <v>127</v>
      </c>
      <c r="V9" s="758" t="s">
        <v>822</v>
      </c>
      <c r="W9" s="907">
        <v>5</v>
      </c>
      <c r="X9" s="907">
        <v>4</v>
      </c>
      <c r="Y9" s="907">
        <v>2</v>
      </c>
      <c r="Z9" s="356">
        <f>V45</f>
        <v>3</v>
      </c>
      <c r="AA9" s="892">
        <v>3</v>
      </c>
      <c r="AB9" s="355"/>
    </row>
    <row r="10" spans="1:28" s="334" customFormat="1" ht="15.75" customHeight="1">
      <c r="A10" s="431"/>
      <c r="B10" s="843" t="s">
        <v>225</v>
      </c>
      <c r="C10" s="836"/>
      <c r="D10" s="2268">
        <f>メイン!C13</f>
        <v>0</v>
      </c>
      <c r="E10" s="2269"/>
      <c r="F10" s="2270"/>
      <c r="G10" s="887"/>
      <c r="H10" s="842"/>
      <c r="J10" s="886" t="s">
        <v>267</v>
      </c>
      <c r="K10" s="888">
        <f>メイン!C27</f>
        <v>0</v>
      </c>
      <c r="L10" s="1415"/>
      <c r="M10" s="456"/>
      <c r="N10" s="456"/>
      <c r="O10" s="455"/>
      <c r="P10" s="431"/>
      <c r="Q10" s="434"/>
      <c r="R10" s="354" t="s">
        <v>222</v>
      </c>
      <c r="S10" s="354">
        <f>25*(S8-1)</f>
        <v>50</v>
      </c>
      <c r="T10" s="439"/>
      <c r="U10" s="922" t="s">
        <v>128</v>
      </c>
      <c r="V10" s="736" t="s">
        <v>823</v>
      </c>
      <c r="W10" s="907">
        <v>5</v>
      </c>
      <c r="X10" s="907">
        <v>4</v>
      </c>
      <c r="Y10" s="907">
        <v>2</v>
      </c>
      <c r="Z10" s="356">
        <f>Y45</f>
        <v>3</v>
      </c>
      <c r="AA10" s="892">
        <v>3</v>
      </c>
      <c r="AB10" s="355"/>
    </row>
    <row r="11" spans="1:28" s="334" customFormat="1" ht="15.75" customHeight="1">
      <c r="A11" s="431"/>
      <c r="B11" s="843" t="s">
        <v>343</v>
      </c>
      <c r="C11" s="837"/>
      <c r="D11" s="2271">
        <f>メイン!C14</f>
        <v>0</v>
      </c>
      <c r="E11" s="2272"/>
      <c r="F11" s="2273"/>
      <c r="G11" s="888">
        <f>メイン!E13</f>
        <v>0</v>
      </c>
      <c r="H11" s="1105" t="s">
        <v>53</v>
      </c>
      <c r="I11" s="1101"/>
      <c r="J11" s="1101"/>
      <c r="K11" s="1102"/>
      <c r="L11" s="454"/>
      <c r="M11" s="456"/>
      <c r="N11" s="456"/>
      <c r="O11" s="455"/>
      <c r="P11" s="431"/>
      <c r="Q11" s="434"/>
      <c r="R11" s="354" t="s">
        <v>398</v>
      </c>
      <c r="S11" s="354" t="e">
        <f>25*(5-S9)</f>
        <v>#VALUE!</v>
      </c>
      <c r="T11" s="355"/>
      <c r="U11" s="922" t="s">
        <v>129</v>
      </c>
      <c r="V11" s="758" t="s">
        <v>249</v>
      </c>
      <c r="W11" s="907">
        <v>5</v>
      </c>
      <c r="X11" s="907">
        <v>4</v>
      </c>
      <c r="Y11" s="907">
        <v>2</v>
      </c>
      <c r="Z11" s="356" t="e">
        <f>Y55</f>
        <v>#VALUE!</v>
      </c>
      <c r="AA11" s="892">
        <v>3</v>
      </c>
      <c r="AB11" s="355"/>
    </row>
    <row r="12" spans="1:28" s="334" customFormat="1" ht="15.75" customHeight="1">
      <c r="A12" s="431"/>
      <c r="B12" s="1414" t="s">
        <v>252</v>
      </c>
      <c r="C12" s="836"/>
      <c r="D12" s="2274" t="str">
        <f>メイン!C15&amp;" 地域"</f>
        <v xml:space="preserve"> 地域</v>
      </c>
      <c r="E12" s="2275"/>
      <c r="F12" s="2276"/>
      <c r="G12" s="884"/>
      <c r="H12" s="2307" t="str">
        <f>IF(メイン!C28=0,"",メイン!C28)</f>
        <v/>
      </c>
      <c r="I12" s="2308"/>
      <c r="J12" s="2308"/>
      <c r="K12" s="2309"/>
      <c r="L12" s="454"/>
      <c r="M12" s="1413" t="s">
        <v>889</v>
      </c>
      <c r="N12" s="456"/>
      <c r="O12" s="455"/>
      <c r="P12" s="431"/>
      <c r="Q12" s="434"/>
      <c r="R12" s="354" t="s">
        <v>399</v>
      </c>
      <c r="S12" s="354" t="e">
        <f>S10/S11</f>
        <v>#VALUE!</v>
      </c>
      <c r="T12" s="355"/>
      <c r="U12" s="922" t="s">
        <v>130</v>
      </c>
      <c r="V12" s="758" t="s">
        <v>809</v>
      </c>
      <c r="W12" s="907">
        <v>5</v>
      </c>
      <c r="X12" s="907">
        <v>4</v>
      </c>
      <c r="Y12" s="907">
        <v>2</v>
      </c>
      <c r="Z12" s="356">
        <f>V55</f>
        <v>3</v>
      </c>
      <c r="AA12" s="892">
        <v>3</v>
      </c>
      <c r="AB12" s="355"/>
    </row>
    <row r="13" spans="1:28" s="334" customFormat="1" ht="15.75" customHeight="1">
      <c r="A13" s="431"/>
      <c r="B13" s="1036" t="s">
        <v>260</v>
      </c>
      <c r="C13" s="1037"/>
      <c r="D13" s="2277">
        <f>メイン!C18</f>
        <v>0</v>
      </c>
      <c r="E13" s="2278"/>
      <c r="F13" s="2279"/>
      <c r="G13" s="2305">
        <f>メイン!E18</f>
        <v>0</v>
      </c>
      <c r="H13" s="2307"/>
      <c r="I13" s="2308"/>
      <c r="J13" s="2308"/>
      <c r="K13" s="2309"/>
      <c r="L13" s="454"/>
      <c r="M13" s="1845" t="s">
        <v>1085</v>
      </c>
      <c r="N13" s="456"/>
      <c r="O13" s="455"/>
      <c r="P13" s="431"/>
      <c r="Q13" s="434"/>
      <c r="R13" s="922" t="s">
        <v>137</v>
      </c>
      <c r="S13" s="918" t="e">
        <f>ROUNDDOWN(S12,1)</f>
        <v>#VALUE!</v>
      </c>
      <c r="T13" s="355"/>
      <c r="U13" s="922" t="s">
        <v>131</v>
      </c>
      <c r="V13" s="758" t="s">
        <v>824</v>
      </c>
      <c r="W13" s="907">
        <v>5</v>
      </c>
      <c r="X13" s="907">
        <v>4</v>
      </c>
      <c r="Y13" s="907">
        <v>2</v>
      </c>
      <c r="Z13" s="356">
        <f>S55</f>
        <v>4.3</v>
      </c>
      <c r="AA13" s="892">
        <v>3</v>
      </c>
      <c r="AB13" s="355"/>
    </row>
    <row r="14" spans="1:28" s="334" customFormat="1" ht="15.75" customHeight="1">
      <c r="A14" s="431"/>
      <c r="B14" s="1038" t="s">
        <v>264</v>
      </c>
      <c r="C14" s="1039"/>
      <c r="D14" s="2280">
        <f>メイン!C19</f>
        <v>0</v>
      </c>
      <c r="E14" s="2281"/>
      <c r="F14" s="2282"/>
      <c r="G14" s="2306"/>
      <c r="H14" s="2310"/>
      <c r="I14" s="2311"/>
      <c r="J14" s="2311"/>
      <c r="K14" s="2312"/>
      <c r="L14" s="454"/>
      <c r="M14" s="1845" t="s">
        <v>1086</v>
      </c>
      <c r="N14" s="454"/>
      <c r="O14" s="455"/>
      <c r="P14" s="431"/>
      <c r="Q14" s="434"/>
      <c r="R14" s="439"/>
      <c r="S14" s="879"/>
      <c r="T14" s="439"/>
      <c r="U14" s="922" t="s">
        <v>132</v>
      </c>
      <c r="V14" s="736" t="s">
        <v>811</v>
      </c>
      <c r="W14" s="907">
        <v>5</v>
      </c>
      <c r="X14" s="907">
        <v>4</v>
      </c>
      <c r="Y14" s="907">
        <v>2</v>
      </c>
      <c r="Z14" s="356">
        <f>S45</f>
        <v>3</v>
      </c>
      <c r="AA14" s="892">
        <v>3</v>
      </c>
      <c r="AB14" s="355"/>
    </row>
    <row r="15" spans="1:28" s="334" customFormat="1" ht="15.75" customHeight="1">
      <c r="A15" s="431"/>
      <c r="B15" s="902" t="s">
        <v>263</v>
      </c>
      <c r="C15" s="903"/>
      <c r="D15" s="904"/>
      <c r="E15" s="905">
        <f>メイン!C20</f>
        <v>0</v>
      </c>
      <c r="F15" s="1040" t="s">
        <v>253</v>
      </c>
      <c r="G15" s="889">
        <f>メイン!E20</f>
        <v>0</v>
      </c>
      <c r="H15" s="849" t="s">
        <v>853</v>
      </c>
      <c r="I15" s="850"/>
      <c r="J15" s="897" t="str">
        <f>IF(メイン!C31=0,"",メイン!C31)</f>
        <v>2018年●月●日</v>
      </c>
      <c r="K15" s="898"/>
      <c r="L15" s="1403"/>
      <c r="M15" s="1403"/>
      <c r="N15" s="1404"/>
      <c r="O15" s="1405"/>
      <c r="P15" s="431"/>
      <c r="Q15" s="434"/>
      <c r="R15" s="354" t="s">
        <v>133</v>
      </c>
      <c r="S15" s="923" t="e">
        <f>IF(AND($S$10&gt;=50,$S$12&gt;=3),1,IF(S13&lt;0.5,1,IF(S13&lt;1,2,IF(S13&lt;1.5,3,IF(S13&lt;3,4,4))))/5)</f>
        <v>#VALUE!</v>
      </c>
      <c r="T15" s="355"/>
      <c r="U15" s="439"/>
      <c r="V15" s="355"/>
      <c r="W15" s="355"/>
      <c r="X15" s="355"/>
      <c r="AB15" s="355"/>
    </row>
    <row r="16" spans="1:28" s="334" customFormat="1" ht="15.75" customHeight="1">
      <c r="A16" s="431"/>
      <c r="B16" s="846" t="s">
        <v>964</v>
      </c>
      <c r="C16" s="839"/>
      <c r="D16" s="853"/>
      <c r="E16" s="840">
        <f>メイン!C21</f>
        <v>0</v>
      </c>
      <c r="F16" s="835" t="s">
        <v>253</v>
      </c>
      <c r="G16" s="2303">
        <f>メイン!E21</f>
        <v>0</v>
      </c>
      <c r="H16" s="854" t="s">
        <v>854</v>
      </c>
      <c r="I16" s="855"/>
      <c r="J16" s="1041" t="str">
        <f>IF(メイン!C32=0,"",メイン!C32)</f>
        <v>○○○○</v>
      </c>
      <c r="K16" s="899"/>
      <c r="L16" s="1406"/>
      <c r="M16" s="1403"/>
      <c r="N16" s="1407"/>
      <c r="O16" s="1408"/>
      <c r="P16" s="431"/>
      <c r="Q16" s="434"/>
      <c r="R16" s="354" t="s">
        <v>134</v>
      </c>
      <c r="S16" s="757" t="e">
        <f>1-S15</f>
        <v>#VALUE!</v>
      </c>
      <c r="T16" s="357"/>
      <c r="U16" s="357"/>
      <c r="V16" s="357"/>
      <c r="W16" s="357"/>
      <c r="X16" s="357"/>
      <c r="AB16" s="355"/>
    </row>
    <row r="17" spans="1:28" s="334" customFormat="1" ht="14.25">
      <c r="A17" s="431"/>
      <c r="B17" s="846" t="s">
        <v>39</v>
      </c>
      <c r="C17" s="839"/>
      <c r="D17" s="906"/>
      <c r="E17" s="840">
        <f>メイン!C22</f>
        <v>0</v>
      </c>
      <c r="F17" s="835" t="s">
        <v>253</v>
      </c>
      <c r="G17" s="2304"/>
      <c r="H17" s="843" t="s">
        <v>483</v>
      </c>
      <c r="I17" s="838"/>
      <c r="J17" s="1042" t="str">
        <f>IF(メイン!C33=0,"",メイン!C33)</f>
        <v>2018年●月●日</v>
      </c>
      <c r="K17" s="900"/>
      <c r="L17" s="1406"/>
      <c r="M17" s="1403"/>
      <c r="N17" s="1407"/>
      <c r="O17" s="1408"/>
      <c r="P17" s="431"/>
      <c r="Q17" s="434"/>
      <c r="R17" s="357"/>
      <c r="S17" s="357"/>
      <c r="T17" s="357"/>
      <c r="U17" s="357"/>
      <c r="V17" s="357"/>
      <c r="W17" s="357"/>
      <c r="X17" s="357"/>
      <c r="AB17" s="355"/>
    </row>
    <row r="18" spans="1:28" s="334" customFormat="1" ht="15" thickBot="1">
      <c r="A18" s="431"/>
      <c r="B18" s="856" t="s">
        <v>342</v>
      </c>
      <c r="C18" s="857"/>
      <c r="D18" s="2262">
        <f>メイン!C23</f>
        <v>0</v>
      </c>
      <c r="E18" s="2263"/>
      <c r="F18" s="2264"/>
      <c r="G18" s="890">
        <f>メイン!E23</f>
        <v>0</v>
      </c>
      <c r="H18" s="851" t="s">
        <v>523</v>
      </c>
      <c r="I18" s="852"/>
      <c r="J18" s="1043" t="str">
        <f>IF(メイン!C34=0,"",メイン!C34)</f>
        <v>□□ □□</v>
      </c>
      <c r="K18" s="901"/>
      <c r="L18" s="1409"/>
      <c r="M18" s="1410"/>
      <c r="N18" s="1411"/>
      <c r="O18" s="1412"/>
      <c r="P18" s="431"/>
      <c r="Q18" s="434"/>
      <c r="R18" s="357"/>
      <c r="S18" s="357"/>
      <c r="T18" s="357"/>
      <c r="U18" s="357"/>
      <c r="V18" s="357"/>
      <c r="W18" s="357"/>
      <c r="X18" s="357"/>
      <c r="AB18" s="355"/>
    </row>
    <row r="19" spans="1:28" s="334" customFormat="1" ht="10.5" customHeight="1" thickBot="1">
      <c r="A19" s="431"/>
      <c r="B19" s="766"/>
      <c r="C19" s="767"/>
      <c r="D19" s="766"/>
      <c r="H19" s="858"/>
      <c r="I19" s="859"/>
      <c r="J19" s="860"/>
      <c r="K19" s="861"/>
      <c r="L19" s="432"/>
      <c r="M19" s="432"/>
      <c r="N19" s="432"/>
      <c r="O19" s="432"/>
      <c r="P19" s="431"/>
      <c r="Q19" s="434"/>
      <c r="R19" s="357"/>
      <c r="S19" s="357"/>
      <c r="T19" s="357"/>
      <c r="U19" s="357"/>
      <c r="V19" s="357"/>
      <c r="W19" s="357"/>
      <c r="X19" s="357"/>
      <c r="AB19" s="355"/>
    </row>
    <row r="20" spans="1:28" s="334" customFormat="1" ht="19.5" thickBot="1">
      <c r="A20" s="431"/>
      <c r="B20" s="388" t="s">
        <v>1066</v>
      </c>
      <c r="C20" s="387"/>
      <c r="D20" s="387"/>
      <c r="E20" s="387"/>
      <c r="F20" s="387"/>
      <c r="G20" s="387"/>
      <c r="H20" s="913" t="s">
        <v>314</v>
      </c>
      <c r="I20" s="880"/>
      <c r="J20" s="881"/>
      <c r="K20" s="881"/>
      <c r="L20" s="863" t="s">
        <v>301</v>
      </c>
      <c r="M20" s="387"/>
      <c r="N20" s="389"/>
      <c r="O20" s="1349"/>
      <c r="P20" s="431"/>
      <c r="Q20" s="434"/>
      <c r="R20" s="921" t="s">
        <v>136</v>
      </c>
      <c r="S20" s="439"/>
      <c r="T20" s="439"/>
      <c r="U20" s="439"/>
      <c r="AB20" s="355"/>
    </row>
    <row r="21" spans="1:28" s="334" customFormat="1" ht="15" customHeight="1">
      <c r="A21" s="431"/>
      <c r="B21" s="752"/>
      <c r="C21" s="432"/>
      <c r="D21" s="432"/>
      <c r="E21" s="432"/>
      <c r="F21" s="432"/>
      <c r="G21" s="432"/>
      <c r="H21" s="1316"/>
      <c r="I21" s="1317"/>
      <c r="J21" s="432"/>
      <c r="K21" s="1318"/>
      <c r="L21" s="1319"/>
      <c r="M21" s="755"/>
      <c r="N21" s="755"/>
      <c r="O21" s="1320"/>
      <c r="P21" s="431"/>
      <c r="R21" s="354"/>
      <c r="S21" s="353" t="s">
        <v>467</v>
      </c>
      <c r="T21" s="353" t="s">
        <v>473</v>
      </c>
      <c r="U21" s="353" t="s">
        <v>474</v>
      </c>
      <c r="V21" s="355"/>
      <c r="W21" s="353" t="s">
        <v>466</v>
      </c>
      <c r="X21" s="353"/>
      <c r="Y21" s="355"/>
      <c r="Z21" s="353" t="s">
        <v>533</v>
      </c>
      <c r="AA21" s="353"/>
      <c r="AB21" s="355"/>
    </row>
    <row r="22" spans="1:28" s="334" customFormat="1" ht="15" customHeight="1">
      <c r="A22" s="431"/>
      <c r="B22" s="435"/>
      <c r="C22" s="1801" t="e">
        <f>S13</f>
        <v>#VALUE!</v>
      </c>
      <c r="H22" s="914"/>
      <c r="I22" s="915"/>
      <c r="J22" s="916"/>
      <c r="K22" s="917"/>
      <c r="L22" s="1321"/>
      <c r="M22" s="755"/>
      <c r="N22" s="755"/>
      <c r="O22" s="1320"/>
      <c r="P22" s="431"/>
      <c r="R22" s="354" t="s">
        <v>400</v>
      </c>
      <c r="S22" s="356"/>
      <c r="T22" s="373" t="e">
        <f>S11</f>
        <v>#VALUE!</v>
      </c>
      <c r="U22" s="356">
        <v>0</v>
      </c>
      <c r="V22" s="355"/>
      <c r="W22" s="356">
        <v>50</v>
      </c>
      <c r="X22" s="356">
        <v>50</v>
      </c>
      <c r="Y22" s="355"/>
      <c r="Z22" s="356">
        <v>0</v>
      </c>
      <c r="AA22" s="356">
        <v>100</v>
      </c>
      <c r="AB22" s="355"/>
    </row>
    <row r="23" spans="1:28" s="334" customFormat="1" ht="15" customHeight="1">
      <c r="A23" s="431"/>
      <c r="B23" s="435"/>
      <c r="H23" s="914"/>
      <c r="J23" s="916"/>
      <c r="K23" s="917"/>
      <c r="L23" s="1321"/>
      <c r="M23" s="755"/>
      <c r="N23" s="755"/>
      <c r="O23" s="1320"/>
      <c r="P23" s="431"/>
      <c r="R23" s="354" t="s">
        <v>403</v>
      </c>
      <c r="S23" s="356"/>
      <c r="T23" s="373">
        <f>S10</f>
        <v>50</v>
      </c>
      <c r="U23" s="356">
        <v>0</v>
      </c>
      <c r="V23" s="355"/>
      <c r="W23" s="356">
        <v>0</v>
      </c>
      <c r="X23" s="356">
        <v>100</v>
      </c>
      <c r="Y23" s="355"/>
      <c r="Z23" s="356">
        <v>50</v>
      </c>
      <c r="AA23" s="356">
        <v>50</v>
      </c>
      <c r="AB23" s="355"/>
    </row>
    <row r="24" spans="1:28" s="334" customFormat="1" ht="15" customHeight="1">
      <c r="A24" s="431"/>
      <c r="B24" s="910"/>
      <c r="C24" s="911"/>
      <c r="D24" s="911"/>
      <c r="E24" s="911"/>
      <c r="F24" s="911"/>
      <c r="G24" s="912"/>
      <c r="H24" s="1322"/>
      <c r="I24" s="1323"/>
      <c r="J24" s="1324"/>
      <c r="K24" s="1325"/>
      <c r="L24" s="1326"/>
      <c r="M24" s="755"/>
      <c r="N24" s="361"/>
      <c r="O24" s="1320"/>
      <c r="P24" s="431"/>
      <c r="R24" s="356">
        <v>0</v>
      </c>
      <c r="S24" s="353" t="e">
        <f>T22</f>
        <v>#VALUE!</v>
      </c>
      <c r="T24" s="760" t="e">
        <f>T22</f>
        <v>#VALUE!</v>
      </c>
      <c r="U24" s="353">
        <v>0.1</v>
      </c>
      <c r="V24" s="355"/>
      <c r="W24" s="355"/>
      <c r="X24" s="355"/>
      <c r="Y24" s="355"/>
      <c r="Z24" s="355"/>
      <c r="AA24" s="355"/>
      <c r="AB24" s="355"/>
    </row>
    <row r="25" spans="1:28" s="334" customFormat="1" ht="15" customHeight="1">
      <c r="A25" s="431"/>
      <c r="B25" s="435"/>
      <c r="H25" s="1383" t="str">
        <f>U35</f>
        <v>戸建標準計算</v>
      </c>
      <c r="J25" s="916"/>
      <c r="K25" s="916"/>
      <c r="L25" s="435"/>
      <c r="O25" s="436"/>
      <c r="P25" s="431"/>
      <c r="R25" s="356">
        <v>0</v>
      </c>
      <c r="S25" s="353">
        <v>0</v>
      </c>
      <c r="T25" s="353">
        <f>T23</f>
        <v>50</v>
      </c>
      <c r="U25" s="761">
        <f>T23</f>
        <v>50</v>
      </c>
      <c r="V25" s="355"/>
      <c r="W25" s="355"/>
      <c r="X25" s="355"/>
      <c r="Y25" s="355"/>
      <c r="Z25" s="355"/>
      <c r="AA25" s="355"/>
      <c r="AB25" s="355"/>
    </row>
    <row r="26" spans="1:28" s="334" customFormat="1" ht="15" customHeight="1">
      <c r="A26" s="431"/>
      <c r="B26" s="435"/>
      <c r="H26" s="914"/>
      <c r="J26" s="916"/>
      <c r="K26" s="917"/>
      <c r="L26" s="1327"/>
      <c r="M26" s="1328"/>
      <c r="N26" s="1329"/>
      <c r="O26" s="1330"/>
      <c r="P26" s="431"/>
      <c r="R26" s="908"/>
      <c r="S26" s="759"/>
      <c r="T26" s="759"/>
      <c r="U26" s="909"/>
      <c r="V26" s="355"/>
      <c r="W26" s="355"/>
      <c r="X26" s="355"/>
      <c r="Y26" s="355"/>
      <c r="Z26" s="355"/>
      <c r="AA26" s="355"/>
      <c r="AB26" s="355"/>
    </row>
    <row r="27" spans="1:28" s="334" customFormat="1" ht="15" customHeight="1">
      <c r="A27" s="431"/>
      <c r="B27" s="435"/>
      <c r="H27" s="914"/>
      <c r="J27" s="916"/>
      <c r="K27" s="917"/>
      <c r="L27" s="1327"/>
      <c r="M27" s="1328"/>
      <c r="N27" s="1329"/>
      <c r="O27" s="1330"/>
      <c r="P27" s="431"/>
      <c r="R27" s="762" t="s">
        <v>825</v>
      </c>
      <c r="S27" s="353" t="s">
        <v>826</v>
      </c>
      <c r="T27" s="763">
        <v>0</v>
      </c>
      <c r="U27" s="763">
        <f>100/6</f>
        <v>16.666666666666668</v>
      </c>
      <c r="V27" s="764">
        <f>U27*2</f>
        <v>33.333333333333336</v>
      </c>
      <c r="W27" s="763">
        <f>U27*3</f>
        <v>50</v>
      </c>
      <c r="X27" s="763">
        <f>U27*4</f>
        <v>66.666666666666671</v>
      </c>
      <c r="Y27" s="763">
        <f>U27*5</f>
        <v>83.333333333333343</v>
      </c>
      <c r="Z27" s="763">
        <v>100</v>
      </c>
      <c r="AA27" s="355"/>
      <c r="AB27" s="355"/>
    </row>
    <row r="28" spans="1:28" s="334" customFormat="1" ht="15" customHeight="1">
      <c r="A28" s="431"/>
      <c r="B28" s="435"/>
      <c r="H28" s="914"/>
      <c r="J28" s="916"/>
      <c r="K28" s="917"/>
      <c r="L28" s="1331"/>
      <c r="M28" s="1332"/>
      <c r="N28" s="1333"/>
      <c r="O28" s="1334"/>
      <c r="P28" s="431"/>
      <c r="R28" s="762"/>
      <c r="S28" s="353" t="s">
        <v>827</v>
      </c>
      <c r="T28" s="763">
        <v>100</v>
      </c>
      <c r="U28" s="763">
        <v>100</v>
      </c>
      <c r="V28" s="763">
        <v>100</v>
      </c>
      <c r="W28" s="763">
        <v>100</v>
      </c>
      <c r="X28" s="763">
        <v>100</v>
      </c>
      <c r="Y28" s="763">
        <v>100</v>
      </c>
      <c r="Z28" s="763">
        <v>100</v>
      </c>
      <c r="AA28" s="355"/>
      <c r="AB28" s="355"/>
    </row>
    <row r="29" spans="1:28" s="334" customFormat="1" ht="15" customHeight="1">
      <c r="A29" s="431"/>
      <c r="B29" s="435"/>
      <c r="H29" s="914"/>
      <c r="J29" s="916"/>
      <c r="K29" s="917"/>
      <c r="L29" s="1327"/>
      <c r="M29" s="1328"/>
      <c r="N29" s="1329"/>
      <c r="O29" s="1330"/>
      <c r="P29" s="431"/>
      <c r="R29" s="762">
        <v>3</v>
      </c>
      <c r="S29" s="353" t="s">
        <v>828</v>
      </c>
      <c r="T29" s="763">
        <v>50</v>
      </c>
      <c r="U29" s="763">
        <f t="shared" ref="U29:V32" si="0">U$27*$R29</f>
        <v>50</v>
      </c>
      <c r="V29" s="763">
        <f t="shared" si="0"/>
        <v>100</v>
      </c>
      <c r="W29" s="763">
        <v>100</v>
      </c>
      <c r="X29" s="763">
        <v>100</v>
      </c>
      <c r="Y29" s="763">
        <v>100</v>
      </c>
      <c r="Z29" s="763">
        <v>100</v>
      </c>
      <c r="AA29" s="355"/>
      <c r="AB29" s="355"/>
    </row>
    <row r="30" spans="1:28" s="334" customFormat="1" ht="15" customHeight="1">
      <c r="A30" s="431"/>
      <c r="B30" s="435"/>
      <c r="H30" s="914"/>
      <c r="J30" s="916"/>
      <c r="K30" s="917"/>
      <c r="L30" s="1327"/>
      <c r="M30" s="1328"/>
      <c r="N30" s="1329"/>
      <c r="O30" s="1330"/>
      <c r="P30" s="431"/>
      <c r="R30" s="762">
        <v>1.5</v>
      </c>
      <c r="S30" s="353" t="s">
        <v>829</v>
      </c>
      <c r="T30" s="763">
        <v>0</v>
      </c>
      <c r="U30" s="763">
        <f t="shared" si="0"/>
        <v>25</v>
      </c>
      <c r="V30" s="763">
        <f t="shared" si="0"/>
        <v>50</v>
      </c>
      <c r="W30" s="763">
        <f t="shared" ref="W30:X32" si="1">W$27*$R30</f>
        <v>75</v>
      </c>
      <c r="X30" s="763">
        <f t="shared" si="1"/>
        <v>100</v>
      </c>
      <c r="Y30" s="763">
        <v>100</v>
      </c>
      <c r="Z30" s="763">
        <v>100</v>
      </c>
      <c r="AA30" s="355"/>
      <c r="AB30" s="355"/>
    </row>
    <row r="31" spans="1:28" s="334" customFormat="1" ht="15" customHeight="1">
      <c r="A31" s="431"/>
      <c r="B31" s="435"/>
      <c r="H31" s="2284"/>
      <c r="J31" s="916"/>
      <c r="K31" s="917"/>
      <c r="L31" s="1327"/>
      <c r="M31" s="1328"/>
      <c r="N31" s="1329"/>
      <c r="O31" s="1330"/>
      <c r="P31" s="431"/>
      <c r="R31" s="762">
        <v>1</v>
      </c>
      <c r="S31" s="353" t="s">
        <v>830</v>
      </c>
      <c r="T31" s="763">
        <v>0</v>
      </c>
      <c r="U31" s="763">
        <f t="shared" si="0"/>
        <v>16.666666666666668</v>
      </c>
      <c r="V31" s="763">
        <f t="shared" si="0"/>
        <v>33.333333333333336</v>
      </c>
      <c r="W31" s="763">
        <f t="shared" si="1"/>
        <v>50</v>
      </c>
      <c r="X31" s="763">
        <f t="shared" si="1"/>
        <v>66.666666666666671</v>
      </c>
      <c r="Y31" s="763">
        <f>Y$27*$R31</f>
        <v>83.333333333333343</v>
      </c>
      <c r="Z31" s="763">
        <f>Z$27*$R31</f>
        <v>100</v>
      </c>
      <c r="AA31" s="355"/>
      <c r="AB31" s="355"/>
    </row>
    <row r="32" spans="1:28" s="334" customFormat="1" ht="15" customHeight="1">
      <c r="A32" s="431"/>
      <c r="B32" s="435"/>
      <c r="H32" s="2284"/>
      <c r="I32" s="915"/>
      <c r="J32" s="916"/>
      <c r="K32" s="917"/>
      <c r="L32" s="1327"/>
      <c r="M32" s="755"/>
      <c r="N32" s="755"/>
      <c r="O32" s="1320"/>
      <c r="P32" s="431"/>
      <c r="R32" s="762">
        <v>0.5</v>
      </c>
      <c r="S32" s="353" t="s">
        <v>831</v>
      </c>
      <c r="T32" s="763">
        <v>0</v>
      </c>
      <c r="U32" s="763">
        <f t="shared" si="0"/>
        <v>8.3333333333333339</v>
      </c>
      <c r="V32" s="763">
        <f t="shared" si="0"/>
        <v>16.666666666666668</v>
      </c>
      <c r="W32" s="763">
        <f t="shared" si="1"/>
        <v>25</v>
      </c>
      <c r="X32" s="763">
        <f t="shared" si="1"/>
        <v>33.333333333333336</v>
      </c>
      <c r="Y32" s="763">
        <f>Y$27*$R32</f>
        <v>41.666666666666671</v>
      </c>
      <c r="Z32" s="763">
        <f>Z$27*$R32</f>
        <v>50</v>
      </c>
      <c r="AA32" s="355"/>
      <c r="AB32" s="355"/>
    </row>
    <row r="33" spans="1:35" s="334" customFormat="1" ht="15" customHeight="1">
      <c r="A33" s="74"/>
      <c r="B33" s="435"/>
      <c r="H33" s="1335"/>
      <c r="I33" s="1336"/>
      <c r="J33" s="1336"/>
      <c r="K33" s="1337"/>
      <c r="L33" s="1327"/>
      <c r="M33" s="755"/>
      <c r="N33" s="1338"/>
      <c r="O33" s="1320"/>
      <c r="P33" s="431"/>
      <c r="AA33" s="355"/>
      <c r="AB33" s="355"/>
    </row>
    <row r="34" spans="1:35" s="334" customFormat="1" ht="15" customHeight="1">
      <c r="A34" s="74"/>
      <c r="B34" s="435"/>
      <c r="H34" s="2256" t="str">
        <f>IF(U35=W35,X35,X36)</f>
        <v>このグラフは、LR3中の「地球温暖化への配慮」の内容を、一般的な住宅（参照値）と比べたライフサイクルCO2 排出量の目安で示したものです</v>
      </c>
      <c r="I34" s="2257"/>
      <c r="J34" s="2257"/>
      <c r="K34" s="2258"/>
      <c r="L34" s="1327"/>
      <c r="M34" s="755"/>
      <c r="N34" s="1339"/>
      <c r="O34" s="1320"/>
      <c r="P34" s="431"/>
      <c r="AA34" s="355"/>
      <c r="AB34" s="355"/>
    </row>
    <row r="35" spans="1:35" s="334" customFormat="1" ht="27.75">
      <c r="A35" s="74"/>
      <c r="B35" s="435"/>
      <c r="C35" s="830"/>
      <c r="H35" s="2256"/>
      <c r="I35" s="2257"/>
      <c r="J35" s="2257"/>
      <c r="K35" s="2258"/>
      <c r="L35" s="1326"/>
      <c r="M35" s="1340"/>
      <c r="N35" s="755"/>
      <c r="O35" s="1320"/>
      <c r="P35" s="431"/>
      <c r="R35" s="354" t="s">
        <v>444</v>
      </c>
      <c r="S35" s="1347" t="e">
        <f>IF(T35&lt;=0,1,IF(T35&lt;=0.5,0.8,IF(T35&lt;=0.75,0.6,IF(T35&lt;=1,0.4,0.2))))</f>
        <v>#VALUE!</v>
      </c>
      <c r="T35" s="1348" t="e">
        <f>IF(U35=W35,AB41,AB42)</f>
        <v>#VALUE!</v>
      </c>
      <c r="U35" s="1150" t="str">
        <f>メイン!C35</f>
        <v>戸建標準計算</v>
      </c>
      <c r="V35" s="1356" t="s">
        <v>923</v>
      </c>
      <c r="W35" s="1010" t="s">
        <v>304</v>
      </c>
      <c r="X35" s="1010" t="s">
        <v>335</v>
      </c>
      <c r="Y35" s="1348"/>
      <c r="Z35" s="1348"/>
      <c r="AA35" s="355"/>
      <c r="AB35" s="355"/>
    </row>
    <row r="36" spans="1:35" s="334" customFormat="1" ht="15" thickBot="1">
      <c r="A36" s="74"/>
      <c r="B36" s="438"/>
      <c r="C36" s="433"/>
      <c r="D36" s="433"/>
      <c r="E36" s="433"/>
      <c r="F36" s="433"/>
      <c r="G36" s="433"/>
      <c r="H36" s="2259"/>
      <c r="I36" s="2260"/>
      <c r="J36" s="2260"/>
      <c r="K36" s="2261"/>
      <c r="L36" s="1341"/>
      <c r="M36" s="1342"/>
      <c r="N36" s="1343"/>
      <c r="O36" s="1344"/>
      <c r="P36" s="431"/>
      <c r="R36" s="354" t="s">
        <v>134</v>
      </c>
      <c r="S36" s="757" t="e">
        <f>1-S35</f>
        <v>#VALUE!</v>
      </c>
      <c r="T36" s="1348"/>
      <c r="U36" s="1150" t="s">
        <v>306</v>
      </c>
      <c r="V36" s="1357" t="str">
        <f>IF(U35=W36,V35,"")</f>
        <v/>
      </c>
      <c r="W36" s="1010" t="s">
        <v>305</v>
      </c>
      <c r="X36" s="1010" t="s">
        <v>627</v>
      </c>
      <c r="Y36" s="1348"/>
      <c r="Z36" s="1348"/>
      <c r="AA36" s="355"/>
      <c r="AB36" s="355"/>
    </row>
    <row r="37" spans="1:35" s="334" customFormat="1" ht="19.5" customHeight="1" thickBot="1">
      <c r="A37" s="431"/>
      <c r="B37" s="390" t="s">
        <v>217</v>
      </c>
      <c r="C37" s="391"/>
      <c r="D37" s="392"/>
      <c r="E37" s="391"/>
      <c r="F37" s="391"/>
      <c r="G37" s="391"/>
      <c r="H37" s="393"/>
      <c r="I37" s="394"/>
      <c r="J37" s="391"/>
      <c r="K37" s="391"/>
      <c r="L37" s="391"/>
      <c r="M37" s="395"/>
      <c r="N37" s="395"/>
      <c r="O37" s="396"/>
      <c r="P37" s="431"/>
      <c r="Q37" s="434"/>
      <c r="AA37" s="355"/>
      <c r="AB37" s="355"/>
    </row>
    <row r="38" spans="1:35" s="334" customFormat="1" ht="18" customHeight="1">
      <c r="A38" s="431"/>
      <c r="B38" s="727" t="s">
        <v>238</v>
      </c>
      <c r="C38" s="724"/>
      <c r="D38" s="724"/>
      <c r="E38" s="725"/>
      <c r="F38" s="724"/>
      <c r="G38" s="724"/>
      <c r="H38" s="724"/>
      <c r="I38" s="724"/>
      <c r="J38" s="724"/>
      <c r="K38" s="724"/>
      <c r="L38" s="726"/>
      <c r="M38" s="70" t="s">
        <v>236</v>
      </c>
      <c r="N38" s="397">
        <f>スコア!Q8</f>
        <v>3</v>
      </c>
      <c r="O38" s="342"/>
      <c r="P38" s="431"/>
      <c r="Q38" s="434"/>
      <c r="R38" s="919" t="s">
        <v>141</v>
      </c>
      <c r="S38" s="920" t="s">
        <v>142</v>
      </c>
      <c r="T38" s="920" t="s">
        <v>338</v>
      </c>
      <c r="U38" s="920" t="s">
        <v>143</v>
      </c>
      <c r="V38" s="920" t="s">
        <v>442</v>
      </c>
      <c r="W38" s="920" t="s">
        <v>443</v>
      </c>
      <c r="X38" s="920" t="s">
        <v>359</v>
      </c>
      <c r="Y38" s="1352" t="s">
        <v>360</v>
      </c>
      <c r="Z38" s="1352" t="s">
        <v>361</v>
      </c>
      <c r="AA38" s="1352" t="s">
        <v>362</v>
      </c>
      <c r="AB38" s="920" t="s">
        <v>140</v>
      </c>
      <c r="AC38" s="437" t="s">
        <v>139</v>
      </c>
      <c r="AF38" s="437" t="s">
        <v>468</v>
      </c>
      <c r="AG38" s="354" t="s">
        <v>469</v>
      </c>
      <c r="AH38" s="354" t="s">
        <v>470</v>
      </c>
      <c r="AI38" s="437" t="s">
        <v>471</v>
      </c>
    </row>
    <row r="39" spans="1:35" s="334" customFormat="1" ht="15">
      <c r="A39" s="431"/>
      <c r="B39" s="440"/>
      <c r="C39" s="72" t="s">
        <v>240</v>
      </c>
      <c r="D39" s="73"/>
      <c r="E39" s="73"/>
      <c r="F39" s="73"/>
      <c r="G39" s="73"/>
      <c r="H39" s="73" t="s">
        <v>241</v>
      </c>
      <c r="I39" s="74"/>
      <c r="J39" s="74"/>
      <c r="K39" s="74"/>
      <c r="L39" s="75" t="s">
        <v>242</v>
      </c>
      <c r="M39" s="74"/>
      <c r="N39" s="74"/>
      <c r="O39" s="76"/>
      <c r="P39" s="431"/>
      <c r="Q39" s="434"/>
      <c r="R39" s="437" t="s">
        <v>138</v>
      </c>
      <c r="S39" s="1345">
        <f>IF($U$35=$W$35,CO2計算!P78,CO2独自計算!$E6)</f>
        <v>6.13</v>
      </c>
      <c r="T39" s="1345">
        <f>IF($U$35=$W$35,CO2計算!P79,CO2独自計算!$E8)</f>
        <v>2.37</v>
      </c>
      <c r="U39" s="1345" t="e">
        <f>IF($U$35=$W$35,CO2計算!P80,CO2独自計算!$E10)</f>
        <v>#VALUE!</v>
      </c>
      <c r="V39" s="925"/>
      <c r="W39" s="925"/>
      <c r="X39" s="437"/>
      <c r="Y39" s="1353"/>
      <c r="Z39" s="1353"/>
      <c r="AA39" s="1353"/>
      <c r="AB39" s="1885">
        <v>1</v>
      </c>
      <c r="AC39" s="437" t="e">
        <f>IF(COUNTIF(S39:W39,AD40)&gt;0,AD40,SUM(S39:W39))</f>
        <v>#VALUE!</v>
      </c>
      <c r="AF39" s="437">
        <v>0</v>
      </c>
      <c r="AG39" s="354">
        <v>0</v>
      </c>
      <c r="AH39" s="354" t="e">
        <f>MAX(AC39:AC42)</f>
        <v>#VALUE!</v>
      </c>
      <c r="AI39" s="437">
        <v>0</v>
      </c>
    </row>
    <row r="40" spans="1:35" s="334" customFormat="1" ht="15">
      <c r="A40" s="431"/>
      <c r="B40" s="435"/>
      <c r="C40" s="77"/>
      <c r="D40" s="78"/>
      <c r="E40" s="79"/>
      <c r="G40" s="73">
        <f>S45</f>
        <v>3</v>
      </c>
      <c r="I40" s="80"/>
      <c r="K40" s="934">
        <f>V45</f>
        <v>3</v>
      </c>
      <c r="M40" s="81"/>
      <c r="O40" s="936">
        <f>Y45</f>
        <v>3</v>
      </c>
      <c r="P40" s="431"/>
      <c r="R40" s="437" t="s">
        <v>438</v>
      </c>
      <c r="S40" s="1345" t="e">
        <f>IF($U$35=$W$35,CO2計算!M78,CO2独自計算!$G6)</f>
        <v>#VALUE!</v>
      </c>
      <c r="T40" s="1345" t="e">
        <f>IF($U$35=$W$35,CO2計算!M79,CO2独自計算!$G8)</f>
        <v>#DIV/0!</v>
      </c>
      <c r="U40" s="1345" t="e">
        <f>IF($U$35=$W$35,CO2計算!M53,CO2独自計算!$G10)</f>
        <v>#VALUE!</v>
      </c>
      <c r="V40" s="925"/>
      <c r="W40" s="925"/>
      <c r="X40" s="1368" t="e">
        <f>IF(AC39&lt;AC40,0,IF(AF40&lt;0,0,AC39-AC40))</f>
        <v>#VALUE!</v>
      </c>
      <c r="Y40" s="1353"/>
      <c r="Z40" s="1353"/>
      <c r="AA40" s="1353"/>
      <c r="AB40" s="1885" t="e">
        <f>(IF(AC39=AD40,AD40,ROUNDUP((AC40/AC39),2)))</f>
        <v>#VALUE!</v>
      </c>
      <c r="AC40" s="437" t="e">
        <f>IF(COUNTIF(S40:W40,AD40)&gt;0,AD40,SUM(S40:W40))</f>
        <v>#VALUE!</v>
      </c>
      <c r="AD40" s="334" t="s">
        <v>583</v>
      </c>
      <c r="AF40" s="437" t="e">
        <f>IF(AC39&lt;AC40,0,IF(AC40&gt;0,0,IF(AC39&gt;0,AC40,AC40-AC39)))</f>
        <v>#VALUE!</v>
      </c>
      <c r="AG40" s="354" t="e">
        <f>IF(AC39&gt;0,0,AC39)</f>
        <v>#VALUE!</v>
      </c>
      <c r="AH40" s="354">
        <v>0</v>
      </c>
      <c r="AI40" s="437" t="e">
        <f>IF(AC39&lt;AC40,0,IF(AC39&lt;0,0,IF(AC40&lt;0,AC39,0)))</f>
        <v>#VALUE!</v>
      </c>
    </row>
    <row r="41" spans="1:35" s="334" customFormat="1" ht="15" customHeight="1">
      <c r="A41" s="431"/>
      <c r="B41" s="435"/>
      <c r="G41" s="65"/>
      <c r="H41" s="65"/>
      <c r="I41" s="66"/>
      <c r="J41" s="66"/>
      <c r="K41" s="65"/>
      <c r="L41" s="74"/>
      <c r="M41" s="74"/>
      <c r="N41" s="74"/>
      <c r="O41" s="76"/>
      <c r="P41" s="431"/>
      <c r="Q41" s="434"/>
      <c r="R41" s="437" t="s">
        <v>439</v>
      </c>
      <c r="S41" s="1345"/>
      <c r="T41" s="1345"/>
      <c r="U41" s="1345"/>
      <c r="V41" s="1346" t="e">
        <f>IF($U$35=$W$35,CO2計算!M70,CO2独自計算!$G11)+S40+T40</f>
        <v>#VALUE!</v>
      </c>
      <c r="W41" s="925"/>
      <c r="X41" s="1368" t="e">
        <f>IF(AC40&lt;AC41,0,IF(AF41&lt;0,0,AC40-AC41))</f>
        <v>#VALUE!</v>
      </c>
      <c r="Y41" s="1353"/>
      <c r="Z41" s="1353"/>
      <c r="AA41" s="1353"/>
      <c r="AB41" s="1885" t="e">
        <f>IF(OR(AC39=AD41,AC41=AD41),AD41,ROUNDUP(AC41/AC39,2))</f>
        <v>#VALUE!</v>
      </c>
      <c r="AC41" s="437" t="e">
        <f>IF(COUNTIF(S41:W41,AD41)&gt;0,AD41,SUM(S41:W41))</f>
        <v>#VALUE!</v>
      </c>
      <c r="AD41" s="334" t="s">
        <v>583</v>
      </c>
      <c r="AF41" s="437" t="e">
        <f>IF(AC40&lt;AC41,0,IF(AC41&gt;0,0,IF(AC40&gt;0,AC41,AC41-AC40)))</f>
        <v>#VALUE!</v>
      </c>
      <c r="AG41" s="354" t="e">
        <f>IF(AC40&gt;0,0,AC40)</f>
        <v>#VALUE!</v>
      </c>
      <c r="AH41" s="354">
        <v>0</v>
      </c>
      <c r="AI41" s="437" t="e">
        <f>IF(AC40&lt;AC41,0,IF(AC40&lt;0,0,IF(AC41&lt;0,AC40,0)))</f>
        <v>#VALUE!</v>
      </c>
    </row>
    <row r="42" spans="1:35" s="334" customFormat="1" ht="15" customHeight="1">
      <c r="A42" s="431"/>
      <c r="B42" s="435"/>
      <c r="G42" s="65"/>
      <c r="H42" s="65"/>
      <c r="I42" s="66"/>
      <c r="J42" s="66"/>
      <c r="K42" s="65"/>
      <c r="L42" s="74"/>
      <c r="M42" s="74"/>
      <c r="N42" s="74"/>
      <c r="O42" s="76"/>
      <c r="P42" s="431"/>
      <c r="Q42" s="434"/>
      <c r="R42" s="437" t="s">
        <v>440</v>
      </c>
      <c r="S42" s="1345"/>
      <c r="T42" s="1345"/>
      <c r="U42" s="1345"/>
      <c r="V42" s="1346"/>
      <c r="W42" s="1358" t="e">
        <f>IF($U$35=$W$35,CO2計算!M70,CO2独自計算!$G15)+S40+T40</f>
        <v>#VALUE!</v>
      </c>
      <c r="X42" s="1368" t="e">
        <f>IF(AC41&lt;AC42,0,IF(AF42&lt;0,0,AC41-AC42))</f>
        <v>#VALUE!</v>
      </c>
      <c r="Y42" s="1353"/>
      <c r="Z42" s="1353"/>
      <c r="AA42" s="1353"/>
      <c r="AB42" s="1885" t="e">
        <f>IF(OR(AC39=AD42,AC42=AD42),AD42,ROUNDUP(AC42/AC39,2))</f>
        <v>#VALUE!</v>
      </c>
      <c r="AC42" s="437" t="e">
        <f>IF(COUNTIF(S42:W42,AD42)&gt;0,AD42,SUM(S42:W42))</f>
        <v>#VALUE!</v>
      </c>
      <c r="AD42" s="334" t="s">
        <v>583</v>
      </c>
      <c r="AF42" s="437" t="e">
        <f>IF(AC41&lt;AC42,0,IF(AC42&gt;0,0,IF(AC41&gt;0,AC42,AC42-AC41)))</f>
        <v>#VALUE!</v>
      </c>
      <c r="AG42" s="354" t="e">
        <f>IF(AC41&gt;0,0,AC41)</f>
        <v>#VALUE!</v>
      </c>
      <c r="AH42" s="354">
        <v>0</v>
      </c>
      <c r="AI42" s="437" t="e">
        <f>IF(AC41&lt;AC42,0,IF(AC41&lt;0,0,IF(AC42&lt;0,AC41,0)))</f>
        <v>#VALUE!</v>
      </c>
    </row>
    <row r="43" spans="1:35" s="334" customFormat="1" ht="15" customHeight="1">
      <c r="A43" s="431"/>
      <c r="B43" s="435"/>
      <c r="G43" s="65"/>
      <c r="H43" s="65"/>
      <c r="I43" s="66"/>
      <c r="J43" s="66"/>
      <c r="K43" s="65"/>
      <c r="L43" s="74"/>
      <c r="M43" s="74"/>
      <c r="N43" s="74"/>
      <c r="O43" s="76"/>
      <c r="P43" s="431"/>
      <c r="Q43" s="434"/>
      <c r="W43" s="1369"/>
      <c r="X43" s="1369"/>
      <c r="AA43" s="355"/>
      <c r="AB43" s="355"/>
      <c r="AC43" s="1369"/>
    </row>
    <row r="44" spans="1:35" s="334" customFormat="1" ht="15" customHeight="1">
      <c r="A44" s="431"/>
      <c r="B44" s="435"/>
      <c r="G44" s="65"/>
      <c r="H44" s="65"/>
      <c r="I44" s="66"/>
      <c r="J44" s="66"/>
      <c r="K44" s="65"/>
      <c r="L44" s="74"/>
      <c r="M44" s="74"/>
      <c r="N44" s="74"/>
      <c r="O44" s="76"/>
      <c r="P44" s="431"/>
      <c r="Q44" s="434"/>
      <c r="R44" s="354"/>
      <c r="S44" s="354" t="s">
        <v>832</v>
      </c>
      <c r="T44" s="354" t="s">
        <v>833</v>
      </c>
      <c r="U44" s="354"/>
      <c r="V44" s="354" t="s">
        <v>832</v>
      </c>
      <c r="W44" s="354" t="s">
        <v>833</v>
      </c>
      <c r="X44" s="354"/>
      <c r="Y44" s="354" t="s">
        <v>832</v>
      </c>
      <c r="Z44" s="354" t="s">
        <v>833</v>
      </c>
      <c r="AA44" s="355"/>
      <c r="AB44" s="355"/>
    </row>
    <row r="45" spans="1:35" s="334" customFormat="1" ht="15" customHeight="1">
      <c r="A45" s="431"/>
      <c r="B45" s="435"/>
      <c r="G45" s="65"/>
      <c r="H45" s="65"/>
      <c r="I45" s="66"/>
      <c r="J45" s="66"/>
      <c r="K45" s="65"/>
      <c r="L45" s="74"/>
      <c r="M45" s="74"/>
      <c r="N45" s="74"/>
      <c r="O45" s="76"/>
      <c r="P45" s="431"/>
      <c r="Q45" s="434"/>
      <c r="R45" s="350" t="s">
        <v>227</v>
      </c>
      <c r="S45" s="360">
        <f>スコア!Q9</f>
        <v>3</v>
      </c>
      <c r="T45" s="354">
        <f>スコア!W9</f>
        <v>3</v>
      </c>
      <c r="U45" s="353" t="s">
        <v>834</v>
      </c>
      <c r="V45" s="500">
        <f>スコア!Q29</f>
        <v>3</v>
      </c>
      <c r="W45" s="354">
        <f>スコア!W29</f>
        <v>3</v>
      </c>
      <c r="X45" s="350" t="s">
        <v>835</v>
      </c>
      <c r="Y45" s="339">
        <f>スコア!Q44</f>
        <v>3</v>
      </c>
      <c r="Z45" s="339">
        <f>スコア!W44</f>
        <v>3</v>
      </c>
      <c r="AA45" s="355"/>
      <c r="AB45" s="355"/>
    </row>
    <row r="46" spans="1:35" s="334" customFormat="1" ht="15" customHeight="1">
      <c r="A46" s="431"/>
      <c r="B46" s="435"/>
      <c r="G46" s="82"/>
      <c r="H46" s="82"/>
      <c r="I46" s="66"/>
      <c r="J46" s="66"/>
      <c r="K46" s="65"/>
      <c r="L46" s="74"/>
      <c r="M46" s="74"/>
      <c r="N46" s="74"/>
      <c r="O46" s="76"/>
      <c r="P46" s="431"/>
      <c r="Q46" s="434"/>
      <c r="AA46" s="355"/>
      <c r="AB46" s="355"/>
    </row>
    <row r="47" spans="1:35" s="334" customFormat="1" ht="15" customHeight="1">
      <c r="A47" s="431"/>
      <c r="B47" s="435"/>
      <c r="G47" s="82"/>
      <c r="H47" s="82"/>
      <c r="I47" s="66"/>
      <c r="J47" s="66"/>
      <c r="K47" s="65"/>
      <c r="L47" s="74"/>
      <c r="M47" s="74"/>
      <c r="N47" s="74"/>
      <c r="O47" s="76"/>
      <c r="P47" s="431"/>
      <c r="Q47" s="434"/>
      <c r="R47" s="354"/>
      <c r="S47" s="354" t="s">
        <v>836</v>
      </c>
      <c r="T47" s="354" t="s">
        <v>837</v>
      </c>
      <c r="U47" s="354"/>
      <c r="V47" s="354" t="s">
        <v>836</v>
      </c>
      <c r="W47" s="354" t="s">
        <v>837</v>
      </c>
      <c r="X47" s="354"/>
      <c r="Y47" s="441" t="s">
        <v>836</v>
      </c>
      <c r="Z47" s="354" t="s">
        <v>837</v>
      </c>
      <c r="AA47" s="355"/>
      <c r="AB47" s="355"/>
    </row>
    <row r="48" spans="1:35" s="334" customFormat="1" ht="15" customHeight="1">
      <c r="A48" s="431"/>
      <c r="B48" s="435"/>
      <c r="G48" s="67"/>
      <c r="H48" s="67"/>
      <c r="I48" s="66"/>
      <c r="J48" s="83"/>
      <c r="K48" s="84"/>
      <c r="L48" s="85"/>
      <c r="M48" s="85"/>
      <c r="N48" s="85"/>
      <c r="O48" s="86"/>
      <c r="P48" s="74"/>
      <c r="Q48" s="434"/>
      <c r="R48" s="765" t="s">
        <v>838</v>
      </c>
      <c r="S48" s="360">
        <f>スコア!Q10</f>
        <v>3</v>
      </c>
      <c r="T48" s="354" t="str">
        <f>IF(S48=0,"N.A.","")</f>
        <v/>
      </c>
      <c r="U48" s="353" t="s">
        <v>618</v>
      </c>
      <c r="V48" s="339">
        <f>スコア!Q30</f>
        <v>3</v>
      </c>
      <c r="W48" s="354" t="str">
        <f>IF(V48=0,"N.A.","")</f>
        <v/>
      </c>
      <c r="X48" s="765" t="s">
        <v>393</v>
      </c>
      <c r="Y48" s="339">
        <f>スコア!Q45</f>
        <v>3</v>
      </c>
      <c r="Z48" s="354" t="str">
        <f>IF(Y48=0,"N.A.","")</f>
        <v/>
      </c>
      <c r="AA48" s="355"/>
      <c r="AB48" s="355"/>
    </row>
    <row r="49" spans="1:28" s="334" customFormat="1" ht="18" customHeight="1">
      <c r="A49" s="431"/>
      <c r="B49" s="737" t="s">
        <v>239</v>
      </c>
      <c r="C49" s="738"/>
      <c r="D49" s="739"/>
      <c r="E49" s="740"/>
      <c r="F49" s="740"/>
      <c r="G49" s="740"/>
      <c r="H49" s="740"/>
      <c r="I49" s="740"/>
      <c r="J49" s="71"/>
      <c r="K49" s="71"/>
      <c r="L49" s="726"/>
      <c r="M49" s="70" t="s">
        <v>237</v>
      </c>
      <c r="N49" s="398" t="e">
        <f>スコア!Q51</f>
        <v>#VALUE!</v>
      </c>
      <c r="O49" s="342"/>
      <c r="P49" s="431"/>
      <c r="Q49" s="434"/>
      <c r="R49" s="765" t="s">
        <v>839</v>
      </c>
      <c r="S49" s="360">
        <f>スコア!Q20</f>
        <v>3</v>
      </c>
      <c r="T49" s="354" t="str">
        <f>IF(S49=0,"N.A.","")</f>
        <v/>
      </c>
      <c r="U49" s="353" t="s">
        <v>571</v>
      </c>
      <c r="V49" s="339">
        <f>スコア!Q38</f>
        <v>3</v>
      </c>
      <c r="W49" s="354" t="str">
        <f>IF(V49=0,"N.A.","")</f>
        <v/>
      </c>
      <c r="X49" s="765" t="s">
        <v>441</v>
      </c>
      <c r="Y49" s="339">
        <f>スコア!Q46</f>
        <v>3</v>
      </c>
      <c r="Z49" s="354" t="str">
        <f>IF(Y49=0,"N.A.","")</f>
        <v/>
      </c>
      <c r="AA49" s="355"/>
      <c r="AB49" s="355"/>
    </row>
    <row r="50" spans="1:28" s="334" customFormat="1" ht="15">
      <c r="A50" s="431"/>
      <c r="B50" s="984"/>
      <c r="C50" s="715" t="s">
        <v>244</v>
      </c>
      <c r="D50" s="715"/>
      <c r="E50" s="716"/>
      <c r="F50" s="715"/>
      <c r="G50" s="715"/>
      <c r="H50" s="715" t="s">
        <v>243</v>
      </c>
      <c r="J50" s="715"/>
      <c r="K50" s="717"/>
      <c r="L50" s="715" t="s">
        <v>250</v>
      </c>
      <c r="O50" s="436"/>
      <c r="P50" s="431"/>
      <c r="Q50" s="434"/>
      <c r="R50" s="765" t="s">
        <v>840</v>
      </c>
      <c r="S50" s="360">
        <f>スコア!Q25</f>
        <v>3</v>
      </c>
      <c r="T50" s="354" t="str">
        <f>IF(S50=0,"N.A.","")</f>
        <v/>
      </c>
      <c r="U50" s="353" t="s">
        <v>395</v>
      </c>
      <c r="V50" s="339">
        <f>スコア!Q41</f>
        <v>3</v>
      </c>
      <c r="W50" s="354" t="str">
        <f>IF(V50=0,"N.A.","")</f>
        <v/>
      </c>
      <c r="X50" s="765" t="s">
        <v>841</v>
      </c>
      <c r="Y50" s="339">
        <f>スコア!Q49</f>
        <v>3</v>
      </c>
      <c r="Z50" s="354" t="str">
        <f>IF(Y50=0,"N.A.","")</f>
        <v/>
      </c>
      <c r="AA50" s="355"/>
      <c r="AB50" s="355"/>
    </row>
    <row r="51" spans="1:28" s="334" customFormat="1" ht="15">
      <c r="A51" s="74"/>
      <c r="B51" s="87"/>
      <c r="C51" s="77"/>
      <c r="D51" s="78"/>
      <c r="E51" s="79"/>
      <c r="G51" s="73">
        <f>S55</f>
        <v>4.3</v>
      </c>
      <c r="I51" s="80"/>
      <c r="K51" s="934">
        <f>V55</f>
        <v>3</v>
      </c>
      <c r="N51" s="73"/>
      <c r="O51" s="935" t="e">
        <f>Y55</f>
        <v>#VALUE!</v>
      </c>
      <c r="P51" s="74"/>
      <c r="Q51" s="434"/>
      <c r="R51" s="765" t="s">
        <v>842</v>
      </c>
      <c r="S51" s="360">
        <f>スコア!Q28</f>
        <v>3</v>
      </c>
      <c r="T51" s="354" t="str">
        <f>IF(S51=0,"N.A.","")</f>
        <v/>
      </c>
      <c r="U51" s="355"/>
      <c r="V51" s="355"/>
      <c r="W51" s="355"/>
      <c r="X51" s="353" t="s">
        <v>843</v>
      </c>
      <c r="Y51" s="339">
        <f>スコア!Q50</f>
        <v>3</v>
      </c>
      <c r="Z51" s="354" t="str">
        <f>IF(Y51=0,"N.A.","")</f>
        <v/>
      </c>
      <c r="AA51" s="355"/>
      <c r="AB51" s="355"/>
    </row>
    <row r="52" spans="1:28" s="334" customFormat="1" ht="14.25">
      <c r="A52" s="74"/>
      <c r="B52" s="87"/>
      <c r="C52" s="68"/>
      <c r="D52" s="68"/>
      <c r="E52" s="88"/>
      <c r="F52" s="67"/>
      <c r="G52" s="67"/>
      <c r="H52" s="67"/>
      <c r="I52" s="66"/>
      <c r="J52" s="66"/>
      <c r="K52" s="65"/>
      <c r="L52" s="65"/>
      <c r="M52" s="69"/>
      <c r="N52" s="69"/>
      <c r="O52" s="89"/>
      <c r="P52" s="74"/>
      <c r="Q52" s="434"/>
      <c r="R52" s="355"/>
      <c r="S52" s="355"/>
      <c r="T52" s="355"/>
      <c r="U52" s="355"/>
      <c r="V52" s="355"/>
      <c r="W52" s="355"/>
      <c r="X52" s="355"/>
      <c r="Y52" s="355"/>
      <c r="Z52" s="355"/>
      <c r="AA52" s="355"/>
      <c r="AB52" s="355"/>
    </row>
    <row r="53" spans="1:28" s="334" customFormat="1" ht="15.75" customHeight="1">
      <c r="A53" s="431"/>
      <c r="B53" s="87"/>
      <c r="C53" s="69"/>
      <c r="D53" s="90"/>
      <c r="E53" s="64"/>
      <c r="F53" s="65"/>
      <c r="G53" s="65"/>
      <c r="H53" s="65"/>
      <c r="I53" s="91"/>
      <c r="J53" s="66"/>
      <c r="K53" s="65"/>
      <c r="L53" s="65"/>
      <c r="M53" s="69"/>
      <c r="N53" s="69"/>
      <c r="O53" s="89"/>
      <c r="P53" s="431"/>
      <c r="Q53" s="434"/>
      <c r="AA53" s="355"/>
      <c r="AB53" s="355"/>
    </row>
    <row r="54" spans="1:28" s="334" customFormat="1" ht="15.75" customHeight="1">
      <c r="A54" s="431"/>
      <c r="B54" s="87"/>
      <c r="C54" s="62"/>
      <c r="D54" s="63"/>
      <c r="E54" s="64"/>
      <c r="F54" s="65"/>
      <c r="G54" s="65"/>
      <c r="H54" s="65"/>
      <c r="I54" s="91"/>
      <c r="J54" s="66"/>
      <c r="K54" s="65"/>
      <c r="L54" s="65"/>
      <c r="M54" s="69"/>
      <c r="N54" s="69"/>
      <c r="O54" s="89"/>
      <c r="P54" s="431"/>
      <c r="Q54" s="434"/>
      <c r="R54" s="354"/>
      <c r="S54" s="354" t="s">
        <v>844</v>
      </c>
      <c r="T54" s="354" t="s">
        <v>845</v>
      </c>
      <c r="U54" s="354"/>
      <c r="V54" s="354" t="s">
        <v>844</v>
      </c>
      <c r="W54" s="354" t="s">
        <v>845</v>
      </c>
      <c r="X54" s="354"/>
      <c r="Y54" s="354" t="s">
        <v>844</v>
      </c>
      <c r="Z54" s="354" t="s">
        <v>845</v>
      </c>
      <c r="AA54" s="355"/>
      <c r="AB54" s="355"/>
    </row>
    <row r="55" spans="1:28" s="334" customFormat="1" ht="15.75" customHeight="1">
      <c r="A55" s="431"/>
      <c r="B55" s="92"/>
      <c r="C55" s="62"/>
      <c r="D55" s="63"/>
      <c r="E55" s="64"/>
      <c r="F55" s="65"/>
      <c r="G55" s="65"/>
      <c r="H55" s="65"/>
      <c r="I55" s="91"/>
      <c r="J55" s="66"/>
      <c r="K55" s="65"/>
      <c r="L55" s="65"/>
      <c r="M55" s="69"/>
      <c r="N55" s="69"/>
      <c r="O55" s="89"/>
      <c r="P55" s="431"/>
      <c r="Q55" s="434"/>
      <c r="R55" s="353" t="s">
        <v>846</v>
      </c>
      <c r="S55" s="339">
        <f>スコア!Q52</f>
        <v>4.3</v>
      </c>
      <c r="T55" s="339">
        <f>スコア!W52</f>
        <v>4.3499999999999996</v>
      </c>
      <c r="U55" s="353" t="s">
        <v>388</v>
      </c>
      <c r="V55" s="352">
        <f>スコア!Q62</f>
        <v>3</v>
      </c>
      <c r="W55" s="352">
        <f>スコア!W62</f>
        <v>3.0000000000000009</v>
      </c>
      <c r="X55" s="831" t="s">
        <v>251</v>
      </c>
      <c r="Y55" s="339" t="e">
        <f>スコア!Q79</f>
        <v>#VALUE!</v>
      </c>
      <c r="Z55" s="339" t="e">
        <f>スコア!W79</f>
        <v>#VALUE!</v>
      </c>
      <c r="AA55" s="355"/>
      <c r="AB55" s="355"/>
    </row>
    <row r="56" spans="1:28" s="334" customFormat="1" ht="15.75" customHeight="1">
      <c r="A56" s="431"/>
      <c r="B56" s="92"/>
      <c r="C56" s="62"/>
      <c r="D56" s="63"/>
      <c r="E56" s="64"/>
      <c r="F56" s="65"/>
      <c r="G56" s="65"/>
      <c r="H56" s="65"/>
      <c r="I56" s="91"/>
      <c r="J56" s="66"/>
      <c r="K56" s="65"/>
      <c r="L56" s="65"/>
      <c r="M56" s="69"/>
      <c r="N56" s="69"/>
      <c r="O56" s="89"/>
      <c r="P56" s="431"/>
      <c r="Q56" s="434"/>
      <c r="Y56" s="442"/>
      <c r="AA56" s="355"/>
      <c r="AB56" s="355"/>
    </row>
    <row r="57" spans="1:28" s="334" customFormat="1" ht="15.75" customHeight="1">
      <c r="A57" s="431"/>
      <c r="B57" s="92"/>
      <c r="C57" s="62"/>
      <c r="D57" s="63"/>
      <c r="E57" s="64"/>
      <c r="F57" s="65"/>
      <c r="G57" s="65"/>
      <c r="H57" s="65"/>
      <c r="I57" s="91"/>
      <c r="J57" s="66"/>
      <c r="K57" s="65"/>
      <c r="L57" s="65"/>
      <c r="M57" s="69"/>
      <c r="N57" s="69"/>
      <c r="O57" s="89"/>
      <c r="P57" s="431"/>
      <c r="Q57" s="434"/>
      <c r="R57" s="354"/>
      <c r="S57" s="354" t="s">
        <v>847</v>
      </c>
      <c r="T57" s="354" t="s">
        <v>848</v>
      </c>
      <c r="U57" s="354"/>
      <c r="V57" s="354" t="s">
        <v>847</v>
      </c>
      <c r="W57" s="354" t="s">
        <v>848</v>
      </c>
      <c r="X57" s="354"/>
      <c r="Y57" s="441" t="s">
        <v>847</v>
      </c>
      <c r="Z57" s="354" t="s">
        <v>848</v>
      </c>
      <c r="AA57" s="355"/>
      <c r="AB57" s="355"/>
    </row>
    <row r="58" spans="1:28" s="334" customFormat="1" ht="15.75" customHeight="1">
      <c r="A58" s="431"/>
      <c r="B58" s="92"/>
      <c r="C58" s="62"/>
      <c r="D58" s="63"/>
      <c r="E58" s="64"/>
      <c r="F58" s="65"/>
      <c r="G58" s="65"/>
      <c r="H58" s="65"/>
      <c r="I58" s="91"/>
      <c r="J58" s="66"/>
      <c r="K58" s="65"/>
      <c r="L58" s="65"/>
      <c r="M58" s="69"/>
      <c r="N58" s="69"/>
      <c r="O58" s="89"/>
      <c r="P58" s="431"/>
      <c r="Q58" s="434"/>
      <c r="R58" s="1741" t="s">
        <v>699</v>
      </c>
      <c r="S58" s="359">
        <f>スコア!Q53</f>
        <v>4.8</v>
      </c>
      <c r="T58" s="354" t="str">
        <f>IF(S58=0,"N.A.","")</f>
        <v/>
      </c>
      <c r="U58" s="924" t="s">
        <v>849</v>
      </c>
      <c r="V58" s="339">
        <f>スコア!Q63</f>
        <v>3</v>
      </c>
      <c r="W58" s="354" t="str">
        <f>IF(V58=0,"N.A.","")</f>
        <v/>
      </c>
      <c r="X58" s="353" t="s">
        <v>144</v>
      </c>
      <c r="Y58" s="339" t="e">
        <f>スコア!Q80</f>
        <v>#VALUE!</v>
      </c>
      <c r="Z58" s="354" t="e">
        <f>IF(Y58=0,"N.A.","")</f>
        <v>#VALUE!</v>
      </c>
      <c r="AA58" s="355"/>
      <c r="AB58" s="355"/>
    </row>
    <row r="59" spans="1:28" s="334" customFormat="1" ht="15.75" customHeight="1" thickBot="1">
      <c r="A59" s="431"/>
      <c r="B59" s="93"/>
      <c r="C59" s="94"/>
      <c r="D59" s="95"/>
      <c r="E59" s="94"/>
      <c r="F59" s="61"/>
      <c r="G59" s="61"/>
      <c r="H59" s="61"/>
      <c r="I59" s="96"/>
      <c r="J59" s="97"/>
      <c r="K59" s="97"/>
      <c r="L59" s="97"/>
      <c r="M59" s="98"/>
      <c r="N59" s="98"/>
      <c r="O59" s="99"/>
      <c r="P59" s="431"/>
      <c r="Q59" s="434"/>
      <c r="R59" s="353" t="s">
        <v>850</v>
      </c>
      <c r="S59" s="359">
        <f>スコア!Q56</f>
        <v>3</v>
      </c>
      <c r="T59" s="354" t="str">
        <f>IF(S59=0,"N.A.","")</f>
        <v/>
      </c>
      <c r="U59" s="924" t="s">
        <v>532</v>
      </c>
      <c r="V59" s="339">
        <f>スコア!Q72</f>
        <v>3</v>
      </c>
      <c r="W59" s="354" t="str">
        <f>IF(V59=0,"N.A.","")</f>
        <v/>
      </c>
      <c r="X59" s="353" t="s">
        <v>145</v>
      </c>
      <c r="Y59" s="339">
        <f>スコア!Q81</f>
        <v>3</v>
      </c>
      <c r="Z59" s="354" t="str">
        <f>IF(Y59=0,"N.A.","")</f>
        <v/>
      </c>
      <c r="AA59" s="355"/>
      <c r="AB59" s="355"/>
    </row>
    <row r="60" spans="1:28" s="334" customFormat="1" ht="8.25" customHeight="1" thickBot="1">
      <c r="A60" s="431"/>
      <c r="B60" s="100"/>
      <c r="C60" s="91"/>
      <c r="D60" s="101"/>
      <c r="E60" s="64"/>
      <c r="F60" s="65"/>
      <c r="G60" s="65"/>
      <c r="H60" s="65"/>
      <c r="I60" s="66"/>
      <c r="J60" s="66"/>
      <c r="K60" s="65"/>
      <c r="L60" s="65"/>
      <c r="M60" s="69"/>
      <c r="N60" s="69"/>
      <c r="O60" s="98"/>
      <c r="P60" s="431"/>
      <c r="Q60" s="439"/>
      <c r="R60" s="353" t="s">
        <v>852</v>
      </c>
      <c r="S60" s="359">
        <f>スコア!Q59</f>
        <v>3</v>
      </c>
      <c r="T60" s="354" t="str">
        <f>IF(S60=0,"N.A.","")</f>
        <v/>
      </c>
      <c r="U60" s="353" t="s">
        <v>851</v>
      </c>
      <c r="V60" s="339">
        <f>スコア!Q76</f>
        <v>3</v>
      </c>
      <c r="W60" s="354" t="str">
        <f>IF(V60=0,"N.A.","")</f>
        <v/>
      </c>
      <c r="X60" s="353" t="s">
        <v>146</v>
      </c>
      <c r="Y60" s="339">
        <f>スコア!Q84</f>
        <v>3</v>
      </c>
      <c r="Z60" s="354" t="str">
        <f>IF(Y60=0,"N.A.","")</f>
        <v/>
      </c>
      <c r="AA60" s="355"/>
      <c r="AB60" s="355"/>
    </row>
    <row r="61" spans="1:28" s="334" customFormat="1" ht="15.75">
      <c r="A61" s="431"/>
      <c r="B61" s="388" t="s">
        <v>268</v>
      </c>
      <c r="C61" s="718"/>
      <c r="D61" s="719"/>
      <c r="E61" s="718"/>
      <c r="F61" s="718"/>
      <c r="G61" s="718"/>
      <c r="H61" s="720"/>
      <c r="I61" s="721"/>
      <c r="J61" s="718"/>
      <c r="K61" s="718"/>
      <c r="L61" s="718"/>
      <c r="M61" s="722"/>
      <c r="N61" s="722"/>
      <c r="O61" s="723"/>
      <c r="P61" s="431"/>
      <c r="Q61" s="439"/>
      <c r="U61" s="355"/>
      <c r="V61" s="358"/>
      <c r="W61" s="355"/>
      <c r="X61" s="355"/>
      <c r="Y61" s="355"/>
      <c r="Z61" s="355"/>
      <c r="AA61" s="355"/>
      <c r="AB61" s="355"/>
    </row>
    <row r="62" spans="1:28" s="334" customFormat="1" ht="14.25">
      <c r="A62" s="431"/>
      <c r="B62" s="943" t="s">
        <v>895</v>
      </c>
      <c r="C62" s="937"/>
      <c r="D62" s="938"/>
      <c r="E62" s="937"/>
      <c r="F62" s="937"/>
      <c r="G62" s="937"/>
      <c r="H62" s="937"/>
      <c r="I62" s="937"/>
      <c r="J62" s="937"/>
      <c r="K62" s="939"/>
      <c r="L62" s="940" t="s">
        <v>896</v>
      </c>
      <c r="M62" s="941"/>
      <c r="N62" s="941"/>
      <c r="O62" s="942"/>
      <c r="P62" s="431"/>
      <c r="Q62" s="439"/>
      <c r="R62" s="355"/>
      <c r="S62" s="355"/>
      <c r="T62" s="355"/>
      <c r="U62" s="355"/>
      <c r="V62" s="358"/>
      <c r="W62" s="355"/>
      <c r="X62" s="355"/>
      <c r="Y62" s="355"/>
      <c r="Z62" s="355"/>
      <c r="AA62" s="355"/>
      <c r="AB62" s="355"/>
    </row>
    <row r="63" spans="1:28" s="334" customFormat="1" ht="52.5" customHeight="1">
      <c r="A63" s="431"/>
      <c r="B63" s="2286" t="str">
        <f>IF(配慮!C4="","",配慮!C4)</f>
        <v/>
      </c>
      <c r="C63" s="2287"/>
      <c r="D63" s="2287"/>
      <c r="E63" s="2287"/>
      <c r="F63" s="2287"/>
      <c r="G63" s="2287"/>
      <c r="H63" s="2287"/>
      <c r="I63" s="2287"/>
      <c r="J63" s="2287"/>
      <c r="K63" s="2288"/>
      <c r="L63" s="2289" t="str">
        <f>IF(配慮!C11="","",配慮!C11)</f>
        <v/>
      </c>
      <c r="M63" s="2289"/>
      <c r="N63" s="2289"/>
      <c r="O63" s="2290"/>
      <c r="P63" s="431"/>
      <c r="Q63" s="439"/>
      <c r="R63" s="443"/>
      <c r="S63" s="355"/>
      <c r="T63" s="355"/>
      <c r="U63" s="355"/>
      <c r="V63" s="358"/>
      <c r="W63" s="355"/>
      <c r="X63" s="355"/>
      <c r="Y63" s="355"/>
      <c r="Z63" s="355"/>
      <c r="AA63" s="355"/>
      <c r="AB63" s="355"/>
    </row>
    <row r="64" spans="1:28" s="334" customFormat="1" ht="15">
      <c r="A64" s="431"/>
      <c r="B64" s="944" t="s">
        <v>201</v>
      </c>
      <c r="C64" s="941"/>
      <c r="D64" s="941"/>
      <c r="E64" s="941"/>
      <c r="F64" s="941"/>
      <c r="G64" s="945"/>
      <c r="H64" s="946" t="s">
        <v>202</v>
      </c>
      <c r="I64" s="947"/>
      <c r="J64" s="947"/>
      <c r="K64" s="948"/>
      <c r="L64" s="949" t="s">
        <v>203</v>
      </c>
      <c r="M64" s="950"/>
      <c r="N64" s="951"/>
      <c r="O64" s="952"/>
      <c r="P64" s="431"/>
      <c r="Q64" s="439"/>
      <c r="R64" s="355"/>
      <c r="S64" s="355"/>
      <c r="T64" s="355"/>
      <c r="U64" s="355"/>
      <c r="V64" s="355"/>
      <c r="W64" s="355"/>
      <c r="X64" s="355"/>
      <c r="Y64" s="355"/>
      <c r="Z64" s="355"/>
      <c r="AA64" s="355"/>
      <c r="AB64" s="355"/>
    </row>
    <row r="65" spans="1:60" s="334" customFormat="1" ht="50.25" customHeight="1">
      <c r="A65" s="431"/>
      <c r="B65" s="2291" t="str">
        <f>IF(配慮!C5="","",配慮!C5)</f>
        <v/>
      </c>
      <c r="C65" s="2289"/>
      <c r="D65" s="2289"/>
      <c r="E65" s="2289"/>
      <c r="F65" s="2289"/>
      <c r="G65" s="2292"/>
      <c r="H65" s="2293" t="str">
        <f>IF(配慮!C6="","",配慮!C6)</f>
        <v/>
      </c>
      <c r="I65" s="2289"/>
      <c r="J65" s="2289"/>
      <c r="K65" s="2292"/>
      <c r="L65" s="2293" t="str">
        <f>IF(配慮!C7="","",配慮!C7)</f>
        <v/>
      </c>
      <c r="M65" s="2289"/>
      <c r="N65" s="2289"/>
      <c r="O65" s="2290"/>
      <c r="P65" s="431"/>
      <c r="Q65" s="439"/>
      <c r="R65" s="355"/>
      <c r="S65" s="355"/>
      <c r="T65" s="355"/>
      <c r="U65" s="355"/>
      <c r="V65" s="355"/>
      <c r="W65" s="355"/>
      <c r="X65" s="355"/>
      <c r="Y65" s="355"/>
      <c r="Z65" s="355"/>
      <c r="AA65" s="355"/>
      <c r="AB65" s="355"/>
    </row>
    <row r="66" spans="1:60" s="334" customFormat="1" ht="15">
      <c r="A66" s="431"/>
      <c r="B66" s="953" t="s">
        <v>204</v>
      </c>
      <c r="C66" s="954"/>
      <c r="D66" s="938"/>
      <c r="E66" s="938"/>
      <c r="F66" s="938"/>
      <c r="G66" s="955"/>
      <c r="H66" s="956" t="s">
        <v>205</v>
      </c>
      <c r="I66" s="941"/>
      <c r="J66" s="941"/>
      <c r="K66" s="945"/>
      <c r="L66" s="957" t="s">
        <v>206</v>
      </c>
      <c r="M66" s="954"/>
      <c r="N66" s="938"/>
      <c r="O66" s="958"/>
      <c r="P66" s="431"/>
      <c r="Q66" s="439"/>
      <c r="R66" s="355"/>
      <c r="S66" s="355"/>
      <c r="T66" s="355"/>
      <c r="U66" s="355"/>
      <c r="V66" s="355"/>
      <c r="W66" s="355"/>
      <c r="X66" s="355"/>
      <c r="Y66" s="355"/>
      <c r="Z66" s="355"/>
      <c r="AA66" s="355"/>
      <c r="AB66" s="355"/>
    </row>
    <row r="67" spans="1:60" s="334" customFormat="1" ht="57.75" customHeight="1" thickBot="1">
      <c r="A67" s="431"/>
      <c r="B67" s="2265" t="str">
        <f>IF(配慮!C8="","",配慮!C8)</f>
        <v/>
      </c>
      <c r="C67" s="2266"/>
      <c r="D67" s="2266"/>
      <c r="E67" s="2266"/>
      <c r="F67" s="2266"/>
      <c r="G67" s="2267"/>
      <c r="H67" s="2283" t="str">
        <f>IF(配慮!C9="","",配慮!C9)</f>
        <v/>
      </c>
      <c r="I67" s="2266"/>
      <c r="J67" s="2266"/>
      <c r="K67" s="2267"/>
      <c r="L67" s="2283" t="str">
        <f>IF(配慮!C10="","",配慮!C10)</f>
        <v/>
      </c>
      <c r="M67" s="2266"/>
      <c r="N67" s="2266"/>
      <c r="O67" s="2285"/>
      <c r="P67" s="431"/>
      <c r="Q67" s="439"/>
      <c r="R67" s="355"/>
      <c r="S67" s="355"/>
      <c r="T67" s="355"/>
      <c r="U67" s="355"/>
      <c r="V67" s="355"/>
      <c r="W67" s="355"/>
      <c r="X67" s="355"/>
      <c r="Y67" s="355"/>
      <c r="Z67" s="355"/>
      <c r="AA67" s="355"/>
      <c r="AB67" s="355"/>
    </row>
    <row r="68" spans="1:60" ht="4.5" customHeight="1">
      <c r="A68" s="431"/>
      <c r="E68" s="450"/>
      <c r="F68" s="444"/>
      <c r="G68" s="447"/>
      <c r="H68" s="444"/>
      <c r="I68" s="445"/>
      <c r="J68" s="445"/>
      <c r="K68" s="444"/>
      <c r="L68" s="444"/>
      <c r="M68" s="446"/>
      <c r="N68" s="446"/>
      <c r="P68" s="431"/>
      <c r="R68" s="355"/>
      <c r="S68" s="355"/>
      <c r="T68" s="355"/>
      <c r="U68" s="355"/>
      <c r="V68" s="355"/>
      <c r="W68" s="355"/>
      <c r="X68" s="355"/>
      <c r="Y68" s="355"/>
      <c r="Z68" s="355"/>
      <c r="AA68" s="355"/>
      <c r="AB68" s="355"/>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row>
    <row r="69" spans="1:60" ht="14.25">
      <c r="R69" s="355"/>
      <c r="S69" s="355"/>
      <c r="T69" s="355"/>
      <c r="U69" s="355"/>
      <c r="V69" s="355"/>
      <c r="W69" s="355"/>
      <c r="X69" s="355"/>
      <c r="Y69" s="355"/>
      <c r="Z69" s="355"/>
      <c r="AA69" s="355"/>
      <c r="AB69" s="355"/>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4"/>
      <c r="AY69" s="334"/>
      <c r="AZ69" s="334"/>
      <c r="BA69" s="334"/>
      <c r="BB69" s="334"/>
      <c r="BC69" s="334"/>
      <c r="BD69" s="334"/>
      <c r="BE69" s="334"/>
      <c r="BF69" s="334"/>
      <c r="BG69" s="334"/>
      <c r="BH69" s="334"/>
    </row>
    <row r="70" spans="1:60" ht="14.25" customHeight="1">
      <c r="R70" s="355"/>
      <c r="S70" s="355"/>
      <c r="T70" s="355"/>
      <c r="U70" s="355"/>
      <c r="V70" s="355"/>
      <c r="W70" s="355"/>
      <c r="X70" s="355"/>
      <c r="Y70" s="355"/>
      <c r="Z70" s="355"/>
      <c r="AA70" s="355"/>
      <c r="AB70" s="355"/>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4"/>
      <c r="AY70" s="334"/>
      <c r="AZ70" s="334"/>
      <c r="BA70" s="334"/>
      <c r="BB70" s="334"/>
      <c r="BC70" s="334"/>
      <c r="BD70" s="334"/>
      <c r="BE70" s="334"/>
      <c r="BF70" s="334"/>
      <c r="BG70" s="334"/>
      <c r="BH70" s="334"/>
    </row>
    <row r="71" spans="1:60" ht="14.25" customHeight="1">
      <c r="R71" s="355"/>
      <c r="S71" s="355"/>
      <c r="T71" s="355"/>
      <c r="U71" s="355"/>
      <c r="V71" s="355"/>
      <c r="W71" s="355"/>
      <c r="X71" s="355"/>
      <c r="Y71" s="355"/>
      <c r="Z71" s="355"/>
      <c r="AA71" s="355"/>
      <c r="AB71" s="355"/>
      <c r="AC71" s="334"/>
      <c r="AD71" s="334"/>
      <c r="AE71" s="334"/>
      <c r="AF71" s="334"/>
      <c r="AG71" s="334"/>
      <c r="AH71" s="334"/>
      <c r="AI71" s="334"/>
      <c r="AJ71" s="334"/>
      <c r="AK71" s="334"/>
      <c r="AL71" s="334"/>
      <c r="AM71" s="334"/>
      <c r="AN71" s="334"/>
      <c r="AO71" s="334"/>
      <c r="AP71" s="334"/>
      <c r="AQ71" s="334"/>
      <c r="AR71" s="334"/>
      <c r="AS71" s="334"/>
      <c r="AT71" s="334"/>
      <c r="AU71" s="334"/>
      <c r="AV71" s="334"/>
      <c r="AW71" s="334"/>
      <c r="AX71" s="334"/>
      <c r="AY71" s="334"/>
      <c r="AZ71" s="334"/>
      <c r="BA71" s="334"/>
      <c r="BB71" s="334"/>
      <c r="BC71" s="334"/>
      <c r="BD71" s="334"/>
      <c r="BE71" s="334"/>
      <c r="BF71" s="334"/>
      <c r="BG71" s="334"/>
      <c r="BH71" s="334"/>
    </row>
    <row r="72" spans="1:60" ht="14.25" customHeight="1"/>
    <row r="73" spans="1:60" ht="14.25" customHeight="1"/>
    <row r="74" spans="1:60" ht="14.25" customHeight="1"/>
    <row r="75" spans="1:60" ht="14.25" hidden="1" customHeight="1"/>
    <row r="76" spans="1:60" ht="14.25" hidden="1" customHeight="1"/>
    <row r="77" spans="1:60" ht="0" hidden="1" customHeight="1"/>
    <row r="78" spans="1:60" ht="0" hidden="1" customHeight="1"/>
    <row r="79" spans="1:60" ht="0" hidden="1" customHeight="1"/>
    <row r="80" spans="1:60" ht="0" hidden="1" customHeight="1"/>
  </sheetData>
  <sheetProtection sheet="1" objects="1" scenarios="1"/>
  <mergeCells count="22">
    <mergeCell ref="D9:F9"/>
    <mergeCell ref="D8:F8"/>
    <mergeCell ref="Q2:Q5"/>
    <mergeCell ref="G16:G17"/>
    <mergeCell ref="G13:G14"/>
    <mergeCell ref="H12:K14"/>
    <mergeCell ref="L67:O67"/>
    <mergeCell ref="B63:K63"/>
    <mergeCell ref="L63:O63"/>
    <mergeCell ref="B65:G65"/>
    <mergeCell ref="H65:K65"/>
    <mergeCell ref="L65:O65"/>
    <mergeCell ref="H34:K36"/>
    <mergeCell ref="D18:F18"/>
    <mergeCell ref="B67:G67"/>
    <mergeCell ref="D10:F10"/>
    <mergeCell ref="D11:F11"/>
    <mergeCell ref="D12:F12"/>
    <mergeCell ref="D13:F13"/>
    <mergeCell ref="D14:F14"/>
    <mergeCell ref="H67:K67"/>
    <mergeCell ref="H31:H32"/>
  </mergeCells>
  <phoneticPr fontId="4"/>
  <conditionalFormatting sqref="H33 H25:H31 I25:K33">
    <cfRule type="expression" dxfId="163" priority="1" stopIfTrue="1">
      <formula>$U$35=$W$36</formula>
    </cfRule>
  </conditionalFormatting>
  <hyperlinks>
    <hyperlink ref="Q2" location="メイン!A1" display="戻る"/>
  </hyperlinks>
  <printOptions horizontalCentered="1"/>
  <pageMargins left="0.70866141732283472" right="0.62992125984251968" top="0.78740157480314965" bottom="0.78740157480314965" header="0.51181102362204722" footer="0.51181102362204722"/>
  <pageSetup paperSize="9" scale="67" orientation="portrait" horizontalDpi="4294967293" verticalDpi="4294967293" r:id="rId1"/>
  <headerFooter alignWithMargins="0">
    <oddHeader>&amp;L&amp;F&amp;R&amp;A</oddHeader>
    <oddFooter>&amp;C&amp;P/&amp;N</oddFooter>
  </headerFooter>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XFC115"/>
  <sheetViews>
    <sheetView showGridLines="0" zoomScaleNormal="100" workbookViewId="0">
      <selection activeCell="H12" sqref="H12:L12"/>
    </sheetView>
  </sheetViews>
  <sheetFormatPr defaultColWidth="0" defaultRowHeight="12.6" customHeight="1" zeroHeight="1"/>
  <cols>
    <col min="1" max="1" width="1.875" style="458" customWidth="1"/>
    <col min="2" max="2" width="6.875" style="458" customWidth="1"/>
    <col min="3" max="3" width="6" style="702" customWidth="1"/>
    <col min="4" max="4" width="7.375" style="41" customWidth="1"/>
    <col min="5" max="5" width="12.375" style="458" customWidth="1"/>
    <col min="6" max="6" width="16.375" style="458" customWidth="1"/>
    <col min="7" max="7" width="6.5" style="458" hidden="1" customWidth="1"/>
    <col min="8" max="12" width="8.5" style="698" customWidth="1"/>
    <col min="13" max="13" width="10.125" style="698" customWidth="1"/>
    <col min="14" max="14" width="9.5" style="699" customWidth="1"/>
    <col min="15" max="15" width="9.75" style="700" hidden="1" customWidth="1"/>
    <col min="16" max="16" width="9.75" style="458" hidden="1" customWidth="1"/>
    <col min="17" max="17" width="7.25" style="508" customWidth="1"/>
    <col min="18" max="18" width="1.75" style="508" customWidth="1"/>
    <col min="19" max="19" width="11.25" style="701" hidden="1" customWidth="1"/>
    <col min="20" max="20" width="5.875" style="508" hidden="1" customWidth="1"/>
    <col min="21" max="21" width="9.625" style="701" hidden="1" customWidth="1"/>
    <col min="22" max="22" width="4.625" style="508" hidden="1" customWidth="1"/>
    <col min="23" max="23" width="12.25" style="508" hidden="1" customWidth="1"/>
    <col min="24" max="24" width="3.625" style="508" hidden="1" customWidth="1"/>
    <col min="25" max="25" width="17.5" style="457" hidden="1" customWidth="1"/>
    <col min="26" max="26" width="2.5" style="457" hidden="1" customWidth="1"/>
    <col min="27" max="27" width="13.5" style="457" hidden="1"/>
    <col min="28" max="255" width="9" style="458" hidden="1"/>
    <col min="256" max="16383" width="1.25" style="458" hidden="1"/>
    <col min="16384" max="16384" width="1.75" style="458" hidden="1"/>
  </cols>
  <sheetData>
    <row r="1" spans="1:27" ht="12.6" customHeight="1" thickBot="1"/>
    <row r="2" spans="1:27" ht="17.25">
      <c r="B2" s="1106" t="str">
        <f>メイン!C6</f>
        <v>CASBEE-戸建（新築）2018年版</v>
      </c>
      <c r="C2" s="1107"/>
      <c r="D2" s="1108"/>
      <c r="E2" s="1109"/>
      <c r="F2" s="1110"/>
      <c r="K2" s="2316" t="s">
        <v>107</v>
      </c>
      <c r="L2" s="2316"/>
      <c r="M2" s="1103" t="str">
        <f>メイン!C6</f>
        <v>CASBEE-戸建（新築）2018年版</v>
      </c>
      <c r="N2" s="1116"/>
    </row>
    <row r="3" spans="1:27" ht="15.75" customHeight="1" thickBot="1">
      <c r="B3" s="1111" t="str">
        <f>メイン!$C$10</f>
        <v>〇〇邸</v>
      </c>
      <c r="C3" s="1112"/>
      <c r="D3" s="1113"/>
      <c r="E3" s="1114"/>
      <c r="F3" s="1115"/>
      <c r="K3" s="2317" t="s">
        <v>54</v>
      </c>
      <c r="L3" s="2317"/>
      <c r="M3" s="1104" t="str">
        <f>メイン!C5</f>
        <v>CASBEE-DH_NC_2018v1.0</v>
      </c>
      <c r="N3" s="1117"/>
    </row>
    <row r="4" spans="1:27" ht="7.5" customHeight="1" thickBot="1"/>
    <row r="5" spans="1:27" ht="18" customHeight="1" thickBot="1">
      <c r="A5" s="54"/>
      <c r="B5" s="102" t="s">
        <v>60</v>
      </c>
      <c r="C5" s="201"/>
      <c r="D5" s="202"/>
      <c r="E5" s="2323" t="str">
        <f>IF(メイン!E31=0,"",メイン!E31)</f>
        <v/>
      </c>
      <c r="F5" s="2324"/>
      <c r="G5" s="459"/>
      <c r="H5" s="181"/>
      <c r="I5" s="181"/>
      <c r="J5" s="181"/>
      <c r="K5" s="181"/>
      <c r="L5" s="181"/>
      <c r="M5" s="181"/>
      <c r="N5" s="181"/>
      <c r="O5" s="181"/>
      <c r="P5" s="181"/>
      <c r="Q5" s="182"/>
      <c r="R5" s="509"/>
      <c r="S5" s="460"/>
      <c r="T5" s="265"/>
      <c r="U5" s="460"/>
      <c r="V5" s="265"/>
      <c r="W5" s="265"/>
      <c r="X5" s="509"/>
      <c r="Y5" s="340" t="s">
        <v>476</v>
      </c>
      <c r="AA5" s="340" t="s">
        <v>397</v>
      </c>
    </row>
    <row r="6" spans="1:27" ht="13.5" hidden="1">
      <c r="A6" s="54"/>
      <c r="B6" s="704"/>
      <c r="C6" s="705"/>
      <c r="D6" s="706"/>
      <c r="E6" s="707"/>
      <c r="F6" s="708"/>
      <c r="G6" s="709"/>
      <c r="H6" s="710"/>
      <c r="I6" s="711"/>
      <c r="J6" s="711"/>
      <c r="K6" s="711"/>
      <c r="L6" s="711"/>
      <c r="M6" s="634" t="s">
        <v>476</v>
      </c>
      <c r="N6" s="712"/>
      <c r="O6" s="634" t="s">
        <v>397</v>
      </c>
      <c r="P6" s="713"/>
      <c r="Q6" s="714"/>
      <c r="R6" s="509"/>
      <c r="S6" s="461" t="s">
        <v>965</v>
      </c>
      <c r="T6" s="341"/>
      <c r="U6" s="462" t="s">
        <v>111</v>
      </c>
      <c r="V6" s="341"/>
      <c r="W6" s="341"/>
      <c r="X6" s="509"/>
      <c r="Y6" s="463">
        <f>重み!D7</f>
        <v>1</v>
      </c>
      <c r="AA6" s="463">
        <f>重み!E7</f>
        <v>0</v>
      </c>
    </row>
    <row r="7" spans="1:27" ht="26.25" customHeight="1">
      <c r="A7" s="54"/>
      <c r="B7" s="982" t="s">
        <v>947</v>
      </c>
      <c r="C7" s="203"/>
      <c r="D7" s="204"/>
      <c r="E7" s="660"/>
      <c r="F7" s="205"/>
      <c r="G7" s="659" t="s">
        <v>808</v>
      </c>
      <c r="H7" s="981" t="s">
        <v>897</v>
      </c>
      <c r="I7" s="183"/>
      <c r="J7" s="183"/>
      <c r="K7" s="183"/>
      <c r="L7" s="184"/>
      <c r="M7" s="185" t="s">
        <v>386</v>
      </c>
      <c r="N7" s="186" t="s">
        <v>543</v>
      </c>
      <c r="O7" s="187" t="s">
        <v>386</v>
      </c>
      <c r="P7" s="188" t="s">
        <v>543</v>
      </c>
      <c r="Q7" s="1236" t="s">
        <v>61</v>
      </c>
      <c r="R7" s="509"/>
      <c r="S7" s="464" t="s">
        <v>387</v>
      </c>
      <c r="T7" s="186" t="s">
        <v>543</v>
      </c>
      <c r="U7" s="464" t="s">
        <v>387</v>
      </c>
      <c r="V7" s="186" t="s">
        <v>543</v>
      </c>
      <c r="W7" s="348" t="s">
        <v>404</v>
      </c>
      <c r="X7" s="509"/>
      <c r="Y7" s="463" t="s">
        <v>378</v>
      </c>
      <c r="AA7" s="463" t="s">
        <v>378</v>
      </c>
    </row>
    <row r="8" spans="1:27" ht="18" customHeight="1" thickBot="1">
      <c r="A8" s="54"/>
      <c r="B8" s="206" t="s">
        <v>525</v>
      </c>
      <c r="C8" s="207"/>
      <c r="D8" s="661"/>
      <c r="E8" s="662"/>
      <c r="F8" s="682"/>
      <c r="G8" s="682"/>
      <c r="H8" s="189"/>
      <c r="I8" s="190"/>
      <c r="J8" s="190"/>
      <c r="K8" s="190"/>
      <c r="L8" s="191"/>
      <c r="M8" s="192"/>
      <c r="N8" s="690"/>
      <c r="O8" s="193"/>
      <c r="P8" s="194"/>
      <c r="Q8" s="1143">
        <f>ROUNDDOWN(W8,1)</f>
        <v>3</v>
      </c>
      <c r="R8" s="509"/>
      <c r="S8" s="485"/>
      <c r="T8" s="642"/>
      <c r="U8" s="465"/>
      <c r="V8" s="345"/>
      <c r="W8" s="507">
        <f>T9*W9+T29*W29+T44*W44</f>
        <v>3</v>
      </c>
      <c r="X8" s="509"/>
      <c r="Y8" s="463">
        <f>重み!M8</f>
        <v>0</v>
      </c>
      <c r="AA8" s="463">
        <f>重み!N8</f>
        <v>0</v>
      </c>
    </row>
    <row r="9" spans="1:27" ht="17.25" thickBot="1">
      <c r="A9" s="54"/>
      <c r="B9" s="208" t="s">
        <v>779</v>
      </c>
      <c r="C9" s="209" t="s">
        <v>900</v>
      </c>
      <c r="D9" s="663"/>
      <c r="E9" s="663"/>
      <c r="F9" s="210"/>
      <c r="G9" s="210"/>
      <c r="H9" s="195"/>
      <c r="I9" s="196"/>
      <c r="J9" s="196"/>
      <c r="K9" s="196"/>
      <c r="L9" s="197"/>
      <c r="M9" s="198"/>
      <c r="N9" s="199">
        <f>T9</f>
        <v>0.45</v>
      </c>
      <c r="O9" s="198"/>
      <c r="P9" s="199">
        <f t="shared" ref="P9:P53" si="0">V9</f>
        <v>0</v>
      </c>
      <c r="Q9" s="200">
        <f>ROUNDDOWN(W9,1)</f>
        <v>3</v>
      </c>
      <c r="R9" s="509"/>
      <c r="S9" s="465"/>
      <c r="T9" s="643">
        <f>重み!D9</f>
        <v>0.45</v>
      </c>
      <c r="U9" s="465"/>
      <c r="V9" s="346">
        <f>重み!E9</f>
        <v>0</v>
      </c>
      <c r="W9" s="507">
        <f>W10*T10+W20*T20+W25*T25+W28*T28</f>
        <v>3</v>
      </c>
      <c r="X9" s="509"/>
      <c r="Y9" s="463">
        <f>重み!M9</f>
        <v>0.45</v>
      </c>
      <c r="AA9" s="463">
        <f>重み!N9</f>
        <v>0</v>
      </c>
    </row>
    <row r="10" spans="1:27" ht="13.5">
      <c r="A10" s="54"/>
      <c r="B10" s="211">
        <v>1</v>
      </c>
      <c r="C10" s="212" t="s">
        <v>552</v>
      </c>
      <c r="D10" s="664"/>
      <c r="E10" s="665"/>
      <c r="F10" s="214"/>
      <c r="G10" s="214"/>
      <c r="H10" s="1245"/>
      <c r="I10" s="1246"/>
      <c r="J10" s="1246"/>
      <c r="K10" s="1246"/>
      <c r="L10" s="1247"/>
      <c r="M10" s="296">
        <f>ROUNDDOWN(S10,1)</f>
        <v>3</v>
      </c>
      <c r="N10" s="267">
        <f t="shared" ref="N10:N32" si="1">T10</f>
        <v>0.5</v>
      </c>
      <c r="O10" s="296">
        <f>ROUNDDOWN(U10,1)</f>
        <v>0</v>
      </c>
      <c r="P10" s="267">
        <f t="shared" si="0"/>
        <v>0</v>
      </c>
      <c r="Q10" s="268">
        <f>ROUNDDOWN(W10,1)</f>
        <v>3</v>
      </c>
      <c r="R10" s="509"/>
      <c r="S10" s="344">
        <f>S11*T11+S14*T14+S17*T17</f>
        <v>3</v>
      </c>
      <c r="T10" s="644">
        <f>重み!D10</f>
        <v>0.5</v>
      </c>
      <c r="U10" s="465"/>
      <c r="V10" s="503">
        <f>重み!E10</f>
        <v>0</v>
      </c>
      <c r="W10" s="507">
        <f>IF(U10=0,S10,IF(S10=0,U10,S10*Y$6+U10*AA$6))</f>
        <v>3</v>
      </c>
      <c r="X10" s="509"/>
      <c r="Y10" s="463">
        <f>重み!M10</f>
        <v>0.5</v>
      </c>
      <c r="AA10" s="463">
        <f>重み!N10</f>
        <v>0</v>
      </c>
    </row>
    <row r="11" spans="1:27" ht="14.25" thickBot="1">
      <c r="A11" s="54"/>
      <c r="B11" s="215"/>
      <c r="C11" s="216">
        <v>1.1000000000000001</v>
      </c>
      <c r="D11" s="217" t="s">
        <v>553</v>
      </c>
      <c r="E11" s="218"/>
      <c r="F11" s="219"/>
      <c r="G11" s="219"/>
      <c r="H11" s="1248"/>
      <c r="I11" s="1249"/>
      <c r="J11" s="1249"/>
      <c r="K11" s="1249"/>
      <c r="L11" s="1250"/>
      <c r="M11" s="269">
        <f t="shared" ref="M11:M43" si="2">ROUNDDOWN(S11,1)</f>
        <v>3</v>
      </c>
      <c r="N11" s="288">
        <f t="shared" si="1"/>
        <v>0.5</v>
      </c>
      <c r="O11" s="269">
        <f t="shared" ref="O11:O34" si="3">ROUNDDOWN(U11,1)</f>
        <v>0</v>
      </c>
      <c r="P11" s="288">
        <f t="shared" si="0"/>
        <v>0</v>
      </c>
      <c r="Q11" s="270"/>
      <c r="R11" s="509"/>
      <c r="S11" s="344">
        <f>SUMPRODUCT(S12:S13,T12:T13)</f>
        <v>3.0000000000000004</v>
      </c>
      <c r="T11" s="644">
        <f>重み!D11</f>
        <v>0.5</v>
      </c>
      <c r="U11" s="465"/>
      <c r="V11" s="347">
        <f>重み!E11</f>
        <v>0</v>
      </c>
      <c r="W11" s="343"/>
      <c r="X11" s="509"/>
      <c r="Y11" s="463">
        <f>重み!M11</f>
        <v>0.5</v>
      </c>
      <c r="AA11" s="463">
        <f>重み!N11</f>
        <v>0</v>
      </c>
    </row>
    <row r="12" spans="1:27" ht="13.5">
      <c r="A12" s="54"/>
      <c r="B12" s="215"/>
      <c r="C12" s="220"/>
      <c r="D12" s="666">
        <v>1</v>
      </c>
      <c r="E12" s="221" t="s">
        <v>1054</v>
      </c>
      <c r="F12" s="222"/>
      <c r="G12" s="222"/>
      <c r="H12" s="2313">
        <f>採点Q1!I15</f>
        <v>0</v>
      </c>
      <c r="I12" s="2314"/>
      <c r="J12" s="2314"/>
      <c r="K12" s="2314"/>
      <c r="L12" s="2325"/>
      <c r="M12" s="271">
        <f t="shared" si="2"/>
        <v>3</v>
      </c>
      <c r="N12" s="283">
        <f t="shared" si="1"/>
        <v>0.8</v>
      </c>
      <c r="O12" s="271">
        <f t="shared" si="3"/>
        <v>0</v>
      </c>
      <c r="P12" s="283">
        <f t="shared" si="0"/>
        <v>0</v>
      </c>
      <c r="Q12" s="268"/>
      <c r="R12" s="509"/>
      <c r="S12" s="466">
        <f>IF(採点Q1!D8="対象外",0,採点Q1!D8)</f>
        <v>3</v>
      </c>
      <c r="T12" s="644">
        <f>重み!D12</f>
        <v>0.8</v>
      </c>
      <c r="U12" s="465"/>
      <c r="V12" s="347">
        <f>重み!E12</f>
        <v>0</v>
      </c>
      <c r="W12" s="343"/>
      <c r="X12" s="509"/>
      <c r="Y12" s="463">
        <f>重み!M12</f>
        <v>0.8</v>
      </c>
      <c r="AA12" s="463">
        <f>重み!N12</f>
        <v>0</v>
      </c>
    </row>
    <row r="13" spans="1:27" ht="14.25" thickBot="1">
      <c r="A13" s="54"/>
      <c r="B13" s="215"/>
      <c r="C13" s="223"/>
      <c r="D13" s="666">
        <v>2</v>
      </c>
      <c r="E13" s="224" t="s">
        <v>554</v>
      </c>
      <c r="F13" s="219"/>
      <c r="G13" s="219"/>
      <c r="H13" s="2313">
        <f>採点Q1!I25</f>
        <v>0</v>
      </c>
      <c r="I13" s="2314"/>
      <c r="J13" s="2314"/>
      <c r="K13" s="2314"/>
      <c r="L13" s="2325"/>
      <c r="M13" s="272">
        <f t="shared" si="2"/>
        <v>3</v>
      </c>
      <c r="N13" s="283">
        <f t="shared" si="1"/>
        <v>0.2</v>
      </c>
      <c r="O13" s="272">
        <f t="shared" si="3"/>
        <v>0</v>
      </c>
      <c r="P13" s="283">
        <f t="shared" si="0"/>
        <v>0</v>
      </c>
      <c r="Q13" s="268"/>
      <c r="R13" s="509"/>
      <c r="S13" s="466">
        <f>IF(採点Q1!D18="対象外",0,採点Q1!D18)</f>
        <v>3</v>
      </c>
      <c r="T13" s="644">
        <f>重み!D13</f>
        <v>0.2</v>
      </c>
      <c r="U13" s="465"/>
      <c r="V13" s="347">
        <f>重み!E13</f>
        <v>0</v>
      </c>
      <c r="W13" s="343"/>
      <c r="X13" s="509"/>
      <c r="Y13" s="463">
        <f>重み!M13</f>
        <v>0.2</v>
      </c>
      <c r="AA13" s="463">
        <f>重み!N13</f>
        <v>0</v>
      </c>
    </row>
    <row r="14" spans="1:27" ht="14.25" thickBot="1">
      <c r="A14" s="54"/>
      <c r="B14" s="215"/>
      <c r="C14" s="225">
        <v>1.2</v>
      </c>
      <c r="D14" s="226" t="s">
        <v>555</v>
      </c>
      <c r="E14" s="226"/>
      <c r="F14" s="227"/>
      <c r="G14" s="227"/>
      <c r="H14" s="1251"/>
      <c r="I14" s="1252"/>
      <c r="J14" s="1252"/>
      <c r="K14" s="1252"/>
      <c r="L14" s="1253"/>
      <c r="M14" s="269">
        <f t="shared" si="2"/>
        <v>3</v>
      </c>
      <c r="N14" s="283">
        <f t="shared" si="1"/>
        <v>0.25</v>
      </c>
      <c r="O14" s="269">
        <f t="shared" si="3"/>
        <v>0</v>
      </c>
      <c r="P14" s="283">
        <f t="shared" si="0"/>
        <v>0</v>
      </c>
      <c r="Q14" s="268"/>
      <c r="R14" s="509"/>
      <c r="S14" s="344">
        <f>SUMPRODUCT(S15:S16,T15:T16)</f>
        <v>3</v>
      </c>
      <c r="T14" s="644">
        <f>重み!D14</f>
        <v>0.25</v>
      </c>
      <c r="U14" s="465"/>
      <c r="V14" s="347">
        <f>重み!E14</f>
        <v>0</v>
      </c>
      <c r="W14" s="343"/>
      <c r="X14" s="509"/>
      <c r="Y14" s="463">
        <f>重み!M14</f>
        <v>0.25</v>
      </c>
      <c r="AA14" s="463">
        <f>重み!N14</f>
        <v>0</v>
      </c>
    </row>
    <row r="15" spans="1:27" ht="13.5">
      <c r="A15" s="54"/>
      <c r="B15" s="215"/>
      <c r="C15" s="225"/>
      <c r="D15" s="666">
        <v>1</v>
      </c>
      <c r="E15" s="224" t="s">
        <v>556</v>
      </c>
      <c r="F15" s="219"/>
      <c r="G15" s="219"/>
      <c r="H15" s="2313">
        <f>採点Q1!I36</f>
        <v>0</v>
      </c>
      <c r="I15" s="2314"/>
      <c r="J15" s="2314"/>
      <c r="K15" s="2314"/>
      <c r="L15" s="2315"/>
      <c r="M15" s="271">
        <f t="shared" si="2"/>
        <v>3</v>
      </c>
      <c r="N15" s="283">
        <f t="shared" si="1"/>
        <v>0.5</v>
      </c>
      <c r="O15" s="271">
        <f t="shared" si="3"/>
        <v>0</v>
      </c>
      <c r="P15" s="283">
        <f t="shared" si="0"/>
        <v>0</v>
      </c>
      <c r="Q15" s="268"/>
      <c r="R15" s="509"/>
      <c r="S15" s="466">
        <f>IF(採点Q1!D29="対象外",0,採点Q1!D29)</f>
        <v>3</v>
      </c>
      <c r="T15" s="644">
        <f>重み!D15</f>
        <v>0.5</v>
      </c>
      <c r="U15" s="465"/>
      <c r="V15" s="347">
        <f>重み!E15</f>
        <v>0</v>
      </c>
      <c r="W15" s="343"/>
      <c r="X15" s="509"/>
      <c r="Y15" s="463">
        <f>重み!M15</f>
        <v>0.5</v>
      </c>
      <c r="AA15" s="463">
        <f>重み!N15</f>
        <v>0</v>
      </c>
    </row>
    <row r="16" spans="1:27" ht="14.25" thickBot="1">
      <c r="A16" s="54"/>
      <c r="B16" s="215"/>
      <c r="C16" s="220"/>
      <c r="D16" s="666">
        <v>2</v>
      </c>
      <c r="E16" s="224" t="s">
        <v>557</v>
      </c>
      <c r="F16" s="219"/>
      <c r="G16" s="219"/>
      <c r="H16" s="2313">
        <f>採点Q1!I46</f>
        <v>0</v>
      </c>
      <c r="I16" s="2314"/>
      <c r="J16" s="2314"/>
      <c r="K16" s="2314"/>
      <c r="L16" s="2315"/>
      <c r="M16" s="272">
        <f t="shared" si="2"/>
        <v>3</v>
      </c>
      <c r="N16" s="283">
        <f t="shared" si="1"/>
        <v>0.5</v>
      </c>
      <c r="O16" s="272">
        <f t="shared" si="3"/>
        <v>0</v>
      </c>
      <c r="P16" s="283">
        <f t="shared" si="0"/>
        <v>0</v>
      </c>
      <c r="Q16" s="268"/>
      <c r="R16" s="509"/>
      <c r="S16" s="466">
        <f>IF(採点Q1!D39="対象外",0,採点Q1!D39)</f>
        <v>3</v>
      </c>
      <c r="T16" s="644">
        <f>重み!D16</f>
        <v>0.5</v>
      </c>
      <c r="U16" s="465"/>
      <c r="V16" s="347">
        <f>重み!E16</f>
        <v>0</v>
      </c>
      <c r="W16" s="343"/>
      <c r="X16" s="509"/>
      <c r="Y16" s="463">
        <f>重み!M16</f>
        <v>0.5</v>
      </c>
      <c r="AA16" s="463">
        <f>重み!N16</f>
        <v>0</v>
      </c>
    </row>
    <row r="17" spans="1:27" ht="14.25" thickBot="1">
      <c r="A17" s="54"/>
      <c r="B17" s="215"/>
      <c r="C17" s="216">
        <v>1.3</v>
      </c>
      <c r="D17" s="218" t="s">
        <v>558</v>
      </c>
      <c r="E17" s="218"/>
      <c r="F17" s="219"/>
      <c r="G17" s="219"/>
      <c r="H17" s="1251"/>
      <c r="I17" s="1252"/>
      <c r="J17" s="1252"/>
      <c r="K17" s="1252"/>
      <c r="L17" s="1253"/>
      <c r="M17" s="269">
        <f t="shared" si="2"/>
        <v>3</v>
      </c>
      <c r="N17" s="283">
        <f t="shared" si="1"/>
        <v>0.25</v>
      </c>
      <c r="O17" s="269">
        <f t="shared" si="3"/>
        <v>0</v>
      </c>
      <c r="P17" s="283">
        <f t="shared" si="0"/>
        <v>0</v>
      </c>
      <c r="Q17" s="268"/>
      <c r="R17" s="509"/>
      <c r="S17" s="344">
        <f>SUMPRODUCT(S18,T18)</f>
        <v>3</v>
      </c>
      <c r="T17" s="644">
        <f>重み!D17</f>
        <v>0.25</v>
      </c>
      <c r="U17" s="465"/>
      <c r="V17" s="347">
        <f>重み!E17</f>
        <v>0</v>
      </c>
      <c r="W17" s="343"/>
      <c r="X17" s="509"/>
      <c r="Y17" s="463">
        <f>重み!M17</f>
        <v>0.25</v>
      </c>
      <c r="AA17" s="463">
        <f>重み!N17</f>
        <v>0</v>
      </c>
    </row>
    <row r="18" spans="1:27" ht="14.25" thickBot="1">
      <c r="A18" s="54"/>
      <c r="B18" s="655"/>
      <c r="C18" s="656"/>
      <c r="D18" s="666">
        <v>1</v>
      </c>
      <c r="E18" s="224" t="s">
        <v>559</v>
      </c>
      <c r="F18" s="219"/>
      <c r="G18" s="219"/>
      <c r="H18" s="2313">
        <f>採点Q1!I57</f>
        <v>0</v>
      </c>
      <c r="I18" s="2314"/>
      <c r="J18" s="2314"/>
      <c r="K18" s="2314"/>
      <c r="L18" s="2315"/>
      <c r="M18" s="983">
        <f t="shared" si="2"/>
        <v>3</v>
      </c>
      <c r="N18" s="283">
        <f t="shared" si="1"/>
        <v>1</v>
      </c>
      <c r="O18" s="271">
        <f t="shared" si="3"/>
        <v>0</v>
      </c>
      <c r="P18" s="283">
        <f t="shared" si="0"/>
        <v>0</v>
      </c>
      <c r="Q18" s="268"/>
      <c r="R18" s="509"/>
      <c r="S18" s="466">
        <f>IF(採点Q1!D50="対象外",0,採点Q1!D50)</f>
        <v>3</v>
      </c>
      <c r="T18" s="644">
        <f>重み!D18</f>
        <v>1</v>
      </c>
      <c r="U18" s="465"/>
      <c r="V18" s="347">
        <f>重み!E18</f>
        <v>0</v>
      </c>
      <c r="W18" s="486"/>
      <c r="X18" s="509"/>
      <c r="Y18" s="463">
        <f>重み!M18</f>
        <v>1</v>
      </c>
      <c r="AA18" s="463">
        <f>重み!N18</f>
        <v>0</v>
      </c>
    </row>
    <row r="19" spans="1:27" ht="14.25" hidden="1" thickBot="1">
      <c r="A19" s="54"/>
      <c r="B19" s="648"/>
      <c r="C19" s="649"/>
      <c r="D19" s="666">
        <v>2</v>
      </c>
      <c r="E19" s="224"/>
      <c r="F19" s="219"/>
      <c r="G19" s="219"/>
      <c r="H19" s="2313"/>
      <c r="I19" s="2314"/>
      <c r="J19" s="2314"/>
      <c r="K19" s="2314"/>
      <c r="L19" s="2315"/>
      <c r="M19" s="272">
        <f t="shared" si="2"/>
        <v>0</v>
      </c>
      <c r="N19" s="283">
        <f>T19</f>
        <v>0</v>
      </c>
      <c r="O19" s="272">
        <f t="shared" si="3"/>
        <v>0</v>
      </c>
      <c r="P19" s="283">
        <f t="shared" si="0"/>
        <v>0</v>
      </c>
      <c r="Q19" s="268">
        <f>ROUNDDOWN(W19,1)</f>
        <v>0</v>
      </c>
      <c r="R19" s="509"/>
      <c r="S19" s="466"/>
      <c r="T19" s="644">
        <f>重み!D19</f>
        <v>0</v>
      </c>
      <c r="U19" s="465"/>
      <c r="V19" s="347">
        <f>重み!E19</f>
        <v>0</v>
      </c>
      <c r="W19" s="486"/>
      <c r="X19" s="509"/>
      <c r="Y19" s="463">
        <f>重み!M19</f>
        <v>0</v>
      </c>
      <c r="AA19" s="463">
        <f>重み!N19</f>
        <v>0</v>
      </c>
    </row>
    <row r="20" spans="1:27" ht="14.25" thickBot="1">
      <c r="A20" s="54"/>
      <c r="B20" s="244">
        <v>2</v>
      </c>
      <c r="C20" s="229" t="s">
        <v>560</v>
      </c>
      <c r="D20" s="664"/>
      <c r="E20" s="667"/>
      <c r="F20" s="214"/>
      <c r="G20" s="214"/>
      <c r="H20" s="1254"/>
      <c r="I20" s="1255"/>
      <c r="J20" s="1255"/>
      <c r="K20" s="1255"/>
      <c r="L20" s="1256"/>
      <c r="M20" s="269">
        <f t="shared" si="2"/>
        <v>3</v>
      </c>
      <c r="N20" s="276">
        <f t="shared" si="1"/>
        <v>0.3</v>
      </c>
      <c r="O20" s="269">
        <f t="shared" si="3"/>
        <v>0</v>
      </c>
      <c r="P20" s="276">
        <f t="shared" si="0"/>
        <v>0</v>
      </c>
      <c r="Q20" s="277">
        <f>ROUNDDOWN(W20,1)</f>
        <v>3</v>
      </c>
      <c r="R20" s="509"/>
      <c r="S20" s="344">
        <f>S21*T21+S22*T22+S23*T23+S24*T24</f>
        <v>3</v>
      </c>
      <c r="T20" s="644">
        <f>重み!D20</f>
        <v>0.3</v>
      </c>
      <c r="U20" s="465"/>
      <c r="V20" s="347">
        <f>重み!E20</f>
        <v>0</v>
      </c>
      <c r="W20" s="343">
        <f>IF(U20=0,S20,IF(S20=0,U20,S20*Y$6+U20*AA$6))</f>
        <v>3</v>
      </c>
      <c r="X20" s="509"/>
      <c r="Y20" s="463">
        <f>重み!M20</f>
        <v>0.3</v>
      </c>
      <c r="AA20" s="463">
        <f>重み!N20</f>
        <v>0</v>
      </c>
    </row>
    <row r="21" spans="1:27" ht="13.5">
      <c r="A21" s="54"/>
      <c r="B21" s="215"/>
      <c r="C21" s="216">
        <v>2.1</v>
      </c>
      <c r="D21" s="230" t="s">
        <v>561</v>
      </c>
      <c r="E21" s="668"/>
      <c r="F21" s="231"/>
      <c r="G21" s="231"/>
      <c r="H21" s="2313">
        <f>採点Q1!I69</f>
        <v>0</v>
      </c>
      <c r="I21" s="2314"/>
      <c r="J21" s="2314"/>
      <c r="K21" s="2314"/>
      <c r="L21" s="2315"/>
      <c r="M21" s="692">
        <f t="shared" si="2"/>
        <v>3</v>
      </c>
      <c r="N21" s="288">
        <f t="shared" si="1"/>
        <v>0.25</v>
      </c>
      <c r="O21" s="692">
        <f t="shared" si="3"/>
        <v>0</v>
      </c>
      <c r="P21" s="288">
        <f t="shared" si="0"/>
        <v>0</v>
      </c>
      <c r="Q21" s="270"/>
      <c r="R21" s="509"/>
      <c r="S21" s="466">
        <f>IF(採点Q1!D62="対象外",0,採点Q1!D62)</f>
        <v>3</v>
      </c>
      <c r="T21" s="644">
        <f>重み!D21</f>
        <v>0.25</v>
      </c>
      <c r="U21" s="465"/>
      <c r="V21" s="347">
        <f>重み!E21</f>
        <v>0</v>
      </c>
      <c r="W21" s="343"/>
      <c r="X21" s="509"/>
      <c r="Y21" s="463">
        <f>重み!M21</f>
        <v>0.25</v>
      </c>
      <c r="AA21" s="463">
        <f>重み!N21</f>
        <v>0</v>
      </c>
    </row>
    <row r="22" spans="1:27" ht="13.5">
      <c r="A22" s="54"/>
      <c r="B22" s="215"/>
      <c r="C22" s="228">
        <v>2.2000000000000002</v>
      </c>
      <c r="D22" s="218" t="s">
        <v>815</v>
      </c>
      <c r="E22" s="669"/>
      <c r="F22" s="232"/>
      <c r="G22" s="232"/>
      <c r="H22" s="2313">
        <f>採点Q1!I80</f>
        <v>0</v>
      </c>
      <c r="I22" s="2314"/>
      <c r="J22" s="2314"/>
      <c r="K22" s="2314"/>
      <c r="L22" s="2315"/>
      <c r="M22" s="289">
        <f t="shared" si="2"/>
        <v>3</v>
      </c>
      <c r="N22" s="283">
        <f t="shared" si="1"/>
        <v>0.25</v>
      </c>
      <c r="O22" s="289">
        <f t="shared" si="3"/>
        <v>0</v>
      </c>
      <c r="P22" s="283">
        <f t="shared" si="0"/>
        <v>0</v>
      </c>
      <c r="Q22" s="268"/>
      <c r="R22" s="509"/>
      <c r="S22" s="466">
        <f>IF(採点Q1!D73="対象外",0,採点Q1!D73)</f>
        <v>3</v>
      </c>
      <c r="T22" s="644">
        <f>重み!D22</f>
        <v>0.25</v>
      </c>
      <c r="U22" s="465"/>
      <c r="V22" s="347">
        <f>重み!E22</f>
        <v>0</v>
      </c>
      <c r="W22" s="343"/>
      <c r="X22" s="509"/>
      <c r="Y22" s="463">
        <f>重み!M22</f>
        <v>0.25</v>
      </c>
      <c r="AA22" s="463">
        <f>重み!N22</f>
        <v>0</v>
      </c>
    </row>
    <row r="23" spans="1:27" ht="14.25" thickBot="1">
      <c r="A23" s="54"/>
      <c r="B23" s="215"/>
      <c r="C23" s="228">
        <v>2.2999999999999998</v>
      </c>
      <c r="D23" s="218" t="s">
        <v>562</v>
      </c>
      <c r="E23" s="669"/>
      <c r="F23" s="232"/>
      <c r="G23" s="232"/>
      <c r="H23" s="2313">
        <f>採点Q1!I91</f>
        <v>0</v>
      </c>
      <c r="I23" s="2314"/>
      <c r="J23" s="2314"/>
      <c r="K23" s="2314"/>
      <c r="L23" s="2315"/>
      <c r="M23" s="289">
        <f t="shared" si="2"/>
        <v>3</v>
      </c>
      <c r="N23" s="283">
        <f t="shared" si="1"/>
        <v>0.25</v>
      </c>
      <c r="O23" s="274">
        <f t="shared" si="3"/>
        <v>0</v>
      </c>
      <c r="P23" s="283">
        <f t="shared" si="0"/>
        <v>0</v>
      </c>
      <c r="Q23" s="268"/>
      <c r="R23" s="509"/>
      <c r="S23" s="466">
        <f>IF(採点Q1!D84="対象外",0,採点Q1!D84)</f>
        <v>3</v>
      </c>
      <c r="T23" s="644">
        <f>重み!D23</f>
        <v>0.25</v>
      </c>
      <c r="U23" s="465"/>
      <c r="V23" s="347">
        <f>重み!E23</f>
        <v>0</v>
      </c>
      <c r="W23" s="343"/>
      <c r="X23" s="509"/>
      <c r="Y23" s="463">
        <f>重み!M23</f>
        <v>0.25</v>
      </c>
      <c r="AA23" s="463">
        <f>重み!N23</f>
        <v>0</v>
      </c>
    </row>
    <row r="24" spans="1:27" ht="14.25" thickBot="1">
      <c r="A24" s="54"/>
      <c r="B24" s="648"/>
      <c r="C24" s="225">
        <v>2.4</v>
      </c>
      <c r="D24" s="218" t="s">
        <v>706</v>
      </c>
      <c r="E24" s="669"/>
      <c r="F24" s="232"/>
      <c r="G24" s="232"/>
      <c r="H24" s="2313">
        <f>採点Q1!I108</f>
        <v>0</v>
      </c>
      <c r="I24" s="2314"/>
      <c r="J24" s="2314"/>
      <c r="K24" s="2314"/>
      <c r="L24" s="2315"/>
      <c r="M24" s="274">
        <f>ROUNDDOWN(S24,1)</f>
        <v>3</v>
      </c>
      <c r="N24" s="283">
        <f>T24</f>
        <v>0.25</v>
      </c>
      <c r="O24" s="274">
        <f>ROUNDDOWN(U24,1)</f>
        <v>0</v>
      </c>
      <c r="P24" s="283">
        <f>V24</f>
        <v>0</v>
      </c>
      <c r="Q24" s="268"/>
      <c r="R24" s="509"/>
      <c r="S24" s="466">
        <f>IF(採点Q1!D95="対象外",0,採点Q1!D95)</f>
        <v>3</v>
      </c>
      <c r="T24" s="644">
        <f>重み!D24</f>
        <v>0.25</v>
      </c>
      <c r="U24" s="465"/>
      <c r="V24" s="347">
        <f>重み!E24</f>
        <v>0</v>
      </c>
      <c r="W24" s="343"/>
      <c r="X24" s="509"/>
      <c r="Y24" s="463">
        <f>重み!M24</f>
        <v>0.25</v>
      </c>
      <c r="AA24" s="463">
        <f>重み!N24</f>
        <v>0</v>
      </c>
    </row>
    <row r="25" spans="1:27" ht="14.25" thickBot="1">
      <c r="A25" s="54"/>
      <c r="B25" s="211">
        <v>3</v>
      </c>
      <c r="C25" s="229" t="s">
        <v>840</v>
      </c>
      <c r="D25" s="664"/>
      <c r="E25" s="667"/>
      <c r="F25" s="214"/>
      <c r="G25" s="214"/>
      <c r="H25" s="1254"/>
      <c r="I25" s="1255"/>
      <c r="J25" s="1255"/>
      <c r="K25" s="1255"/>
      <c r="L25" s="1256"/>
      <c r="M25" s="269">
        <f t="shared" si="2"/>
        <v>3</v>
      </c>
      <c r="N25" s="276">
        <f t="shared" si="1"/>
        <v>0.1</v>
      </c>
      <c r="O25" s="269">
        <f t="shared" si="3"/>
        <v>0</v>
      </c>
      <c r="P25" s="276">
        <f t="shared" si="0"/>
        <v>0</v>
      </c>
      <c r="Q25" s="277">
        <f>ROUNDDOWN(W25,1)</f>
        <v>3</v>
      </c>
      <c r="R25" s="509"/>
      <c r="S25" s="344">
        <f>S26*T26+S27*T27</f>
        <v>3</v>
      </c>
      <c r="T25" s="644">
        <f>重み!D25</f>
        <v>0.1</v>
      </c>
      <c r="U25" s="465"/>
      <c r="V25" s="347">
        <f>重み!E25</f>
        <v>0</v>
      </c>
      <c r="W25" s="343">
        <f>IF(U25=0,S25,IF(S25=0,U25,S25*Y$6+U25*AA$6))</f>
        <v>3</v>
      </c>
      <c r="X25" s="509"/>
      <c r="Y25" s="463">
        <f>重み!M25</f>
        <v>0.1</v>
      </c>
      <c r="AA25" s="463">
        <f>重み!N25</f>
        <v>0</v>
      </c>
    </row>
    <row r="26" spans="1:27" ht="13.5">
      <c r="A26" s="54"/>
      <c r="B26" s="215"/>
      <c r="C26" s="228">
        <v>3.1</v>
      </c>
      <c r="D26" s="230" t="s">
        <v>564</v>
      </c>
      <c r="E26" s="668"/>
      <c r="F26" s="231"/>
      <c r="G26" s="231"/>
      <c r="H26" s="2318">
        <f>採点Q1!I124</f>
        <v>0</v>
      </c>
      <c r="I26" s="2319"/>
      <c r="J26" s="2319"/>
      <c r="K26" s="2319"/>
      <c r="L26" s="2320"/>
      <c r="M26" s="692">
        <f t="shared" si="2"/>
        <v>3</v>
      </c>
      <c r="N26" s="278">
        <f t="shared" si="1"/>
        <v>1</v>
      </c>
      <c r="O26" s="692">
        <f t="shared" si="3"/>
        <v>0</v>
      </c>
      <c r="P26" s="278">
        <f t="shared" si="0"/>
        <v>0</v>
      </c>
      <c r="Q26" s="270"/>
      <c r="R26" s="509"/>
      <c r="S26" s="466">
        <f>IF(採点Q1!D112="対象外",0,採点Q1!D112)</f>
        <v>3</v>
      </c>
      <c r="T26" s="644">
        <f>重み!D26</f>
        <v>1</v>
      </c>
      <c r="U26" s="465"/>
      <c r="V26" s="347">
        <f>重み!E26</f>
        <v>0</v>
      </c>
      <c r="W26" s="343"/>
      <c r="X26" s="509"/>
      <c r="Y26" s="463">
        <f>重み!M26</f>
        <v>1</v>
      </c>
      <c r="AA26" s="463">
        <f>重み!N26</f>
        <v>0</v>
      </c>
    </row>
    <row r="27" spans="1:27" ht="13.5" hidden="1">
      <c r="A27" s="54"/>
      <c r="B27" s="654"/>
      <c r="C27" s="228">
        <v>3.2</v>
      </c>
      <c r="D27" s="218"/>
      <c r="E27" s="669"/>
      <c r="F27" s="232"/>
      <c r="G27" s="232"/>
      <c r="H27" s="2326"/>
      <c r="I27" s="2327"/>
      <c r="J27" s="2327"/>
      <c r="K27" s="2327"/>
      <c r="L27" s="2327"/>
      <c r="M27" s="693">
        <f t="shared" si="2"/>
        <v>0</v>
      </c>
      <c r="N27" s="691">
        <f t="shared" si="1"/>
        <v>0</v>
      </c>
      <c r="O27" s="693">
        <f t="shared" si="3"/>
        <v>0</v>
      </c>
      <c r="P27" s="691">
        <f t="shared" si="0"/>
        <v>0</v>
      </c>
      <c r="Q27" s="282"/>
      <c r="R27" s="509"/>
      <c r="S27" s="466"/>
      <c r="T27" s="644">
        <f>重み!D27</f>
        <v>0</v>
      </c>
      <c r="U27" s="465"/>
      <c r="V27" s="347">
        <f>重み!E27</f>
        <v>0</v>
      </c>
      <c r="W27" s="343"/>
      <c r="X27" s="509"/>
      <c r="Y27" s="463">
        <f>重み!M27</f>
        <v>0</v>
      </c>
      <c r="AA27" s="463">
        <f>重み!N27</f>
        <v>0</v>
      </c>
    </row>
    <row r="28" spans="1:27" ht="14.25" thickBot="1">
      <c r="A28" s="54"/>
      <c r="B28" s="504">
        <v>4</v>
      </c>
      <c r="C28" s="505" t="s">
        <v>565</v>
      </c>
      <c r="D28" s="678"/>
      <c r="E28" s="730"/>
      <c r="F28" s="260"/>
      <c r="G28" s="260"/>
      <c r="H28" s="2321">
        <f>採点Q1!I135</f>
        <v>0</v>
      </c>
      <c r="I28" s="2322"/>
      <c r="J28" s="2322"/>
      <c r="K28" s="2322"/>
      <c r="L28" s="2322"/>
      <c r="M28" s="731">
        <f t="shared" si="2"/>
        <v>3</v>
      </c>
      <c r="N28" s="732">
        <f t="shared" si="1"/>
        <v>0.1</v>
      </c>
      <c r="O28" s="731">
        <f t="shared" si="3"/>
        <v>0</v>
      </c>
      <c r="P28" s="732">
        <f t="shared" si="0"/>
        <v>0</v>
      </c>
      <c r="Q28" s="733">
        <f>ROUNDDOWN(W28,1)</f>
        <v>3</v>
      </c>
      <c r="R28" s="509"/>
      <c r="S28" s="466">
        <f>IF(採点Q1!D128="対象外",0,採点Q1!D128)</f>
        <v>3</v>
      </c>
      <c r="T28" s="644">
        <f>重み!D28</f>
        <v>0.1</v>
      </c>
      <c r="U28" s="465"/>
      <c r="V28" s="347">
        <f>重み!E28</f>
        <v>0</v>
      </c>
      <c r="W28" s="343">
        <f>IF(U28=0,S28,IF(S28=0,U28,S28*Y$6+U28*AA$6))</f>
        <v>3</v>
      </c>
      <c r="X28" s="509"/>
      <c r="Y28" s="463">
        <f>重み!M28</f>
        <v>0.1</v>
      </c>
      <c r="AA28" s="463">
        <f>重み!N28</f>
        <v>0</v>
      </c>
    </row>
    <row r="29" spans="1:27" ht="17.25" thickBot="1">
      <c r="A29" s="54"/>
      <c r="B29" s="235" t="s">
        <v>780</v>
      </c>
      <c r="C29" s="236" t="s">
        <v>566</v>
      </c>
      <c r="D29" s="670"/>
      <c r="E29" s="670"/>
      <c r="F29" s="237"/>
      <c r="G29" s="237"/>
      <c r="H29" s="1257"/>
      <c r="I29" s="1258"/>
      <c r="J29" s="1258"/>
      <c r="K29" s="1258"/>
      <c r="L29" s="1259"/>
      <c r="M29" s="383">
        <f t="shared" si="2"/>
        <v>0</v>
      </c>
      <c r="N29" s="280">
        <f t="shared" si="1"/>
        <v>0.3</v>
      </c>
      <c r="O29" s="383">
        <f t="shared" si="3"/>
        <v>0</v>
      </c>
      <c r="P29" s="280">
        <f t="shared" si="0"/>
        <v>0</v>
      </c>
      <c r="Q29" s="281">
        <f>ROUNDDOWN(W29,1)</f>
        <v>3</v>
      </c>
      <c r="R29" s="509"/>
      <c r="S29" s="467"/>
      <c r="T29" s="643">
        <f>重み!D29</f>
        <v>0.3</v>
      </c>
      <c r="U29" s="465"/>
      <c r="V29" s="347">
        <f>重み!E29</f>
        <v>0</v>
      </c>
      <c r="W29" s="343">
        <f>W30*T30+W38*T38+W41*T41</f>
        <v>3</v>
      </c>
      <c r="X29" s="509"/>
      <c r="Y29" s="463">
        <f>重み!M29</f>
        <v>0.3</v>
      </c>
      <c r="AA29" s="463">
        <f>重み!N29</f>
        <v>0</v>
      </c>
    </row>
    <row r="30" spans="1:27" ht="14.25" thickBot="1">
      <c r="A30" s="54"/>
      <c r="B30" s="211">
        <v>1</v>
      </c>
      <c r="C30" s="482" t="s">
        <v>51</v>
      </c>
      <c r="D30" s="671"/>
      <c r="E30" s="667"/>
      <c r="F30" s="214"/>
      <c r="G30" s="214"/>
      <c r="H30" s="1260"/>
      <c r="I30" s="1261"/>
      <c r="J30" s="1261"/>
      <c r="K30" s="1262"/>
      <c r="L30" s="1263"/>
      <c r="M30" s="694">
        <f t="shared" si="2"/>
        <v>3</v>
      </c>
      <c r="N30" s="688">
        <f t="shared" si="1"/>
        <v>0.5</v>
      </c>
      <c r="O30" s="694">
        <f t="shared" si="3"/>
        <v>0</v>
      </c>
      <c r="P30" s="688">
        <f t="shared" si="0"/>
        <v>0</v>
      </c>
      <c r="Q30" s="689">
        <f>ROUNDDOWN(W30,1)</f>
        <v>3</v>
      </c>
      <c r="R30" s="509"/>
      <c r="S30" s="344">
        <f>S31*T31+S32*T32+S33*T33+S34*T34+S35*T35</f>
        <v>3</v>
      </c>
      <c r="T30" s="644">
        <f>重み!D30</f>
        <v>0.5</v>
      </c>
      <c r="U30" s="465"/>
      <c r="V30" s="347">
        <f>重み!E30</f>
        <v>0</v>
      </c>
      <c r="W30" s="343">
        <f>IF(U30=0,S30,IF(S30=0,U30,S30*Y$6+U30*AA$6))</f>
        <v>3</v>
      </c>
      <c r="X30" s="509"/>
      <c r="Y30" s="463">
        <f>重み!M30</f>
        <v>0.5</v>
      </c>
      <c r="AA30" s="463">
        <f>重み!N30</f>
        <v>0</v>
      </c>
    </row>
    <row r="31" spans="1:27" ht="13.5">
      <c r="A31" s="54"/>
      <c r="B31" s="233"/>
      <c r="C31" s="225">
        <v>1.1000000000000001</v>
      </c>
      <c r="D31" s="217" t="s">
        <v>226</v>
      </c>
      <c r="E31" s="668"/>
      <c r="F31" s="231"/>
      <c r="G31" s="231"/>
      <c r="H31" s="2313">
        <f>採点Q2!I15</f>
        <v>0</v>
      </c>
      <c r="I31" s="2314"/>
      <c r="J31" s="2314"/>
      <c r="K31" s="2314"/>
      <c r="L31" s="2315"/>
      <c r="M31" s="692">
        <f t="shared" si="2"/>
        <v>3</v>
      </c>
      <c r="N31" s="267">
        <f t="shared" si="1"/>
        <v>0.3</v>
      </c>
      <c r="O31" s="692">
        <f t="shared" si="3"/>
        <v>0</v>
      </c>
      <c r="P31" s="267">
        <f t="shared" si="0"/>
        <v>0</v>
      </c>
      <c r="Q31" s="268"/>
      <c r="R31" s="509"/>
      <c r="S31" s="685">
        <f>IF(採点Q2!D8="対象外",0,採点Q2!D8)</f>
        <v>3</v>
      </c>
      <c r="T31" s="644">
        <f>重み!D31</f>
        <v>0.3</v>
      </c>
      <c r="U31" s="465"/>
      <c r="V31" s="347">
        <f>重み!E31</f>
        <v>0</v>
      </c>
      <c r="W31" s="343"/>
      <c r="X31" s="509"/>
      <c r="Y31" s="463">
        <f>重み!M31</f>
        <v>0.3</v>
      </c>
      <c r="AA31" s="463">
        <f>重み!N31</f>
        <v>0</v>
      </c>
    </row>
    <row r="32" spans="1:27" ht="13.5">
      <c r="A32" s="54"/>
      <c r="B32" s="233"/>
      <c r="C32" s="216">
        <v>1.2</v>
      </c>
      <c r="D32" s="217" t="s">
        <v>52</v>
      </c>
      <c r="E32" s="668"/>
      <c r="F32" s="231"/>
      <c r="G32" s="231"/>
      <c r="H32" s="2313">
        <f>採点Q2!I32</f>
        <v>0</v>
      </c>
      <c r="I32" s="2314"/>
      <c r="J32" s="2314"/>
      <c r="K32" s="2314"/>
      <c r="L32" s="2315"/>
      <c r="M32" s="289">
        <f t="shared" si="2"/>
        <v>3</v>
      </c>
      <c r="N32" s="267">
        <f t="shared" si="1"/>
        <v>0.1</v>
      </c>
      <c r="O32" s="289">
        <f t="shared" si="3"/>
        <v>0</v>
      </c>
      <c r="P32" s="267">
        <f t="shared" si="0"/>
        <v>0</v>
      </c>
      <c r="Q32" s="268"/>
      <c r="R32" s="509"/>
      <c r="S32" s="685">
        <f>IF(採点Q2!D19="対象外",0,採点Q2!D19)</f>
        <v>3</v>
      </c>
      <c r="T32" s="644">
        <f>重み!D32</f>
        <v>0.1</v>
      </c>
      <c r="U32" s="465"/>
      <c r="V32" s="347">
        <f>重み!E32</f>
        <v>0</v>
      </c>
      <c r="W32" s="343"/>
      <c r="X32" s="509"/>
      <c r="Y32" s="463">
        <f>重み!M32</f>
        <v>0.1</v>
      </c>
      <c r="AA32" s="463">
        <f>重み!N32</f>
        <v>0</v>
      </c>
    </row>
    <row r="33" spans="1:27" ht="13.5">
      <c r="A33" s="54"/>
      <c r="B33" s="215"/>
      <c r="C33" s="216">
        <v>1.3</v>
      </c>
      <c r="D33" s="230" t="s">
        <v>401</v>
      </c>
      <c r="E33" s="230"/>
      <c r="F33" s="647"/>
      <c r="G33" s="647"/>
      <c r="H33" s="2313">
        <f>採点Q2!I51</f>
        <v>0</v>
      </c>
      <c r="I33" s="2314"/>
      <c r="J33" s="2314"/>
      <c r="K33" s="2314"/>
      <c r="L33" s="2315"/>
      <c r="M33" s="289">
        <f t="shared" si="2"/>
        <v>3</v>
      </c>
      <c r="N33" s="267">
        <f t="shared" ref="N33:N40" si="4">T33</f>
        <v>0.1</v>
      </c>
      <c r="O33" s="289">
        <f t="shared" si="3"/>
        <v>0</v>
      </c>
      <c r="P33" s="267">
        <f t="shared" si="0"/>
        <v>0</v>
      </c>
      <c r="Q33" s="268"/>
      <c r="R33" s="509"/>
      <c r="S33" s="685">
        <f>IF(採点Q2!D36="対象外",0,採点Q2!D36)</f>
        <v>3</v>
      </c>
      <c r="T33" s="644">
        <f>重み!D33</f>
        <v>0.1</v>
      </c>
      <c r="U33" s="465"/>
      <c r="V33" s="347">
        <f>重み!E33</f>
        <v>0</v>
      </c>
      <c r="W33" s="486"/>
      <c r="X33" s="509"/>
      <c r="Y33" s="463">
        <f>重み!M33</f>
        <v>0.1</v>
      </c>
      <c r="AA33" s="463">
        <f>重み!N33</f>
        <v>0</v>
      </c>
    </row>
    <row r="34" spans="1:27" ht="14.25" thickBot="1">
      <c r="A34" s="54"/>
      <c r="B34" s="215"/>
      <c r="C34" s="216">
        <v>1.4</v>
      </c>
      <c r="D34" s="230" t="s">
        <v>568</v>
      </c>
      <c r="E34" s="230"/>
      <c r="F34" s="647"/>
      <c r="G34" s="647"/>
      <c r="H34" s="2313">
        <f>採点Q2!I62</f>
        <v>0</v>
      </c>
      <c r="I34" s="2314"/>
      <c r="J34" s="2314"/>
      <c r="K34" s="2314"/>
      <c r="L34" s="2315"/>
      <c r="M34" s="274">
        <f>ROUNDDOWN(S34,1)</f>
        <v>3</v>
      </c>
      <c r="N34" s="267">
        <f t="shared" si="4"/>
        <v>0.3</v>
      </c>
      <c r="O34" s="274">
        <f t="shared" si="3"/>
        <v>0</v>
      </c>
      <c r="P34" s="267">
        <f t="shared" si="0"/>
        <v>0</v>
      </c>
      <c r="Q34" s="268"/>
      <c r="R34" s="509"/>
      <c r="S34" s="466">
        <f>IF(採点Q2!D55="対象外",0,採点Q2!D55)</f>
        <v>3</v>
      </c>
      <c r="T34" s="644">
        <f>重み!D34</f>
        <v>0.3</v>
      </c>
      <c r="U34" s="465"/>
      <c r="V34" s="347">
        <f>重み!E34</f>
        <v>0</v>
      </c>
      <c r="W34" s="486"/>
      <c r="X34" s="509"/>
      <c r="Y34" s="463">
        <f>重み!M34</f>
        <v>0.3</v>
      </c>
      <c r="AA34" s="463">
        <f>重み!N34</f>
        <v>0</v>
      </c>
    </row>
    <row r="35" spans="1:27" ht="14.25" thickBot="1">
      <c r="A35" s="54"/>
      <c r="B35" s="215"/>
      <c r="C35" s="216">
        <v>1.5</v>
      </c>
      <c r="D35" s="230" t="s">
        <v>569</v>
      </c>
      <c r="E35" s="230"/>
      <c r="F35" s="647"/>
      <c r="G35" s="647"/>
      <c r="H35" s="1251"/>
      <c r="I35" s="1252"/>
      <c r="J35" s="1252"/>
      <c r="K35" s="1252"/>
      <c r="L35" s="1264"/>
      <c r="M35" s="266">
        <f>ROUNDDOWN(S35,1)</f>
        <v>3</v>
      </c>
      <c r="N35" s="267">
        <f t="shared" si="4"/>
        <v>0.2</v>
      </c>
      <c r="O35" s="266">
        <f>ROUNDDOWN(U35,1)</f>
        <v>0</v>
      </c>
      <c r="P35" s="267">
        <f t="shared" si="0"/>
        <v>0</v>
      </c>
      <c r="Q35" s="268"/>
      <c r="R35" s="509"/>
      <c r="S35" s="344">
        <f>SUMPRODUCT(S36:S37,T36:T37)</f>
        <v>3</v>
      </c>
      <c r="T35" s="644">
        <f>重み!D35</f>
        <v>0.2</v>
      </c>
      <c r="U35" s="465"/>
      <c r="V35" s="347">
        <f>重み!E35</f>
        <v>0</v>
      </c>
      <c r="W35" s="486"/>
      <c r="X35" s="509"/>
      <c r="Y35" s="463">
        <f>重み!M35</f>
        <v>0.2</v>
      </c>
      <c r="AA35" s="463">
        <f>重み!N35</f>
        <v>0</v>
      </c>
    </row>
    <row r="36" spans="1:27" ht="13.5">
      <c r="A36" s="54"/>
      <c r="B36" s="233"/>
      <c r="C36" s="220"/>
      <c r="D36" s="666">
        <v>1</v>
      </c>
      <c r="E36" s="218" t="s">
        <v>299</v>
      </c>
      <c r="F36" s="232"/>
      <c r="G36" s="232"/>
      <c r="H36" s="2313">
        <f>採点Q2!I73</f>
        <v>0</v>
      </c>
      <c r="I36" s="2314"/>
      <c r="J36" s="2314"/>
      <c r="K36" s="2314"/>
      <c r="L36" s="2315"/>
      <c r="M36" s="658">
        <f t="shared" si="2"/>
        <v>0</v>
      </c>
      <c r="N36" s="267">
        <f t="shared" si="4"/>
        <v>0</v>
      </c>
      <c r="O36" s="658">
        <f t="shared" ref="O36:O71" si="5">ROUNDDOWN(U36,1)</f>
        <v>0</v>
      </c>
      <c r="P36" s="267">
        <f t="shared" si="0"/>
        <v>0</v>
      </c>
      <c r="Q36" s="268"/>
      <c r="R36" s="509"/>
      <c r="S36" s="466">
        <f>IF(採点Q2!D66="対象外",0,採点Q2!D66)</f>
        <v>0</v>
      </c>
      <c r="T36" s="644">
        <f>重み!D36</f>
        <v>0</v>
      </c>
      <c r="U36" s="465"/>
      <c r="V36" s="347">
        <f>重み!E36</f>
        <v>0</v>
      </c>
      <c r="W36" s="486"/>
      <c r="X36" s="509"/>
      <c r="Y36" s="463">
        <f>重み!M36</f>
        <v>0.65</v>
      </c>
      <c r="AA36" s="463">
        <f>重み!N36</f>
        <v>0</v>
      </c>
    </row>
    <row r="37" spans="1:27" ht="14.25" thickBot="1">
      <c r="A37" s="54"/>
      <c r="B37" s="657"/>
      <c r="C37" s="223"/>
      <c r="D37" s="666">
        <v>2</v>
      </c>
      <c r="E37" s="218" t="s">
        <v>570</v>
      </c>
      <c r="F37" s="232"/>
      <c r="G37" s="232"/>
      <c r="H37" s="2313">
        <f>採点Q2!I83</f>
        <v>0</v>
      </c>
      <c r="I37" s="2314"/>
      <c r="J37" s="2314"/>
      <c r="K37" s="2314"/>
      <c r="L37" s="2315"/>
      <c r="M37" s="272">
        <f t="shared" si="2"/>
        <v>3</v>
      </c>
      <c r="N37" s="267">
        <f t="shared" si="4"/>
        <v>1</v>
      </c>
      <c r="O37" s="272">
        <f t="shared" si="5"/>
        <v>0</v>
      </c>
      <c r="P37" s="267">
        <f t="shared" si="0"/>
        <v>0</v>
      </c>
      <c r="Q37" s="268"/>
      <c r="R37" s="509"/>
      <c r="S37" s="466">
        <f>IF(採点Q2!D76="対象外",0,採点Q2!D76)</f>
        <v>3</v>
      </c>
      <c r="T37" s="644">
        <f>重み!D37</f>
        <v>1</v>
      </c>
      <c r="U37" s="465"/>
      <c r="V37" s="347">
        <f>重み!E37</f>
        <v>0</v>
      </c>
      <c r="W37" s="486"/>
      <c r="X37" s="509"/>
      <c r="Y37" s="463">
        <f>重み!M37</f>
        <v>0.35</v>
      </c>
      <c r="AA37" s="463">
        <f>重み!N37</f>
        <v>0</v>
      </c>
    </row>
    <row r="38" spans="1:27" ht="14.25" thickBot="1">
      <c r="A38" s="54"/>
      <c r="B38" s="211">
        <v>2</v>
      </c>
      <c r="C38" s="245" t="s">
        <v>571</v>
      </c>
      <c r="D38" s="664"/>
      <c r="E38" s="664"/>
      <c r="F38" s="214"/>
      <c r="G38" s="214"/>
      <c r="H38" s="1254"/>
      <c r="I38" s="1255"/>
      <c r="J38" s="1255"/>
      <c r="K38" s="1255"/>
      <c r="L38" s="1256"/>
      <c r="M38" s="275">
        <f t="shared" si="2"/>
        <v>3</v>
      </c>
      <c r="N38" s="276">
        <f t="shared" si="4"/>
        <v>0.25</v>
      </c>
      <c r="O38" s="275">
        <f t="shared" si="5"/>
        <v>0</v>
      </c>
      <c r="P38" s="276">
        <f t="shared" si="0"/>
        <v>0</v>
      </c>
      <c r="Q38" s="277">
        <f>ROUNDDOWN(W38,1)</f>
        <v>3</v>
      </c>
      <c r="R38" s="509"/>
      <c r="S38" s="344">
        <f>S39*T39+S40*T40</f>
        <v>3</v>
      </c>
      <c r="T38" s="644">
        <f>重み!D38</f>
        <v>0.25</v>
      </c>
      <c r="U38" s="465"/>
      <c r="V38" s="347">
        <f>重み!E38</f>
        <v>0</v>
      </c>
      <c r="W38" s="343">
        <f>IF(U38=0,S38,IF(S38=0,U38,S38*Y$6+U38*AA$6))</f>
        <v>3</v>
      </c>
      <c r="X38" s="509"/>
      <c r="Y38" s="463">
        <f>重み!M38</f>
        <v>0.25</v>
      </c>
      <c r="AA38" s="463">
        <f>重み!N38</f>
        <v>0</v>
      </c>
    </row>
    <row r="39" spans="1:27" ht="13.5">
      <c r="A39" s="54"/>
      <c r="B39" s="233"/>
      <c r="C39" s="228">
        <v>2.1</v>
      </c>
      <c r="D39" s="230" t="s">
        <v>573</v>
      </c>
      <c r="E39" s="668"/>
      <c r="F39" s="231"/>
      <c r="G39" s="231"/>
      <c r="H39" s="2313">
        <f>採点Q2!I102</f>
        <v>0</v>
      </c>
      <c r="I39" s="2314"/>
      <c r="J39" s="2314"/>
      <c r="K39" s="2314"/>
      <c r="L39" s="2315"/>
      <c r="M39" s="692">
        <f t="shared" si="2"/>
        <v>3</v>
      </c>
      <c r="N39" s="267">
        <f t="shared" si="4"/>
        <v>0.65</v>
      </c>
      <c r="O39" s="692">
        <f t="shared" si="5"/>
        <v>0</v>
      </c>
      <c r="P39" s="267">
        <f t="shared" si="0"/>
        <v>0</v>
      </c>
      <c r="Q39" s="268"/>
      <c r="R39" s="509"/>
      <c r="S39" s="466">
        <f>IF(採点Q2!D88="対象外",0,採点Q2!D88)</f>
        <v>3</v>
      </c>
      <c r="T39" s="644">
        <f>重み!D39</f>
        <v>0.65</v>
      </c>
      <c r="U39" s="465"/>
      <c r="V39" s="347">
        <f>重み!E39</f>
        <v>0</v>
      </c>
      <c r="W39" s="343"/>
      <c r="X39" s="509"/>
      <c r="Y39" s="463">
        <f>重み!M39</f>
        <v>0.65</v>
      </c>
      <c r="AA39" s="463">
        <f>重み!N39</f>
        <v>0</v>
      </c>
    </row>
    <row r="40" spans="1:27" ht="14.25" thickBot="1">
      <c r="A40" s="54"/>
      <c r="B40" s="233"/>
      <c r="C40" s="225">
        <v>2.2000000000000002</v>
      </c>
      <c r="D40" s="230" t="s">
        <v>300</v>
      </c>
      <c r="E40" s="668"/>
      <c r="F40" s="231"/>
      <c r="G40" s="231"/>
      <c r="H40" s="2313">
        <f>採点Q2!I120</f>
        <v>0</v>
      </c>
      <c r="I40" s="2314"/>
      <c r="J40" s="2314"/>
      <c r="K40" s="2314"/>
      <c r="L40" s="2315"/>
      <c r="M40" s="274">
        <f t="shared" si="2"/>
        <v>3</v>
      </c>
      <c r="N40" s="283">
        <f t="shared" si="4"/>
        <v>0.35</v>
      </c>
      <c r="O40" s="274">
        <f t="shared" si="5"/>
        <v>0</v>
      </c>
      <c r="P40" s="283">
        <f t="shared" si="0"/>
        <v>0</v>
      </c>
      <c r="Q40" s="268"/>
      <c r="R40" s="509"/>
      <c r="S40" s="466">
        <f>IF(採点Q2!D106="対象外",0,採点Q2!D106)</f>
        <v>3</v>
      </c>
      <c r="T40" s="644">
        <f>重み!D40</f>
        <v>0.35</v>
      </c>
      <c r="U40" s="465"/>
      <c r="V40" s="347">
        <f>重み!E40</f>
        <v>0</v>
      </c>
      <c r="W40" s="343"/>
      <c r="X40" s="509"/>
      <c r="Y40" s="463">
        <f>重み!M40</f>
        <v>0.35</v>
      </c>
      <c r="AA40" s="463">
        <f>重み!N40</f>
        <v>0</v>
      </c>
    </row>
    <row r="41" spans="1:27" ht="14.25" thickBot="1">
      <c r="A41" s="54"/>
      <c r="B41" s="244">
        <v>3</v>
      </c>
      <c r="C41" s="239" t="s">
        <v>395</v>
      </c>
      <c r="D41" s="230"/>
      <c r="E41" s="230"/>
      <c r="F41" s="231"/>
      <c r="G41" s="231"/>
      <c r="H41" s="1254"/>
      <c r="I41" s="1255"/>
      <c r="J41" s="1255"/>
      <c r="K41" s="1255"/>
      <c r="L41" s="1256"/>
      <c r="M41" s="284">
        <f t="shared" ref="M41:M86" si="6">ROUNDDOWN(S41,1)</f>
        <v>3</v>
      </c>
      <c r="N41" s="276">
        <f t="shared" ref="N41:N86" si="7">T41</f>
        <v>0.25</v>
      </c>
      <c r="O41" s="284">
        <f t="shared" si="5"/>
        <v>0</v>
      </c>
      <c r="P41" s="276">
        <f t="shared" si="0"/>
        <v>0</v>
      </c>
      <c r="Q41" s="277">
        <f>ROUNDDOWN(W41,1)</f>
        <v>3</v>
      </c>
      <c r="R41" s="509"/>
      <c r="S41" s="344">
        <f>S42*T42+S43*T43</f>
        <v>3</v>
      </c>
      <c r="T41" s="644">
        <f>重み!D41</f>
        <v>0.25</v>
      </c>
      <c r="U41" s="465"/>
      <c r="V41" s="347">
        <f>重み!E41</f>
        <v>0</v>
      </c>
      <c r="W41" s="343">
        <f>IF(U41=0,S41,IF(S41=0,U41,S41*Y$6+U41*AA$6))</f>
        <v>3</v>
      </c>
      <c r="X41" s="509"/>
      <c r="Y41" s="463">
        <f>重み!M41</f>
        <v>0.25</v>
      </c>
      <c r="AA41" s="463">
        <f>重み!N41</f>
        <v>0</v>
      </c>
    </row>
    <row r="42" spans="1:27" ht="13.5">
      <c r="A42" s="54"/>
      <c r="B42" s="233"/>
      <c r="C42" s="216">
        <v>3.1</v>
      </c>
      <c r="D42" s="230" t="s">
        <v>575</v>
      </c>
      <c r="E42" s="217"/>
      <c r="F42" s="231"/>
      <c r="G42" s="231"/>
      <c r="H42" s="2313">
        <f>採点Q2!I138</f>
        <v>0</v>
      </c>
      <c r="I42" s="2314"/>
      <c r="J42" s="2314"/>
      <c r="K42" s="2314"/>
      <c r="L42" s="2315"/>
      <c r="M42" s="692">
        <f t="shared" si="2"/>
        <v>3</v>
      </c>
      <c r="N42" s="267">
        <f t="shared" si="7"/>
        <v>0.5</v>
      </c>
      <c r="O42" s="692">
        <f t="shared" si="5"/>
        <v>0</v>
      </c>
      <c r="P42" s="267">
        <f t="shared" si="0"/>
        <v>0</v>
      </c>
      <c r="Q42" s="268"/>
      <c r="R42" s="509"/>
      <c r="S42" s="466">
        <f>IF(採点Q2!D125="対象外",0,採点Q2!D125)</f>
        <v>3</v>
      </c>
      <c r="T42" s="644">
        <f>重み!D42</f>
        <v>0.5</v>
      </c>
      <c r="U42" s="465"/>
      <c r="V42" s="347">
        <f>重み!E42</f>
        <v>0</v>
      </c>
      <c r="W42" s="343"/>
      <c r="X42" s="509"/>
      <c r="Y42" s="463">
        <f>重み!M42</f>
        <v>0.5</v>
      </c>
      <c r="AA42" s="463">
        <f>重み!N42</f>
        <v>0</v>
      </c>
    </row>
    <row r="43" spans="1:27" s="400" customFormat="1" ht="14.25" thickBot="1">
      <c r="A43" s="54"/>
      <c r="B43" s="233"/>
      <c r="C43" s="228">
        <v>3.2</v>
      </c>
      <c r="D43" s="672" t="s">
        <v>576</v>
      </c>
      <c r="E43" s="218"/>
      <c r="F43" s="232"/>
      <c r="G43" s="232"/>
      <c r="H43" s="2313">
        <f>採点Q2!I149</f>
        <v>0</v>
      </c>
      <c r="I43" s="2314"/>
      <c r="J43" s="2314"/>
      <c r="K43" s="2314"/>
      <c r="L43" s="2325"/>
      <c r="M43" s="274">
        <f t="shared" si="2"/>
        <v>3</v>
      </c>
      <c r="N43" s="283">
        <f t="shared" si="7"/>
        <v>0.5</v>
      </c>
      <c r="O43" s="274">
        <f t="shared" si="5"/>
        <v>0</v>
      </c>
      <c r="P43" s="283">
        <f t="shared" si="0"/>
        <v>0</v>
      </c>
      <c r="Q43" s="268"/>
      <c r="R43" s="509"/>
      <c r="S43" s="466">
        <f>IF(採点Q2!D142="対象外",0,採点Q2!D142)</f>
        <v>3</v>
      </c>
      <c r="T43" s="644">
        <f>重み!D43</f>
        <v>0.5</v>
      </c>
      <c r="U43" s="465"/>
      <c r="V43" s="347">
        <f>重み!E43</f>
        <v>0</v>
      </c>
      <c r="W43" s="343"/>
      <c r="X43" s="509"/>
      <c r="Y43" s="463">
        <f>重み!M43</f>
        <v>0.5</v>
      </c>
      <c r="Z43" s="457"/>
      <c r="AA43" s="463">
        <f>重み!N43</f>
        <v>0</v>
      </c>
    </row>
    <row r="44" spans="1:27" s="400" customFormat="1" ht="17.25" thickBot="1">
      <c r="A44" s="54"/>
      <c r="B44" s="235" t="s">
        <v>781</v>
      </c>
      <c r="C44" s="240" t="s">
        <v>577</v>
      </c>
      <c r="D44" s="673"/>
      <c r="E44" s="673"/>
      <c r="F44" s="241"/>
      <c r="G44" s="241"/>
      <c r="H44" s="1257"/>
      <c r="I44" s="1258"/>
      <c r="J44" s="1258"/>
      <c r="K44" s="1258"/>
      <c r="L44" s="1259"/>
      <c r="M44" s="382">
        <f t="shared" si="6"/>
        <v>0</v>
      </c>
      <c r="N44" s="280">
        <f t="shared" si="7"/>
        <v>0.25</v>
      </c>
      <c r="O44" s="382">
        <f t="shared" si="5"/>
        <v>0</v>
      </c>
      <c r="P44" s="280">
        <f t="shared" si="0"/>
        <v>0</v>
      </c>
      <c r="Q44" s="281">
        <f>ROUNDDOWN(W44,1)</f>
        <v>3</v>
      </c>
      <c r="R44" s="509"/>
      <c r="S44" s="467"/>
      <c r="T44" s="643">
        <f>重み!D44</f>
        <v>0.25</v>
      </c>
      <c r="U44" s="465"/>
      <c r="V44" s="347">
        <f>重み!E44</f>
        <v>0</v>
      </c>
      <c r="W44" s="343">
        <f>W45*T45+W46*T46+W49*T49+T50*W50</f>
        <v>3</v>
      </c>
      <c r="X44" s="509"/>
      <c r="Y44" s="463">
        <f>重み!M44</f>
        <v>0.25</v>
      </c>
      <c r="Z44" s="457"/>
      <c r="AA44" s="463">
        <f>重み!N44</f>
        <v>0</v>
      </c>
    </row>
    <row r="45" spans="1:27" s="400" customFormat="1" ht="14.25" thickBot="1">
      <c r="A45" s="54"/>
      <c r="B45" s="211">
        <v>1</v>
      </c>
      <c r="C45" s="238" t="s">
        <v>393</v>
      </c>
      <c r="D45" s="226"/>
      <c r="E45" s="226"/>
      <c r="F45" s="214"/>
      <c r="G45" s="214"/>
      <c r="H45" s="2328">
        <f>採点Q3!I24</f>
        <v>0</v>
      </c>
      <c r="I45" s="2329"/>
      <c r="J45" s="2329"/>
      <c r="K45" s="2329"/>
      <c r="L45" s="2330"/>
      <c r="M45" s="287">
        <f t="shared" si="6"/>
        <v>3</v>
      </c>
      <c r="N45" s="283">
        <f t="shared" si="7"/>
        <v>0.3</v>
      </c>
      <c r="O45" s="287">
        <f t="shared" si="5"/>
        <v>0</v>
      </c>
      <c r="P45" s="283">
        <f t="shared" si="0"/>
        <v>0</v>
      </c>
      <c r="Q45" s="268">
        <f>ROUNDDOWN(W45,1)</f>
        <v>3</v>
      </c>
      <c r="R45" s="509"/>
      <c r="S45" s="466">
        <f>IF(採点Q3!D8="対象外",0,採点Q3!D8)</f>
        <v>3</v>
      </c>
      <c r="T45" s="644">
        <f>重み!D45</f>
        <v>0.3</v>
      </c>
      <c r="U45" s="465"/>
      <c r="V45" s="347">
        <f>重み!E45</f>
        <v>0</v>
      </c>
      <c r="W45" s="343">
        <f>IF(U45=0,S45,IF(S45=0,U45,S45*Y$6+U45*AA$6))</f>
        <v>3</v>
      </c>
      <c r="X45" s="509"/>
      <c r="Y45" s="463">
        <f>重み!M45</f>
        <v>0.3</v>
      </c>
      <c r="Z45" s="457"/>
      <c r="AA45" s="463">
        <f>重み!N45</f>
        <v>0</v>
      </c>
    </row>
    <row r="46" spans="1:27" s="400" customFormat="1" ht="14.25" thickBot="1">
      <c r="A46" s="54"/>
      <c r="B46" s="244">
        <v>2</v>
      </c>
      <c r="C46" s="243" t="s">
        <v>402</v>
      </c>
      <c r="D46" s="218"/>
      <c r="E46" s="218"/>
      <c r="F46" s="232"/>
      <c r="G46" s="232"/>
      <c r="H46" s="1254"/>
      <c r="I46" s="1255"/>
      <c r="J46" s="1255"/>
      <c r="K46" s="1255"/>
      <c r="L46" s="1256"/>
      <c r="M46" s="275">
        <f t="shared" si="6"/>
        <v>3</v>
      </c>
      <c r="N46" s="285">
        <f t="shared" si="7"/>
        <v>0.3</v>
      </c>
      <c r="O46" s="275">
        <f t="shared" si="5"/>
        <v>0</v>
      </c>
      <c r="P46" s="285">
        <f t="shared" si="0"/>
        <v>0</v>
      </c>
      <c r="Q46" s="277">
        <f>ROUNDDOWN(W46,1)</f>
        <v>3</v>
      </c>
      <c r="R46" s="509"/>
      <c r="S46" s="344">
        <f>SUMPRODUCT(S47:S48,T47:T48)</f>
        <v>3</v>
      </c>
      <c r="T46" s="644">
        <f>重み!D46</f>
        <v>0.3</v>
      </c>
      <c r="U46" s="465"/>
      <c r="V46" s="347">
        <f>重み!E46</f>
        <v>0</v>
      </c>
      <c r="W46" s="343">
        <f>IF(U46=0,S46,IF(S46=0,U46,S46*Y$6+U46*AA$6))</f>
        <v>3</v>
      </c>
      <c r="X46" s="509"/>
      <c r="Y46" s="463">
        <f>重み!M46</f>
        <v>0.3</v>
      </c>
      <c r="Z46" s="457"/>
      <c r="AA46" s="463">
        <f>重み!N46</f>
        <v>0</v>
      </c>
    </row>
    <row r="47" spans="1:27" s="400" customFormat="1" ht="13.5">
      <c r="A47" s="54"/>
      <c r="B47" s="646"/>
      <c r="C47" s="650">
        <v>2.1</v>
      </c>
      <c r="D47" s="674" t="s">
        <v>579</v>
      </c>
      <c r="E47" s="651"/>
      <c r="F47" s="234"/>
      <c r="G47" s="234"/>
      <c r="H47" s="2313">
        <f>採点Q3!I36</f>
        <v>0</v>
      </c>
      <c r="I47" s="2314"/>
      <c r="J47" s="2314"/>
      <c r="K47" s="2314"/>
      <c r="L47" s="2315"/>
      <c r="M47" s="692">
        <f t="shared" si="6"/>
        <v>3</v>
      </c>
      <c r="N47" s="283">
        <f t="shared" si="7"/>
        <v>0.65</v>
      </c>
      <c r="O47" s="692">
        <f t="shared" si="5"/>
        <v>0</v>
      </c>
      <c r="P47" s="283">
        <f t="shared" si="0"/>
        <v>0</v>
      </c>
      <c r="Q47" s="268"/>
      <c r="R47" s="509"/>
      <c r="S47" s="466">
        <f>IF(採点Q3!D29="対象外",0,採点Q3!D29)</f>
        <v>3</v>
      </c>
      <c r="T47" s="644">
        <f>重み!D47</f>
        <v>0.65</v>
      </c>
      <c r="U47" s="465"/>
      <c r="V47" s="347">
        <f>重み!E47</f>
        <v>0</v>
      </c>
      <c r="W47" s="486"/>
      <c r="X47" s="509"/>
      <c r="Y47" s="463">
        <f>重み!M47</f>
        <v>0.65</v>
      </c>
      <c r="Z47" s="457"/>
      <c r="AA47" s="463">
        <f>重み!N47</f>
        <v>0</v>
      </c>
    </row>
    <row r="48" spans="1:27" ht="13.5">
      <c r="A48" s="54"/>
      <c r="B48" s="255"/>
      <c r="C48" s="246">
        <v>2.2000000000000002</v>
      </c>
      <c r="D48" s="672" t="s">
        <v>580</v>
      </c>
      <c r="E48" s="652"/>
      <c r="F48" s="232"/>
      <c r="G48" s="232"/>
      <c r="H48" s="2313">
        <f>採点Q3!I55</f>
        <v>0</v>
      </c>
      <c r="I48" s="2314"/>
      <c r="J48" s="2314"/>
      <c r="K48" s="2314"/>
      <c r="L48" s="2315"/>
      <c r="M48" s="289">
        <f t="shared" si="6"/>
        <v>3</v>
      </c>
      <c r="N48" s="283">
        <f t="shared" si="7"/>
        <v>0.35</v>
      </c>
      <c r="O48" s="289">
        <f t="shared" si="5"/>
        <v>0</v>
      </c>
      <c r="P48" s="283">
        <f t="shared" si="0"/>
        <v>0</v>
      </c>
      <c r="Q48" s="268"/>
      <c r="R48" s="509"/>
      <c r="S48" s="466">
        <f>IF(採点Q3!D40="対象外",0,採点Q3!D40)</f>
        <v>3</v>
      </c>
      <c r="T48" s="644">
        <f>重み!D48</f>
        <v>0.35</v>
      </c>
      <c r="U48" s="465"/>
      <c r="V48" s="347">
        <f>重み!E48</f>
        <v>0</v>
      </c>
      <c r="W48" s="486"/>
      <c r="X48" s="509"/>
      <c r="Y48" s="463">
        <f>重み!M48</f>
        <v>0.35</v>
      </c>
      <c r="AA48" s="463">
        <f>重み!N48</f>
        <v>0</v>
      </c>
    </row>
    <row r="49" spans="1:27" s="400" customFormat="1" ht="13.5">
      <c r="A49" s="54"/>
      <c r="B49" s="242">
        <v>3</v>
      </c>
      <c r="C49" s="229" t="s">
        <v>578</v>
      </c>
      <c r="D49" s="218"/>
      <c r="E49" s="218"/>
      <c r="F49" s="232"/>
      <c r="G49" s="232"/>
      <c r="H49" s="2331">
        <f>採点Q3!I75</f>
        <v>0</v>
      </c>
      <c r="I49" s="2332"/>
      <c r="J49" s="2332"/>
      <c r="K49" s="2332"/>
      <c r="L49" s="2332"/>
      <c r="M49" s="696">
        <f t="shared" si="6"/>
        <v>3</v>
      </c>
      <c r="N49" s="695">
        <f>T49</f>
        <v>0.2</v>
      </c>
      <c r="O49" s="696">
        <f t="shared" si="5"/>
        <v>0</v>
      </c>
      <c r="P49" s="695">
        <f t="shared" si="0"/>
        <v>0</v>
      </c>
      <c r="Q49" s="277">
        <f>ROUNDDOWN(W49,1)</f>
        <v>3</v>
      </c>
      <c r="R49" s="509"/>
      <c r="S49" s="466">
        <f>IF(採点Q3!D59="対象外",0,採点Q3!D59)</f>
        <v>3</v>
      </c>
      <c r="T49" s="644">
        <f>重み!D49</f>
        <v>0.2</v>
      </c>
      <c r="U49" s="465"/>
      <c r="V49" s="347">
        <f>重み!E49</f>
        <v>0</v>
      </c>
      <c r="W49" s="343">
        <f>IF(U49=0,S49,IF(S49=0,U49,S49*Y$6+U49*AA$6))</f>
        <v>3</v>
      </c>
      <c r="X49" s="509"/>
      <c r="Y49" s="463">
        <f>重み!M49</f>
        <v>0.2</v>
      </c>
      <c r="Z49" s="457"/>
      <c r="AA49" s="463">
        <f>重み!N49</f>
        <v>0</v>
      </c>
    </row>
    <row r="50" spans="1:27" ht="14.25" thickBot="1">
      <c r="A50" s="54"/>
      <c r="B50" s="504">
        <v>4</v>
      </c>
      <c r="C50" s="505" t="s">
        <v>816</v>
      </c>
      <c r="D50" s="487"/>
      <c r="E50" s="675"/>
      <c r="F50" s="506"/>
      <c r="G50" s="506"/>
      <c r="H50" s="2313">
        <f>採点Q3!I94</f>
        <v>0</v>
      </c>
      <c r="I50" s="2314"/>
      <c r="J50" s="2314"/>
      <c r="K50" s="2314"/>
      <c r="L50" s="2315"/>
      <c r="M50" s="274">
        <f t="shared" si="6"/>
        <v>3</v>
      </c>
      <c r="N50" s="483">
        <f t="shared" si="7"/>
        <v>0.2</v>
      </c>
      <c r="O50" s="274">
        <f t="shared" si="5"/>
        <v>0</v>
      </c>
      <c r="P50" s="483">
        <f t="shared" si="0"/>
        <v>0</v>
      </c>
      <c r="Q50" s="277">
        <f>ROUNDDOWN(W50,1)</f>
        <v>3</v>
      </c>
      <c r="R50" s="509"/>
      <c r="S50" s="466">
        <f>IF(採点Q3!D79="対象外",0,採点Q3!D79)</f>
        <v>3</v>
      </c>
      <c r="T50" s="644">
        <f>重み!D50</f>
        <v>0.2</v>
      </c>
      <c r="U50" s="465"/>
      <c r="V50" s="347">
        <f>重み!E50</f>
        <v>0</v>
      </c>
      <c r="W50" s="343">
        <f>IF(U50=0,S50,IF(S50=0,U50,S50*Y$6+U50*AA$6))</f>
        <v>3</v>
      </c>
      <c r="X50" s="509"/>
      <c r="Y50" s="463">
        <f>重み!M50</f>
        <v>0.2</v>
      </c>
      <c r="AA50" s="463">
        <f>重み!N50</f>
        <v>0</v>
      </c>
    </row>
    <row r="51" spans="1:27" ht="19.5" thickBot="1">
      <c r="A51" s="54"/>
      <c r="B51" s="248" t="s">
        <v>782</v>
      </c>
      <c r="C51" s="249"/>
      <c r="D51" s="676"/>
      <c r="E51" s="676"/>
      <c r="F51" s="250"/>
      <c r="G51" s="250"/>
      <c r="H51" s="1265"/>
      <c r="I51" s="1266"/>
      <c r="J51" s="1266"/>
      <c r="K51" s="1266"/>
      <c r="L51" s="1267"/>
      <c r="M51" s="686">
        <f>ROUNDDOWN(S51,1)</f>
        <v>0</v>
      </c>
      <c r="N51" s="286">
        <f t="shared" si="7"/>
        <v>0</v>
      </c>
      <c r="O51" s="686">
        <f t="shared" si="5"/>
        <v>0</v>
      </c>
      <c r="P51" s="286">
        <f t="shared" si="0"/>
        <v>0</v>
      </c>
      <c r="Q51" s="1142" t="e">
        <f>ROUNDDOWN(W51,1)</f>
        <v>#VALUE!</v>
      </c>
      <c r="R51" s="509"/>
      <c r="S51" s="467"/>
      <c r="T51" s="644">
        <f>重み!D51</f>
        <v>0</v>
      </c>
      <c r="U51" s="465"/>
      <c r="V51" s="347">
        <f>重み!E51</f>
        <v>0</v>
      </c>
      <c r="W51" s="343" t="e">
        <f>T52*W52+T62*W62+T79*W79</f>
        <v>#VALUE!</v>
      </c>
      <c r="X51" s="509"/>
      <c r="Y51" s="463">
        <f>重み!M51</f>
        <v>0</v>
      </c>
      <c r="AA51" s="463">
        <f>重み!N51</f>
        <v>0</v>
      </c>
    </row>
    <row r="52" spans="1:27" ht="17.25" thickBot="1">
      <c r="A52" s="54"/>
      <c r="B52" s="251" t="s">
        <v>783</v>
      </c>
      <c r="C52" s="209" t="s">
        <v>901</v>
      </c>
      <c r="D52" s="663"/>
      <c r="E52" s="663"/>
      <c r="F52" s="252"/>
      <c r="G52" s="252"/>
      <c r="H52" s="1268"/>
      <c r="I52" s="1269"/>
      <c r="J52" s="1269"/>
      <c r="K52" s="1269"/>
      <c r="L52" s="1270"/>
      <c r="M52" s="687">
        <f>ROUNDDOWN(S52,1)</f>
        <v>0</v>
      </c>
      <c r="N52" s="199" t="e">
        <f t="shared" si="7"/>
        <v>#VALUE!</v>
      </c>
      <c r="O52" s="687">
        <f t="shared" si="5"/>
        <v>0</v>
      </c>
      <c r="P52" s="199">
        <f t="shared" si="0"/>
        <v>0</v>
      </c>
      <c r="Q52" s="200">
        <f>ROUNDDOWN(W52,1)</f>
        <v>4.3</v>
      </c>
      <c r="R52" s="509"/>
      <c r="S52" s="467"/>
      <c r="T52" s="643" t="e">
        <f>重み!D52</f>
        <v>#VALUE!</v>
      </c>
      <c r="U52" s="465"/>
      <c r="V52" s="347">
        <f>重み!E52</f>
        <v>0</v>
      </c>
      <c r="W52" s="507">
        <f>W53*T53+W56*T56+W59*T59</f>
        <v>4.3499999999999996</v>
      </c>
      <c r="X52" s="509"/>
      <c r="Y52" s="463">
        <f>重み!M52</f>
        <v>0.35</v>
      </c>
      <c r="AA52" s="463">
        <f>重み!N52</f>
        <v>0</v>
      </c>
    </row>
    <row r="53" spans="1:27" ht="14.25" thickBot="1">
      <c r="A53" s="54"/>
      <c r="B53" s="211">
        <v>1</v>
      </c>
      <c r="C53" s="212" t="s">
        <v>705</v>
      </c>
      <c r="D53" s="664"/>
      <c r="E53" s="664"/>
      <c r="F53" s="298"/>
      <c r="G53" s="298"/>
      <c r="H53" s="1254"/>
      <c r="I53" s="1255"/>
      <c r="J53" s="1255"/>
      <c r="K53" s="1255"/>
      <c r="L53" s="1256"/>
      <c r="M53" s="275">
        <f t="shared" si="6"/>
        <v>4.8</v>
      </c>
      <c r="N53" s="688">
        <f t="shared" si="7"/>
        <v>0.75</v>
      </c>
      <c r="O53" s="275">
        <f t="shared" si="5"/>
        <v>0</v>
      </c>
      <c r="P53" s="688">
        <f t="shared" si="0"/>
        <v>0</v>
      </c>
      <c r="Q53" s="689">
        <f>ROUNDDOWN(W53,1)</f>
        <v>4.8</v>
      </c>
      <c r="R53" s="509"/>
      <c r="S53" s="344">
        <f>S54*T54+S55*T55</f>
        <v>4.8</v>
      </c>
      <c r="T53" s="644">
        <f>重み!D53</f>
        <v>0.75</v>
      </c>
      <c r="U53" s="465"/>
      <c r="V53" s="347">
        <f>重み!E53</f>
        <v>0</v>
      </c>
      <c r="W53" s="343">
        <f>IF(U53=0,S53,S53*Y$6+U53*AA$6)</f>
        <v>4.8</v>
      </c>
      <c r="X53" s="509"/>
      <c r="Y53" s="463">
        <f>重み!M53</f>
        <v>0.75</v>
      </c>
      <c r="AA53" s="463">
        <f>重み!N53</f>
        <v>0</v>
      </c>
    </row>
    <row r="54" spans="1:27" ht="13.5">
      <c r="A54" s="54"/>
      <c r="B54" s="211"/>
      <c r="C54" s="650">
        <v>1.1000000000000001</v>
      </c>
      <c r="D54" s="672" t="s">
        <v>698</v>
      </c>
      <c r="E54" s="672"/>
      <c r="F54" s="253"/>
      <c r="G54" s="253"/>
      <c r="H54" s="2313">
        <f>採点LR1!I45</f>
        <v>0</v>
      </c>
      <c r="I54" s="2314"/>
      <c r="J54" s="2314"/>
      <c r="K54" s="2314"/>
      <c r="L54" s="2315"/>
      <c r="M54" s="692">
        <f t="shared" si="6"/>
        <v>5</v>
      </c>
      <c r="N54" s="283">
        <f>T54</f>
        <v>0.9</v>
      </c>
      <c r="O54" s="692">
        <f t="shared" si="5"/>
        <v>0</v>
      </c>
      <c r="P54" s="283"/>
      <c r="Q54" s="268"/>
      <c r="R54" s="509"/>
      <c r="S54" s="466">
        <f>IF(採点LR1!D8="対象外",0,採点LR1!D8)</f>
        <v>5</v>
      </c>
      <c r="T54" s="644">
        <f>重み!D54</f>
        <v>0.9</v>
      </c>
      <c r="U54" s="465"/>
      <c r="V54" s="347">
        <f>重み!E54</f>
        <v>0</v>
      </c>
      <c r="W54" s="486"/>
      <c r="X54" s="509"/>
      <c r="Y54" s="463">
        <f>重み!M54</f>
        <v>0.9</v>
      </c>
      <c r="AA54" s="463">
        <f>重み!N54</f>
        <v>0</v>
      </c>
    </row>
    <row r="55" spans="1:27" s="400" customFormat="1" ht="14.25" thickBot="1">
      <c r="A55" s="54"/>
      <c r="B55" s="256"/>
      <c r="C55" s="228">
        <v>1.2</v>
      </c>
      <c r="D55" s="672" t="s">
        <v>701</v>
      </c>
      <c r="E55" s="218"/>
      <c r="F55" s="232"/>
      <c r="G55" s="232"/>
      <c r="H55" s="2313">
        <f>採点LR1!I65</f>
        <v>0</v>
      </c>
      <c r="I55" s="2315"/>
      <c r="J55" s="2315"/>
      <c r="K55" s="2315"/>
      <c r="L55" s="2315"/>
      <c r="M55" s="274">
        <f t="shared" si="6"/>
        <v>3</v>
      </c>
      <c r="N55" s="283">
        <f t="shared" si="7"/>
        <v>0.1</v>
      </c>
      <c r="O55" s="289">
        <f t="shared" si="5"/>
        <v>0</v>
      </c>
      <c r="P55" s="283">
        <f t="shared" ref="P55:P62" si="8">V55</f>
        <v>0</v>
      </c>
      <c r="Q55" s="268"/>
      <c r="R55" s="509"/>
      <c r="S55" s="466">
        <f>IF(採点LR1!D50="対象外",0,採点LR1!D50)</f>
        <v>3</v>
      </c>
      <c r="T55" s="644">
        <f>重み!D55</f>
        <v>0.1</v>
      </c>
      <c r="U55" s="465"/>
      <c r="V55" s="347">
        <f>重み!E55</f>
        <v>0</v>
      </c>
      <c r="W55" s="486"/>
      <c r="X55" s="509"/>
      <c r="Y55" s="463">
        <f>重み!M55</f>
        <v>0.1</v>
      </c>
      <c r="Z55" s="457"/>
      <c r="AA55" s="463">
        <f>重み!N55</f>
        <v>0</v>
      </c>
    </row>
    <row r="56" spans="1:27" ht="14.25" thickBot="1">
      <c r="A56" s="54"/>
      <c r="B56" s="254">
        <v>2</v>
      </c>
      <c r="C56" s="229" t="s">
        <v>581</v>
      </c>
      <c r="D56" s="672"/>
      <c r="E56" s="672"/>
      <c r="F56" s="253"/>
      <c r="G56" s="253"/>
      <c r="H56" s="1254"/>
      <c r="I56" s="1255"/>
      <c r="J56" s="1255"/>
      <c r="K56" s="1255"/>
      <c r="L56" s="1256"/>
      <c r="M56" s="266">
        <f t="shared" si="6"/>
        <v>3</v>
      </c>
      <c r="N56" s="276">
        <f t="shared" si="7"/>
        <v>0.15</v>
      </c>
      <c r="O56" s="266">
        <f t="shared" si="5"/>
        <v>0</v>
      </c>
      <c r="P56" s="276">
        <f t="shared" si="8"/>
        <v>0</v>
      </c>
      <c r="Q56" s="277">
        <f>ROUNDDOWN(W56,1)</f>
        <v>3</v>
      </c>
      <c r="R56" s="509"/>
      <c r="S56" s="344">
        <f>S57*T57+S58*T58</f>
        <v>3</v>
      </c>
      <c r="T56" s="644">
        <f>重み!D56</f>
        <v>0.15</v>
      </c>
      <c r="U56" s="465"/>
      <c r="V56" s="347">
        <f>重み!E56</f>
        <v>0</v>
      </c>
      <c r="W56" s="343">
        <f>IF(U56=0,S56,S56*Y$6+U56*AA$6)</f>
        <v>3</v>
      </c>
      <c r="X56" s="509"/>
      <c r="Y56" s="463">
        <f>重み!M56</f>
        <v>0.15</v>
      </c>
      <c r="AA56" s="463">
        <f>重み!N56</f>
        <v>0</v>
      </c>
    </row>
    <row r="57" spans="1:27" ht="13.5">
      <c r="A57" s="54"/>
      <c r="B57" s="256"/>
      <c r="C57" s="246">
        <v>2.1</v>
      </c>
      <c r="D57" s="672" t="s">
        <v>582</v>
      </c>
      <c r="E57" s="218"/>
      <c r="F57" s="232"/>
      <c r="G57" s="232"/>
      <c r="H57" s="2313">
        <f>採点LR1!I84</f>
        <v>0</v>
      </c>
      <c r="I57" s="2314"/>
      <c r="J57" s="2314"/>
      <c r="K57" s="2314"/>
      <c r="L57" s="2315"/>
      <c r="M57" s="692">
        <f t="shared" si="6"/>
        <v>3</v>
      </c>
      <c r="N57" s="283">
        <f t="shared" si="7"/>
        <v>0.75</v>
      </c>
      <c r="O57" s="692">
        <f t="shared" si="5"/>
        <v>0</v>
      </c>
      <c r="P57" s="283">
        <f t="shared" si="8"/>
        <v>0</v>
      </c>
      <c r="Q57" s="268"/>
      <c r="R57" s="509"/>
      <c r="S57" s="466">
        <f>IF(採点LR1!D71="対象外",0,採点LR1!D71)</f>
        <v>3</v>
      </c>
      <c r="T57" s="644">
        <f>重み!D57</f>
        <v>0.75</v>
      </c>
      <c r="U57" s="465"/>
      <c r="V57" s="347">
        <f>重み!E57</f>
        <v>0</v>
      </c>
      <c r="W57" s="343"/>
      <c r="X57" s="509"/>
      <c r="Y57" s="463">
        <f>重み!M57</f>
        <v>0.75</v>
      </c>
      <c r="AA57" s="463">
        <f>重み!N57</f>
        <v>0</v>
      </c>
    </row>
    <row r="58" spans="1:27" ht="14.25" thickBot="1">
      <c r="A58" s="54"/>
      <c r="B58" s="256"/>
      <c r="C58" s="246">
        <v>2.2000000000000002</v>
      </c>
      <c r="D58" s="672" t="s">
        <v>584</v>
      </c>
      <c r="E58" s="218"/>
      <c r="F58" s="232"/>
      <c r="G58" s="232"/>
      <c r="H58" s="2313">
        <f>採点LR1!I95</f>
        <v>0</v>
      </c>
      <c r="I58" s="2314"/>
      <c r="J58" s="2314"/>
      <c r="K58" s="2314"/>
      <c r="L58" s="2315"/>
      <c r="M58" s="274">
        <f t="shared" si="6"/>
        <v>3</v>
      </c>
      <c r="N58" s="283">
        <f t="shared" si="7"/>
        <v>0.25</v>
      </c>
      <c r="O58" s="274">
        <f t="shared" si="5"/>
        <v>0</v>
      </c>
      <c r="P58" s="283">
        <f t="shared" si="8"/>
        <v>0</v>
      </c>
      <c r="Q58" s="268"/>
      <c r="R58" s="509"/>
      <c r="S58" s="466">
        <f>IF(採点LR1!D88="対象外",0,採点LR1!D88)</f>
        <v>3</v>
      </c>
      <c r="T58" s="644">
        <f>重み!D58</f>
        <v>0.25</v>
      </c>
      <c r="U58" s="465"/>
      <c r="V58" s="347">
        <f>重み!E58</f>
        <v>0</v>
      </c>
      <c r="W58" s="343"/>
      <c r="X58" s="509"/>
      <c r="Y58" s="463">
        <f>重み!M58</f>
        <v>0.25</v>
      </c>
      <c r="AA58" s="463">
        <f>重み!N58</f>
        <v>0</v>
      </c>
    </row>
    <row r="59" spans="1:27" ht="14.25" thickBot="1">
      <c r="A59" s="54"/>
      <c r="B59" s="254">
        <v>3</v>
      </c>
      <c r="C59" s="213" t="s">
        <v>586</v>
      </c>
      <c r="D59" s="664"/>
      <c r="E59" s="664"/>
      <c r="F59" s="214"/>
      <c r="G59" s="214"/>
      <c r="H59" s="1254"/>
      <c r="I59" s="1255"/>
      <c r="J59" s="1255"/>
      <c r="K59" s="1255"/>
      <c r="L59" s="1256"/>
      <c r="M59" s="469">
        <f t="shared" si="6"/>
        <v>3</v>
      </c>
      <c r="N59" s="276">
        <f t="shared" si="7"/>
        <v>0.1</v>
      </c>
      <c r="O59" s="469">
        <f t="shared" si="5"/>
        <v>0</v>
      </c>
      <c r="P59" s="276">
        <f t="shared" si="8"/>
        <v>0</v>
      </c>
      <c r="Q59" s="277">
        <f>ROUNDDOWN(W59,1)</f>
        <v>3</v>
      </c>
      <c r="R59" s="509"/>
      <c r="S59" s="344">
        <f>S60*T60+S61*T61</f>
        <v>3</v>
      </c>
      <c r="T59" s="644">
        <f>重み!D59</f>
        <v>0.1</v>
      </c>
      <c r="U59" s="465"/>
      <c r="V59" s="347">
        <f>重み!E59</f>
        <v>0</v>
      </c>
      <c r="W59" s="343">
        <f>IF(U59=0,S59,S59*Y$6+U59*AA$6)</f>
        <v>3</v>
      </c>
      <c r="X59" s="509"/>
      <c r="Y59" s="463">
        <f>重み!M59</f>
        <v>0.1</v>
      </c>
      <c r="AA59" s="463">
        <f>重み!N59</f>
        <v>0</v>
      </c>
    </row>
    <row r="60" spans="1:27" ht="13.5">
      <c r="A60" s="54"/>
      <c r="B60" s="257"/>
      <c r="C60" s="228">
        <v>3.1</v>
      </c>
      <c r="D60" s="672" t="s">
        <v>55</v>
      </c>
      <c r="E60" s="218"/>
      <c r="F60" s="232"/>
      <c r="G60" s="232"/>
      <c r="H60" s="2313">
        <f>採点LR1!I107</f>
        <v>0</v>
      </c>
      <c r="I60" s="2314"/>
      <c r="J60" s="2314"/>
      <c r="K60" s="2314"/>
      <c r="L60" s="2315"/>
      <c r="M60" s="692">
        <f t="shared" si="6"/>
        <v>3</v>
      </c>
      <c r="N60" s="283">
        <f t="shared" si="7"/>
        <v>0.5</v>
      </c>
      <c r="O60" s="692">
        <f t="shared" si="5"/>
        <v>0</v>
      </c>
      <c r="P60" s="283">
        <f t="shared" si="8"/>
        <v>0</v>
      </c>
      <c r="Q60" s="268"/>
      <c r="R60" s="509"/>
      <c r="S60" s="466">
        <f>IF(採点LR1!D100="対象外",0,採点LR1!D100)</f>
        <v>3</v>
      </c>
      <c r="T60" s="644">
        <f>重み!D60</f>
        <v>0.5</v>
      </c>
      <c r="U60" s="465"/>
      <c r="V60" s="347">
        <f>重み!E60</f>
        <v>0</v>
      </c>
      <c r="W60" s="343"/>
      <c r="X60" s="509"/>
      <c r="Y60" s="463">
        <f>重み!M60</f>
        <v>0.5</v>
      </c>
      <c r="AA60" s="463">
        <f>重み!N60</f>
        <v>0</v>
      </c>
    </row>
    <row r="61" spans="1:27" ht="14.25" thickBot="1">
      <c r="A61" s="54"/>
      <c r="B61" s="258"/>
      <c r="C61" s="259">
        <v>3.2</v>
      </c>
      <c r="D61" s="678" t="s">
        <v>585</v>
      </c>
      <c r="E61" s="297"/>
      <c r="F61" s="260"/>
      <c r="G61" s="260"/>
      <c r="H61" s="2313">
        <f>採点LR1!I118</f>
        <v>0</v>
      </c>
      <c r="I61" s="2314"/>
      <c r="J61" s="2314"/>
      <c r="K61" s="2314"/>
      <c r="L61" s="2315"/>
      <c r="M61" s="274">
        <f t="shared" si="6"/>
        <v>3</v>
      </c>
      <c r="N61" s="283">
        <f t="shared" si="7"/>
        <v>0.5</v>
      </c>
      <c r="O61" s="274">
        <f t="shared" si="5"/>
        <v>0</v>
      </c>
      <c r="P61" s="283">
        <f t="shared" si="8"/>
        <v>0</v>
      </c>
      <c r="Q61" s="279"/>
      <c r="R61" s="509"/>
      <c r="S61" s="466">
        <f>IF(採点LR1!D111="対象外",0,採点LR1!D111)</f>
        <v>3</v>
      </c>
      <c r="T61" s="644">
        <f>重み!D61</f>
        <v>0.5</v>
      </c>
      <c r="U61" s="465"/>
      <c r="V61" s="347">
        <f>重み!E61</f>
        <v>0</v>
      </c>
      <c r="W61" s="343"/>
      <c r="X61" s="509"/>
      <c r="Y61" s="463">
        <f>重み!M61</f>
        <v>0.5</v>
      </c>
      <c r="AA61" s="463">
        <f>重み!N61</f>
        <v>0</v>
      </c>
    </row>
    <row r="62" spans="1:27" ht="17.25" thickBot="1">
      <c r="A62" s="54"/>
      <c r="B62" s="235" t="s">
        <v>784</v>
      </c>
      <c r="C62" s="240" t="s">
        <v>389</v>
      </c>
      <c r="D62" s="673"/>
      <c r="E62" s="673"/>
      <c r="F62" s="241"/>
      <c r="G62" s="241"/>
      <c r="H62" s="1257"/>
      <c r="I62" s="1258"/>
      <c r="J62" s="1258"/>
      <c r="K62" s="1258"/>
      <c r="L62" s="1259"/>
      <c r="M62" s="383">
        <f t="shared" si="6"/>
        <v>0</v>
      </c>
      <c r="N62" s="280" t="e">
        <f>T62</f>
        <v>#VALUE!</v>
      </c>
      <c r="O62" s="383">
        <f t="shared" si="5"/>
        <v>0</v>
      </c>
      <c r="P62" s="280">
        <f t="shared" si="8"/>
        <v>0</v>
      </c>
      <c r="Q62" s="281">
        <f>ROUNDDOWN(W62,1)</f>
        <v>3</v>
      </c>
      <c r="R62" s="509"/>
      <c r="S62" s="467"/>
      <c r="T62" s="643" t="e">
        <f>重み!D62</f>
        <v>#VALUE!</v>
      </c>
      <c r="U62" s="465"/>
      <c r="V62" s="347">
        <f>重み!E62</f>
        <v>0</v>
      </c>
      <c r="W62" s="343">
        <f>W63*T63+W72*T72+T76*W76</f>
        <v>3.0000000000000009</v>
      </c>
      <c r="X62" s="509"/>
      <c r="Y62" s="463">
        <f>重み!M62</f>
        <v>0.35</v>
      </c>
      <c r="AA62" s="463">
        <f>重み!N62</f>
        <v>0</v>
      </c>
    </row>
    <row r="63" spans="1:27" ht="13.5">
      <c r="A63" s="54"/>
      <c r="B63" s="301">
        <v>1</v>
      </c>
      <c r="C63" s="213" t="s">
        <v>390</v>
      </c>
      <c r="D63" s="664"/>
      <c r="E63" s="664"/>
      <c r="F63" s="214"/>
      <c r="G63" s="214"/>
      <c r="H63" s="1273"/>
      <c r="I63" s="1262"/>
      <c r="J63" s="1262"/>
      <c r="K63" s="1262"/>
      <c r="L63" s="1274"/>
      <c r="M63" s="296">
        <f t="shared" si="6"/>
        <v>3</v>
      </c>
      <c r="N63" s="697">
        <f t="shared" si="7"/>
        <v>0.60000000000000009</v>
      </c>
      <c r="O63" s="296">
        <f t="shared" si="5"/>
        <v>0</v>
      </c>
      <c r="P63" s="697">
        <f t="shared" ref="P63:P78" si="9">V63</f>
        <v>0</v>
      </c>
      <c r="Q63" s="268">
        <f>ROUNDDOWN(W63,1)</f>
        <v>3</v>
      </c>
      <c r="R63" s="509"/>
      <c r="S63" s="344">
        <f>S64*T64+S68*T68+S69*T69+S70*T70+S71*T71</f>
        <v>3.0000000000000009</v>
      </c>
      <c r="T63" s="644">
        <f>重み!D63</f>
        <v>0.60000000000000009</v>
      </c>
      <c r="U63" s="465"/>
      <c r="V63" s="347">
        <f>重み!E63</f>
        <v>0</v>
      </c>
      <c r="W63" s="343">
        <f>IF(U63=0,S63,IF(S63=0,U63,S63*Y$6+U63*AA$6))</f>
        <v>3.0000000000000009</v>
      </c>
      <c r="X63" s="509"/>
      <c r="Y63" s="463">
        <f>重み!M63</f>
        <v>0.6</v>
      </c>
      <c r="AA63" s="463">
        <f>重み!N63</f>
        <v>0</v>
      </c>
    </row>
    <row r="64" spans="1:27" ht="14.25" thickBot="1">
      <c r="A64" s="54"/>
      <c r="B64" s="233"/>
      <c r="C64" s="216">
        <v>1.1000000000000001</v>
      </c>
      <c r="D64" s="218" t="s">
        <v>589</v>
      </c>
      <c r="E64" s="218"/>
      <c r="F64" s="232"/>
      <c r="G64" s="232"/>
      <c r="H64" s="1271"/>
      <c r="I64" s="1272"/>
      <c r="J64" s="1272"/>
      <c r="K64" s="1272"/>
      <c r="L64" s="1275"/>
      <c r="M64" s="266">
        <f t="shared" si="6"/>
        <v>3</v>
      </c>
      <c r="N64" s="283">
        <f t="shared" si="7"/>
        <v>0.30000000000000004</v>
      </c>
      <c r="O64" s="266">
        <f t="shared" si="5"/>
        <v>0</v>
      </c>
      <c r="P64" s="283">
        <f t="shared" si="9"/>
        <v>0</v>
      </c>
      <c r="Q64" s="270"/>
      <c r="R64" s="509"/>
      <c r="S64" s="344">
        <f>S65*T65+S66*T66+S67*T67</f>
        <v>3</v>
      </c>
      <c r="T64" s="644">
        <f>重み!D64</f>
        <v>0.30000000000000004</v>
      </c>
      <c r="U64" s="465"/>
      <c r="V64" s="347">
        <f>重み!E64</f>
        <v>0</v>
      </c>
      <c r="W64" s="343"/>
      <c r="X64" s="509"/>
      <c r="Y64" s="463">
        <f>重み!M64</f>
        <v>0.3</v>
      </c>
      <c r="AA64" s="463">
        <f>重み!N64</f>
        <v>0</v>
      </c>
    </row>
    <row r="65" spans="1:27" ht="13.5">
      <c r="A65" s="54"/>
      <c r="B65" s="233"/>
      <c r="C65" s="225"/>
      <c r="D65" s="666">
        <v>1</v>
      </c>
      <c r="E65" s="218" t="s">
        <v>590</v>
      </c>
      <c r="F65" s="232"/>
      <c r="G65" s="232"/>
      <c r="H65" s="2313">
        <f>採点LR2!I24</f>
        <v>0</v>
      </c>
      <c r="I65" s="2315"/>
      <c r="J65" s="2315"/>
      <c r="K65" s="2315"/>
      <c r="L65" s="2325"/>
      <c r="M65" s="658">
        <f t="shared" si="6"/>
        <v>3</v>
      </c>
      <c r="N65" s="283">
        <f t="shared" si="7"/>
        <v>1</v>
      </c>
      <c r="O65" s="658">
        <f t="shared" si="5"/>
        <v>0</v>
      </c>
      <c r="P65" s="283">
        <f t="shared" si="9"/>
        <v>0</v>
      </c>
      <c r="Q65" s="268"/>
      <c r="R65" s="509"/>
      <c r="S65" s="466">
        <f>IF(採点LR2!D11="対象外",0,採点LR2!D11)</f>
        <v>3</v>
      </c>
      <c r="T65" s="644">
        <f>重み!D65</f>
        <v>1</v>
      </c>
      <c r="U65" s="465"/>
      <c r="V65" s="347">
        <f>重み!E65</f>
        <v>0</v>
      </c>
      <c r="W65" s="486"/>
      <c r="X65" s="509"/>
      <c r="Y65" s="463">
        <f>重み!M65</f>
        <v>1</v>
      </c>
      <c r="AA65" s="463">
        <f>重み!N65</f>
        <v>0</v>
      </c>
    </row>
    <row r="66" spans="1:27" ht="13.5">
      <c r="A66" s="54"/>
      <c r="B66" s="233"/>
      <c r="C66" s="225"/>
      <c r="D66" s="666">
        <v>2</v>
      </c>
      <c r="E66" s="218" t="s">
        <v>591</v>
      </c>
      <c r="F66" s="232"/>
      <c r="G66" s="232"/>
      <c r="H66" s="2313">
        <f>採点LR2!I39</f>
        <v>0</v>
      </c>
      <c r="I66" s="2314"/>
      <c r="J66" s="2314"/>
      <c r="K66" s="2314"/>
      <c r="L66" s="2315"/>
      <c r="M66" s="273">
        <f t="shared" si="6"/>
        <v>3</v>
      </c>
      <c r="N66" s="283">
        <f t="shared" si="7"/>
        <v>0</v>
      </c>
      <c r="O66" s="273">
        <f t="shared" si="5"/>
        <v>0</v>
      </c>
      <c r="P66" s="283">
        <f t="shared" si="9"/>
        <v>0</v>
      </c>
      <c r="Q66" s="268"/>
      <c r="R66" s="509"/>
      <c r="S66" s="466">
        <f>IF(採点LR2!D27="対象外",0,採点LR2!D27)</f>
        <v>3</v>
      </c>
      <c r="T66" s="644">
        <f>重み!D66</f>
        <v>0</v>
      </c>
      <c r="U66" s="465"/>
      <c r="V66" s="347">
        <f>重み!E66</f>
        <v>0</v>
      </c>
      <c r="W66" s="486"/>
      <c r="X66" s="509"/>
      <c r="Y66" s="463">
        <f>重み!M66</f>
        <v>0</v>
      </c>
      <c r="AA66" s="463">
        <f>重み!N66</f>
        <v>0</v>
      </c>
    </row>
    <row r="67" spans="1:27" ht="13.5">
      <c r="A67" s="54"/>
      <c r="B67" s="233"/>
      <c r="C67" s="225"/>
      <c r="D67" s="677">
        <v>3</v>
      </c>
      <c r="E67" s="217" t="s">
        <v>592</v>
      </c>
      <c r="F67" s="231"/>
      <c r="G67" s="231"/>
      <c r="H67" s="2313">
        <f>採点LR2!I54</f>
        <v>0</v>
      </c>
      <c r="I67" s="2314"/>
      <c r="J67" s="2314"/>
      <c r="K67" s="2314"/>
      <c r="L67" s="2315"/>
      <c r="M67" s="273">
        <f t="shared" si="6"/>
        <v>3</v>
      </c>
      <c r="N67" s="283">
        <f t="shared" si="7"/>
        <v>0</v>
      </c>
      <c r="O67" s="273">
        <f t="shared" si="5"/>
        <v>0</v>
      </c>
      <c r="P67" s="283">
        <f t="shared" si="9"/>
        <v>0</v>
      </c>
      <c r="Q67" s="268"/>
      <c r="R67" s="509"/>
      <c r="S67" s="466">
        <f>IF(採点LR2!D42="対象外",0,採点LR2!D42)</f>
        <v>3</v>
      </c>
      <c r="T67" s="644">
        <f>重み!D67</f>
        <v>0</v>
      </c>
      <c r="U67" s="465"/>
      <c r="V67" s="347">
        <f>重み!E67</f>
        <v>0</v>
      </c>
      <c r="W67" s="486"/>
      <c r="X67" s="509"/>
      <c r="Y67" s="463">
        <f>重み!M67</f>
        <v>0</v>
      </c>
      <c r="AA67" s="463">
        <f>重み!N67</f>
        <v>0</v>
      </c>
    </row>
    <row r="68" spans="1:27" ht="13.5">
      <c r="A68" s="54"/>
      <c r="B68" s="233"/>
      <c r="C68" s="488">
        <v>1.2</v>
      </c>
      <c r="D68" s="679" t="s">
        <v>593</v>
      </c>
      <c r="E68" s="218"/>
      <c r="F68" s="232"/>
      <c r="G68" s="232"/>
      <c r="H68" s="2313">
        <f>採点LR2!I71</f>
        <v>0</v>
      </c>
      <c r="I68" s="2314"/>
      <c r="J68" s="2314"/>
      <c r="K68" s="2314"/>
      <c r="L68" s="2315"/>
      <c r="M68" s="289">
        <f t="shared" si="6"/>
        <v>3</v>
      </c>
      <c r="N68" s="283">
        <f t="shared" si="7"/>
        <v>0.20000000000000004</v>
      </c>
      <c r="O68" s="289">
        <f t="shared" si="5"/>
        <v>0</v>
      </c>
      <c r="P68" s="283">
        <f t="shared" si="9"/>
        <v>0</v>
      </c>
      <c r="Q68" s="268"/>
      <c r="R68" s="509"/>
      <c r="S68" s="466">
        <f>IF(採点LR2!D58="対象外",0,採点LR2!D58)</f>
        <v>3</v>
      </c>
      <c r="T68" s="644">
        <f>重み!D68</f>
        <v>0.20000000000000004</v>
      </c>
      <c r="U68" s="465"/>
      <c r="V68" s="347">
        <f>重み!E68</f>
        <v>0</v>
      </c>
      <c r="W68" s="343"/>
      <c r="X68" s="509"/>
      <c r="Y68" s="463">
        <f>重み!M68</f>
        <v>0.2</v>
      </c>
      <c r="AA68" s="463">
        <f>重み!N68</f>
        <v>0</v>
      </c>
    </row>
    <row r="69" spans="1:27" ht="13.5">
      <c r="A69" s="54"/>
      <c r="B69" s="233"/>
      <c r="C69" s="653">
        <v>1.3</v>
      </c>
      <c r="D69" s="218" t="s">
        <v>594</v>
      </c>
      <c r="E69" s="218"/>
      <c r="F69" s="232"/>
      <c r="G69" s="232"/>
      <c r="H69" s="2313">
        <f>採点LR2!I95</f>
        <v>0</v>
      </c>
      <c r="I69" s="2314"/>
      <c r="J69" s="2314"/>
      <c r="K69" s="2314"/>
      <c r="L69" s="2315"/>
      <c r="M69" s="289">
        <f t="shared" si="6"/>
        <v>3</v>
      </c>
      <c r="N69" s="283">
        <f t="shared" si="7"/>
        <v>0.20000000000000004</v>
      </c>
      <c r="O69" s="289">
        <f t="shared" si="5"/>
        <v>0</v>
      </c>
      <c r="P69" s="283">
        <f t="shared" si="9"/>
        <v>0</v>
      </c>
      <c r="Q69" s="268"/>
      <c r="R69" s="509"/>
      <c r="S69" s="466">
        <f>IF(採点LR2!D75="対象外",0,採点LR2!D75)</f>
        <v>3</v>
      </c>
      <c r="T69" s="644">
        <f>重み!D69</f>
        <v>0.20000000000000004</v>
      </c>
      <c r="U69" s="465"/>
      <c r="V69" s="347">
        <f>重み!E69</f>
        <v>0</v>
      </c>
      <c r="W69" s="486"/>
      <c r="X69" s="509"/>
      <c r="Y69" s="463">
        <f>重み!M69</f>
        <v>0.2</v>
      </c>
      <c r="AA69" s="463">
        <f>重み!N69</f>
        <v>0</v>
      </c>
    </row>
    <row r="70" spans="1:27" ht="13.5">
      <c r="A70" s="54"/>
      <c r="B70" s="233"/>
      <c r="C70" s="653">
        <v>1.4</v>
      </c>
      <c r="D70" s="218" t="s">
        <v>595</v>
      </c>
      <c r="E70" s="218"/>
      <c r="F70" s="232"/>
      <c r="G70" s="232"/>
      <c r="H70" s="2313">
        <f>採点LR2!I120</f>
        <v>0</v>
      </c>
      <c r="I70" s="2314"/>
      <c r="J70" s="2314"/>
      <c r="K70" s="2314"/>
      <c r="L70" s="2315"/>
      <c r="M70" s="289">
        <f t="shared" si="6"/>
        <v>3</v>
      </c>
      <c r="N70" s="283">
        <f t="shared" si="7"/>
        <v>0.20000000000000004</v>
      </c>
      <c r="O70" s="289">
        <f t="shared" si="5"/>
        <v>0</v>
      </c>
      <c r="P70" s="283">
        <f t="shared" si="9"/>
        <v>0</v>
      </c>
      <c r="Q70" s="268"/>
      <c r="R70" s="509"/>
      <c r="S70" s="466">
        <f>IF(採点LR2!D99="対象外",0,採点LR2!D99)</f>
        <v>3</v>
      </c>
      <c r="T70" s="644">
        <f>重み!D70</f>
        <v>0.20000000000000004</v>
      </c>
      <c r="U70" s="465"/>
      <c r="V70" s="347">
        <f>重み!E70</f>
        <v>0</v>
      </c>
      <c r="W70" s="486"/>
      <c r="X70" s="509"/>
      <c r="Y70" s="463">
        <f>重み!M70</f>
        <v>0.2</v>
      </c>
      <c r="AA70" s="463">
        <f>重み!N70</f>
        <v>0</v>
      </c>
    </row>
    <row r="71" spans="1:27" ht="14.25" thickBot="1">
      <c r="A71" s="54"/>
      <c r="B71" s="654"/>
      <c r="C71" s="653">
        <v>1.5</v>
      </c>
      <c r="D71" s="218" t="s">
        <v>596</v>
      </c>
      <c r="E71" s="218"/>
      <c r="F71" s="232"/>
      <c r="G71" s="232"/>
      <c r="H71" s="2313">
        <f>採点LR2!I137</f>
        <v>0</v>
      </c>
      <c r="I71" s="2314"/>
      <c r="J71" s="2314"/>
      <c r="K71" s="2314"/>
      <c r="L71" s="2315"/>
      <c r="M71" s="274">
        <f t="shared" si="6"/>
        <v>3</v>
      </c>
      <c r="N71" s="283">
        <f t="shared" si="7"/>
        <v>0.10000000000000002</v>
      </c>
      <c r="O71" s="274">
        <f t="shared" si="5"/>
        <v>0</v>
      </c>
      <c r="P71" s="283">
        <f t="shared" si="9"/>
        <v>0</v>
      </c>
      <c r="Q71" s="268"/>
      <c r="R71" s="509"/>
      <c r="S71" s="466">
        <f>IF(採点LR2!D124="対象外",0,採点LR2!D124)</f>
        <v>3</v>
      </c>
      <c r="T71" s="644">
        <f>重み!D71</f>
        <v>0.10000000000000002</v>
      </c>
      <c r="U71" s="465"/>
      <c r="V71" s="347">
        <f>重み!E71</f>
        <v>0</v>
      </c>
      <c r="W71" s="486"/>
      <c r="X71" s="509"/>
      <c r="Y71" s="463">
        <f>重み!M71</f>
        <v>0.1</v>
      </c>
      <c r="AA71" s="463">
        <f>重み!N71</f>
        <v>0</v>
      </c>
    </row>
    <row r="72" spans="1:27" ht="14.25" thickBot="1">
      <c r="A72" s="54"/>
      <c r="B72" s="255">
        <v>2</v>
      </c>
      <c r="C72" s="238" t="s">
        <v>597</v>
      </c>
      <c r="D72" s="671"/>
      <c r="E72" s="671"/>
      <c r="F72" s="214"/>
      <c r="G72" s="214"/>
      <c r="H72" s="1254"/>
      <c r="I72" s="1255"/>
      <c r="J72" s="1255"/>
      <c r="K72" s="1255"/>
      <c r="L72" s="1256"/>
      <c r="M72" s="275">
        <f>ROUNDDOWN(S72,1)</f>
        <v>3</v>
      </c>
      <c r="N72" s="276">
        <f t="shared" si="7"/>
        <v>0.30000000000000004</v>
      </c>
      <c r="O72" s="275">
        <f>ROUNDDOWN(U72,1)</f>
        <v>0</v>
      </c>
      <c r="P72" s="276">
        <f t="shared" si="9"/>
        <v>0</v>
      </c>
      <c r="Q72" s="277">
        <f>ROUNDDOWN(W72,1)</f>
        <v>3</v>
      </c>
      <c r="R72" s="509"/>
      <c r="S72" s="344">
        <f>S73*T73+S74*T74+S75*T75</f>
        <v>3</v>
      </c>
      <c r="T72" s="644">
        <f>重み!D72</f>
        <v>0.30000000000000004</v>
      </c>
      <c r="U72" s="465"/>
      <c r="V72" s="347">
        <f>重み!E72</f>
        <v>0</v>
      </c>
      <c r="W72" s="343">
        <f>IF(U72=0,S72,IF(S72=0,U72,S72*Y$6+U72*AA$6))</f>
        <v>3</v>
      </c>
      <c r="X72" s="509"/>
      <c r="Y72" s="463">
        <f>重み!M72</f>
        <v>0.3</v>
      </c>
      <c r="AA72" s="463">
        <f>重み!N72</f>
        <v>0</v>
      </c>
    </row>
    <row r="73" spans="1:27" ht="13.5">
      <c r="A73" s="54"/>
      <c r="B73" s="233"/>
      <c r="C73" s="228">
        <v>2.1</v>
      </c>
      <c r="D73" s="230" t="s">
        <v>626</v>
      </c>
      <c r="E73" s="218"/>
      <c r="F73" s="232"/>
      <c r="G73" s="232"/>
      <c r="H73" s="2313">
        <f>採点LR2!I149</f>
        <v>0</v>
      </c>
      <c r="I73" s="2314"/>
      <c r="J73" s="2314"/>
      <c r="K73" s="2314"/>
      <c r="L73" s="2315"/>
      <c r="M73" s="692">
        <f t="shared" si="6"/>
        <v>3</v>
      </c>
      <c r="N73" s="283">
        <f t="shared" si="7"/>
        <v>0.33333333333333337</v>
      </c>
      <c r="O73" s="692">
        <f t="shared" ref="O73:O86" si="10">ROUNDDOWN(U73,1)</f>
        <v>0</v>
      </c>
      <c r="P73" s="283">
        <f t="shared" si="9"/>
        <v>0</v>
      </c>
      <c r="Q73" s="268"/>
      <c r="R73" s="509"/>
      <c r="S73" s="466">
        <f>IF(採点LR2!D142="対象外",0,採点LR2!D142)</f>
        <v>3</v>
      </c>
      <c r="T73" s="644">
        <f>重み!D73</f>
        <v>0.33333333333333337</v>
      </c>
      <c r="U73" s="465"/>
      <c r="V73" s="347">
        <f>重み!E73</f>
        <v>0</v>
      </c>
      <c r="W73" s="343"/>
      <c r="X73" s="509"/>
      <c r="Y73" s="463">
        <f>重み!M73</f>
        <v>0.33</v>
      </c>
      <c r="AA73" s="463">
        <f>重み!N73</f>
        <v>0</v>
      </c>
    </row>
    <row r="74" spans="1:27" ht="13.5">
      <c r="A74" s="54"/>
      <c r="B74" s="233"/>
      <c r="C74" s="225">
        <v>2.2000000000000002</v>
      </c>
      <c r="D74" s="672" t="s">
        <v>625</v>
      </c>
      <c r="E74" s="218"/>
      <c r="F74" s="232"/>
      <c r="G74" s="232"/>
      <c r="H74" s="2313">
        <f>採点LR2!I160</f>
        <v>0</v>
      </c>
      <c r="I74" s="2314"/>
      <c r="J74" s="2314"/>
      <c r="K74" s="2314"/>
      <c r="L74" s="2315"/>
      <c r="M74" s="289">
        <f t="shared" si="6"/>
        <v>3</v>
      </c>
      <c r="N74" s="283">
        <f t="shared" si="7"/>
        <v>0.33333333333333337</v>
      </c>
      <c r="O74" s="289">
        <f t="shared" si="10"/>
        <v>0</v>
      </c>
      <c r="P74" s="283">
        <f t="shared" si="9"/>
        <v>0</v>
      </c>
      <c r="Q74" s="268"/>
      <c r="R74" s="509"/>
      <c r="S74" s="466">
        <f>IF(採点LR2!D153="対象外",0,採点LR2!D153)</f>
        <v>3</v>
      </c>
      <c r="T74" s="644">
        <f>重み!D74</f>
        <v>0.33333333333333337</v>
      </c>
      <c r="U74" s="465"/>
      <c r="V74" s="347">
        <f>重み!E74</f>
        <v>0</v>
      </c>
      <c r="W74" s="343"/>
      <c r="X74" s="509"/>
      <c r="Y74" s="463">
        <f>重み!M74</f>
        <v>0.33</v>
      </c>
      <c r="AA74" s="463">
        <f>重み!N74</f>
        <v>0</v>
      </c>
    </row>
    <row r="75" spans="1:27" ht="14.25" thickBot="1">
      <c r="A75" s="54"/>
      <c r="B75" s="654"/>
      <c r="C75" s="228">
        <v>2.2999999999999998</v>
      </c>
      <c r="D75" s="672" t="s">
        <v>598</v>
      </c>
      <c r="E75" s="218"/>
      <c r="F75" s="232"/>
      <c r="G75" s="232"/>
      <c r="H75" s="2313">
        <f>採点LR2!I171</f>
        <v>0</v>
      </c>
      <c r="I75" s="2333"/>
      <c r="J75" s="2333"/>
      <c r="K75" s="2333"/>
      <c r="L75" s="2334"/>
      <c r="M75" s="274">
        <f t="shared" si="6"/>
        <v>3</v>
      </c>
      <c r="N75" s="283">
        <f t="shared" si="7"/>
        <v>0.33333333333333337</v>
      </c>
      <c r="O75" s="274">
        <f t="shared" si="10"/>
        <v>0</v>
      </c>
      <c r="P75" s="283">
        <f t="shared" si="9"/>
        <v>0</v>
      </c>
      <c r="Q75" s="268"/>
      <c r="R75" s="509"/>
      <c r="S75" s="466">
        <f>IF(採点LR2!D164="対象外",0,採点LR2!D164)</f>
        <v>3</v>
      </c>
      <c r="T75" s="644">
        <f>重み!D75</f>
        <v>0.33333333333333337</v>
      </c>
      <c r="U75" s="465"/>
      <c r="V75" s="347">
        <f>重み!E75</f>
        <v>0</v>
      </c>
      <c r="W75" s="343"/>
      <c r="X75" s="509"/>
      <c r="Y75" s="463">
        <f>重み!M75</f>
        <v>0.33</v>
      </c>
      <c r="AA75" s="463">
        <f>重み!N75</f>
        <v>0</v>
      </c>
    </row>
    <row r="76" spans="1:27" ht="14.25" thickBot="1">
      <c r="A76" s="54"/>
      <c r="B76" s="255">
        <v>3</v>
      </c>
      <c r="C76" s="238" t="s">
        <v>616</v>
      </c>
      <c r="D76" s="664"/>
      <c r="E76" s="221"/>
      <c r="F76" s="234"/>
      <c r="G76" s="234"/>
      <c r="H76" s="1254"/>
      <c r="I76" s="1255"/>
      <c r="J76" s="1255"/>
      <c r="K76" s="1255"/>
      <c r="L76" s="1256"/>
      <c r="M76" s="266">
        <f t="shared" si="6"/>
        <v>3</v>
      </c>
      <c r="N76" s="276">
        <f t="shared" si="7"/>
        <v>0.10000000000000002</v>
      </c>
      <c r="O76" s="266">
        <f t="shared" si="10"/>
        <v>0</v>
      </c>
      <c r="P76" s="276">
        <f t="shared" si="9"/>
        <v>0</v>
      </c>
      <c r="Q76" s="277">
        <f t="shared" ref="Q76:Q84" si="11">ROUNDDOWN(W76,1)</f>
        <v>3</v>
      </c>
      <c r="R76" s="509"/>
      <c r="S76" s="344">
        <f>S77*T77+S78*T78</f>
        <v>3</v>
      </c>
      <c r="T76" s="644">
        <f>重み!D76</f>
        <v>0.10000000000000002</v>
      </c>
      <c r="U76" s="465"/>
      <c r="V76" s="347">
        <f>重み!E76</f>
        <v>0</v>
      </c>
      <c r="W76" s="486">
        <f>IF(U76=0,S76,IF(S76=0,U76,S76*Y$6+U76*AA$6))</f>
        <v>3</v>
      </c>
      <c r="X76" s="509"/>
      <c r="Y76" s="463">
        <f>重み!M76</f>
        <v>0.1</v>
      </c>
      <c r="AA76" s="463">
        <f>重み!N76</f>
        <v>0</v>
      </c>
    </row>
    <row r="77" spans="1:27" ht="14.25" thickBot="1">
      <c r="A77" s="54"/>
      <c r="B77" s="233"/>
      <c r="C77" s="653">
        <v>3.1</v>
      </c>
      <c r="D77" s="680" t="s">
        <v>599</v>
      </c>
      <c r="E77" s="218"/>
      <c r="F77" s="232"/>
      <c r="G77" s="232"/>
      <c r="H77" s="2313">
        <f>採点LR2!I183</f>
        <v>0</v>
      </c>
      <c r="I77" s="2314"/>
      <c r="J77" s="2314"/>
      <c r="K77" s="2314"/>
      <c r="L77" s="2315"/>
      <c r="M77" s="692">
        <f t="shared" si="6"/>
        <v>3</v>
      </c>
      <c r="N77" s="283">
        <f>T77</f>
        <v>1</v>
      </c>
      <c r="O77" s="692">
        <f t="shared" si="10"/>
        <v>0</v>
      </c>
      <c r="P77" s="283">
        <f t="shared" si="9"/>
        <v>0</v>
      </c>
      <c r="Q77" s="268"/>
      <c r="R77" s="509"/>
      <c r="S77" s="466">
        <f>IF(採点LR2!D176="対象外",0,採点LR2!D176)</f>
        <v>3</v>
      </c>
      <c r="T77" s="644">
        <f>重み!D77</f>
        <v>1</v>
      </c>
      <c r="U77" s="465"/>
      <c r="V77" s="347">
        <f>重み!E77</f>
        <v>0</v>
      </c>
      <c r="W77" s="486"/>
      <c r="X77" s="509"/>
      <c r="Y77" s="463">
        <f>重み!M77</f>
        <v>1</v>
      </c>
      <c r="AA77" s="463">
        <f>重み!N77</f>
        <v>0</v>
      </c>
    </row>
    <row r="78" spans="1:27" ht="14.25" hidden="1" thickBot="1">
      <c r="A78" s="54"/>
      <c r="B78" s="233"/>
      <c r="C78" s="653">
        <v>3.2</v>
      </c>
      <c r="D78" s="681"/>
      <c r="E78" s="218"/>
      <c r="F78" s="232"/>
      <c r="G78" s="232"/>
      <c r="H78" s="2313"/>
      <c r="I78" s="2314"/>
      <c r="J78" s="2314"/>
      <c r="K78" s="2314"/>
      <c r="L78" s="2315"/>
      <c r="M78" s="289">
        <f t="shared" si="6"/>
        <v>0</v>
      </c>
      <c r="N78" s="283">
        <f t="shared" si="7"/>
        <v>0</v>
      </c>
      <c r="O78" s="289">
        <f t="shared" si="10"/>
        <v>0</v>
      </c>
      <c r="P78" s="283">
        <f t="shared" si="9"/>
        <v>0</v>
      </c>
      <c r="Q78" s="268">
        <f t="shared" si="11"/>
        <v>0</v>
      </c>
      <c r="R78" s="509"/>
      <c r="S78" s="466"/>
      <c r="T78" s="644">
        <f>重み!D78</f>
        <v>0</v>
      </c>
      <c r="U78" s="465"/>
      <c r="V78" s="347">
        <f>重み!E78</f>
        <v>0</v>
      </c>
      <c r="W78" s="486"/>
      <c r="X78" s="509"/>
      <c r="Y78" s="463">
        <f>重み!M78</f>
        <v>0</v>
      </c>
      <c r="AA78" s="463">
        <f>重み!N78</f>
        <v>0</v>
      </c>
    </row>
    <row r="79" spans="1:27" ht="17.25" thickBot="1">
      <c r="A79" s="54"/>
      <c r="B79" s="235" t="s">
        <v>785</v>
      </c>
      <c r="C79" s="240" t="s">
        <v>248</v>
      </c>
      <c r="D79" s="673"/>
      <c r="E79" s="673"/>
      <c r="F79" s="241"/>
      <c r="G79" s="241"/>
      <c r="H79" s="1257"/>
      <c r="I79" s="1258"/>
      <c r="J79" s="1258"/>
      <c r="K79" s="1258"/>
      <c r="L79" s="1259"/>
      <c r="M79" s="382">
        <f>ROUNDDOWN(S79,1)</f>
        <v>0</v>
      </c>
      <c r="N79" s="280" t="e">
        <f>T79</f>
        <v>#VALUE!</v>
      </c>
      <c r="O79" s="383">
        <f t="shared" si="10"/>
        <v>0</v>
      </c>
      <c r="P79" s="280">
        <f>V79</f>
        <v>0</v>
      </c>
      <c r="Q79" s="281" t="e">
        <f t="shared" si="11"/>
        <v>#VALUE!</v>
      </c>
      <c r="R79" s="509"/>
      <c r="S79" s="467"/>
      <c r="T79" s="643" t="e">
        <f>重み!D79</f>
        <v>#VALUE!</v>
      </c>
      <c r="U79" s="465"/>
      <c r="V79" s="347">
        <f>重み!E79</f>
        <v>0</v>
      </c>
      <c r="W79" s="343" t="e">
        <f>W80*T80+W84*T84+W81*T81</f>
        <v>#VALUE!</v>
      </c>
      <c r="X79" s="509"/>
      <c r="Y79" s="463">
        <f>重み!M79</f>
        <v>0.3</v>
      </c>
      <c r="AA79" s="463">
        <f>重み!N79</f>
        <v>0</v>
      </c>
    </row>
    <row r="80" spans="1:27" ht="14.25" thickBot="1">
      <c r="A80" s="54"/>
      <c r="B80" s="484">
        <v>1</v>
      </c>
      <c r="C80" s="229" t="s">
        <v>295</v>
      </c>
      <c r="D80" s="674"/>
      <c r="E80" s="674"/>
      <c r="F80" s="234"/>
      <c r="G80" s="234"/>
      <c r="H80" s="2331"/>
      <c r="I80" s="2332"/>
      <c r="J80" s="2332"/>
      <c r="K80" s="2332"/>
      <c r="L80" s="2332"/>
      <c r="M80" s="287" t="e">
        <f t="shared" si="6"/>
        <v>#VALUE!</v>
      </c>
      <c r="N80" s="697" t="e">
        <f t="shared" si="7"/>
        <v>#VALUE!</v>
      </c>
      <c r="O80" s="696"/>
      <c r="P80" s="285"/>
      <c r="Q80" s="268" t="e">
        <f t="shared" si="11"/>
        <v>#VALUE!</v>
      </c>
      <c r="R80" s="509"/>
      <c r="S80" s="466" t="e">
        <f>IF(採点LR3!D8="対象外",0,採点LR3!D8)</f>
        <v>#VALUE!</v>
      </c>
      <c r="T80" s="644" t="e">
        <f>重み!D80</f>
        <v>#VALUE!</v>
      </c>
      <c r="U80" s="465"/>
      <c r="V80" s="347">
        <f>重み!E80</f>
        <v>0</v>
      </c>
      <c r="W80" s="343" t="e">
        <f>IF(U80=0,S80,IF(S80=0,U80,S80*Y$6+U80*AA$6))</f>
        <v>#VALUE!</v>
      </c>
      <c r="X80" s="509"/>
      <c r="Y80" s="463">
        <f>重み!M80</f>
        <v>0.33333333333333331</v>
      </c>
      <c r="AA80" s="463">
        <f>重み!N80</f>
        <v>0</v>
      </c>
    </row>
    <row r="81" spans="1:27" ht="14.25" thickBot="1">
      <c r="A81" s="54"/>
      <c r="B81" s="484">
        <v>2</v>
      </c>
      <c r="C81" s="229" t="s">
        <v>325</v>
      </c>
      <c r="D81" s="674"/>
      <c r="E81" s="674"/>
      <c r="F81" s="234"/>
      <c r="G81" s="234"/>
      <c r="H81" s="1254"/>
      <c r="I81" s="1255"/>
      <c r="J81" s="1255"/>
      <c r="K81" s="1255"/>
      <c r="L81" s="1256"/>
      <c r="M81" s="266">
        <f>ROUNDDOWN(S81,1)</f>
        <v>3</v>
      </c>
      <c r="N81" s="283" t="e">
        <f>T81</f>
        <v>#VALUE!</v>
      </c>
      <c r="O81" s="696"/>
      <c r="P81" s="285"/>
      <c r="Q81" s="277">
        <f>ROUNDDOWN(W81,1)</f>
        <v>3</v>
      </c>
      <c r="R81" s="509"/>
      <c r="S81" s="344">
        <f>S82*T82+S83*T83</f>
        <v>3</v>
      </c>
      <c r="T81" s="644" t="e">
        <f>重み!D82</f>
        <v>#VALUE!</v>
      </c>
      <c r="U81" s="465"/>
      <c r="V81" s="347"/>
      <c r="W81" s="343">
        <f>IF(U81=0,S81,IF(S81=0,U81,S81*Y$6+U81*AA$6))</f>
        <v>3</v>
      </c>
      <c r="X81" s="509"/>
      <c r="Y81" s="463">
        <f>重み!M82</f>
        <v>0.33333333333333331</v>
      </c>
      <c r="AA81" s="463">
        <f>重み!N82</f>
        <v>0</v>
      </c>
    </row>
    <row r="82" spans="1:27" ht="13.5">
      <c r="A82" s="54"/>
      <c r="B82" s="928"/>
      <c r="C82" s="653">
        <v>2.1</v>
      </c>
      <c r="D82" s="672" t="s">
        <v>786</v>
      </c>
      <c r="E82" s="674"/>
      <c r="F82" s="234"/>
      <c r="G82" s="234"/>
      <c r="H82" s="2337">
        <f>採点LR3!I58</f>
        <v>0</v>
      </c>
      <c r="I82" s="2338"/>
      <c r="J82" s="2338"/>
      <c r="K82" s="2338"/>
      <c r="L82" s="2339"/>
      <c r="M82" s="931">
        <f>ROUNDDOWN(S82,1)</f>
        <v>3</v>
      </c>
      <c r="N82" s="288">
        <f>T82</f>
        <v>0.5</v>
      </c>
      <c r="O82" s="932">
        <f>ROUNDDOWN(U82,1)</f>
        <v>0</v>
      </c>
      <c r="P82" s="288">
        <f>V82</f>
        <v>0</v>
      </c>
      <c r="Q82" s="270"/>
      <c r="R82" s="509"/>
      <c r="S82" s="466">
        <f>IF(採点LR3!D42="対象外",0,採点LR3!D42)</f>
        <v>3</v>
      </c>
      <c r="T82" s="645">
        <f>重み!D83</f>
        <v>0.5</v>
      </c>
      <c r="U82" s="465"/>
      <c r="V82" s="347">
        <f>重み!E83</f>
        <v>0</v>
      </c>
      <c r="W82" s="930"/>
      <c r="X82" s="509"/>
      <c r="Y82" s="463">
        <f>重み!M83</f>
        <v>0.5</v>
      </c>
      <c r="AA82" s="463">
        <f>重み!N83</f>
        <v>0</v>
      </c>
    </row>
    <row r="83" spans="1:27" ht="14.25" thickBot="1">
      <c r="A83" s="54"/>
      <c r="B83" s="986"/>
      <c r="C83" s="246">
        <v>2.2000000000000002</v>
      </c>
      <c r="D83" s="672" t="s">
        <v>787</v>
      </c>
      <c r="E83" s="672"/>
      <c r="F83" s="232"/>
      <c r="G83" s="232"/>
      <c r="H83" s="2326">
        <f>採点LR3!I78</f>
        <v>0</v>
      </c>
      <c r="I83" s="2340"/>
      <c r="J83" s="2340"/>
      <c r="K83" s="2340"/>
      <c r="L83" s="2341"/>
      <c r="M83" s="274">
        <f>ROUNDDOWN(S83,1)</f>
        <v>3</v>
      </c>
      <c r="N83" s="933">
        <f>T83</f>
        <v>0.5</v>
      </c>
      <c r="O83" s="693">
        <f>ROUNDDOWN(U83,1)</f>
        <v>0</v>
      </c>
      <c r="P83" s="933">
        <f>V83</f>
        <v>0</v>
      </c>
      <c r="Q83" s="282"/>
      <c r="R83" s="509"/>
      <c r="S83" s="466">
        <f>IF(採点LR3!D62="対象外",0,採点LR3!D62)</f>
        <v>3</v>
      </c>
      <c r="T83" s="645">
        <f>重み!D84</f>
        <v>0.5</v>
      </c>
      <c r="U83" s="467"/>
      <c r="V83" s="347">
        <f>重み!E84</f>
        <v>0</v>
      </c>
      <c r="W83" s="930"/>
      <c r="X83" s="509"/>
      <c r="Y83" s="463">
        <f>重み!M84</f>
        <v>0.5</v>
      </c>
      <c r="AA83" s="463">
        <f>重み!N84</f>
        <v>0</v>
      </c>
    </row>
    <row r="84" spans="1:27" ht="14.25" thickBot="1">
      <c r="A84" s="54"/>
      <c r="B84" s="926">
        <v>3</v>
      </c>
      <c r="C84" s="245" t="s">
        <v>778</v>
      </c>
      <c r="D84" s="674"/>
      <c r="E84" s="674"/>
      <c r="F84" s="234"/>
      <c r="G84" s="234"/>
      <c r="H84" s="1260"/>
      <c r="I84" s="1261"/>
      <c r="J84" s="1261"/>
      <c r="K84" s="1261"/>
      <c r="L84" s="1276"/>
      <c r="M84" s="275">
        <f>ROUNDDOWN(S84,1)</f>
        <v>3</v>
      </c>
      <c r="N84" s="985" t="e">
        <f t="shared" si="7"/>
        <v>#VALUE!</v>
      </c>
      <c r="O84" s="693"/>
      <c r="P84" s="933"/>
      <c r="Q84" s="282">
        <f t="shared" si="11"/>
        <v>3</v>
      </c>
      <c r="R84" s="509"/>
      <c r="S84" s="344">
        <f>S85*T85+S86*T86</f>
        <v>3</v>
      </c>
      <c r="T84" s="644" t="e">
        <f>重み!D85</f>
        <v>#VALUE!</v>
      </c>
      <c r="U84" s="465"/>
      <c r="V84" s="347">
        <f>重み!E85</f>
        <v>0</v>
      </c>
      <c r="W84" s="343">
        <f>IF(U84=0,S84,IF(S84=0,U84,S84*Y$6+U84*AA$6))</f>
        <v>3</v>
      </c>
      <c r="X84" s="509"/>
      <c r="Y84" s="463">
        <f>重み!M85</f>
        <v>0.33333333333333331</v>
      </c>
      <c r="AA84" s="463">
        <f>重み!N85</f>
        <v>0</v>
      </c>
    </row>
    <row r="85" spans="1:27" ht="13.5">
      <c r="A85" s="54"/>
      <c r="B85" s="927"/>
      <c r="C85" s="228">
        <v>3.1</v>
      </c>
      <c r="D85" s="674" t="s">
        <v>817</v>
      </c>
      <c r="E85" s="674"/>
      <c r="F85" s="234"/>
      <c r="G85" s="234"/>
      <c r="H85" s="2337">
        <f>採点LR3!I95</f>
        <v>0</v>
      </c>
      <c r="I85" s="2338"/>
      <c r="J85" s="2338"/>
      <c r="K85" s="2338"/>
      <c r="L85" s="2339"/>
      <c r="M85" s="692">
        <f t="shared" si="6"/>
        <v>3</v>
      </c>
      <c r="N85" s="283">
        <f t="shared" si="7"/>
        <v>0.5</v>
      </c>
      <c r="O85" s="692">
        <f t="shared" si="10"/>
        <v>0</v>
      </c>
      <c r="P85" s="283">
        <f>V85</f>
        <v>0</v>
      </c>
      <c r="Q85" s="268"/>
      <c r="R85" s="509"/>
      <c r="S85" s="466">
        <f>IF(採点LR3!D83="対象外",0,採点LR3!D83)</f>
        <v>3</v>
      </c>
      <c r="T85" s="645">
        <f>重み!D86</f>
        <v>0.5</v>
      </c>
      <c r="U85" s="465"/>
      <c r="V85" s="347">
        <f>重み!E86</f>
        <v>0</v>
      </c>
      <c r="W85" s="930"/>
      <c r="X85" s="509"/>
      <c r="Y85" s="463">
        <f>重み!M86</f>
        <v>0.5</v>
      </c>
      <c r="AA85" s="463">
        <f>重み!N86</f>
        <v>0</v>
      </c>
    </row>
    <row r="86" spans="1:27" ht="14.25" thickBot="1">
      <c r="A86" s="54"/>
      <c r="B86" s="929"/>
      <c r="C86" s="259">
        <v>3.2</v>
      </c>
      <c r="D86" s="678" t="s">
        <v>83</v>
      </c>
      <c r="E86" s="678"/>
      <c r="F86" s="260"/>
      <c r="G86" s="260"/>
      <c r="H86" s="2335">
        <f>採点LR3!I115</f>
        <v>0</v>
      </c>
      <c r="I86" s="2336"/>
      <c r="J86" s="2336"/>
      <c r="K86" s="2336"/>
      <c r="L86" s="2336"/>
      <c r="M86" s="274">
        <f t="shared" si="6"/>
        <v>3</v>
      </c>
      <c r="N86" s="703">
        <f t="shared" si="7"/>
        <v>0.5</v>
      </c>
      <c r="O86" s="274">
        <f t="shared" si="10"/>
        <v>0</v>
      </c>
      <c r="P86" s="703">
        <f>V86</f>
        <v>0</v>
      </c>
      <c r="Q86" s="279"/>
      <c r="R86" s="509"/>
      <c r="S86" s="466">
        <f>IF(採点LR3!D99="対象外",0,採点LR3!D99)</f>
        <v>3</v>
      </c>
      <c r="T86" s="645">
        <f>重み!D87</f>
        <v>0.5</v>
      </c>
      <c r="U86" s="465"/>
      <c r="V86" s="347">
        <f>重み!E87</f>
        <v>0</v>
      </c>
      <c r="W86" s="930"/>
      <c r="X86" s="509"/>
      <c r="Y86" s="463">
        <f>重み!M87</f>
        <v>0.5</v>
      </c>
      <c r="AA86" s="463">
        <f>重み!N87</f>
        <v>0</v>
      </c>
    </row>
    <row r="87" spans="1:27" ht="7.5" customHeight="1">
      <c r="A87" s="54"/>
      <c r="B87" s="261"/>
      <c r="C87" s="262"/>
      <c r="D87" s="263"/>
      <c r="E87" s="264"/>
      <c r="F87" s="247"/>
      <c r="G87" s="295"/>
      <c r="H87" s="290"/>
      <c r="I87" s="290"/>
      <c r="J87" s="290"/>
      <c r="K87" s="290"/>
      <c r="L87" s="290"/>
      <c r="M87" s="290"/>
      <c r="N87" s="291"/>
      <c r="O87" s="292"/>
      <c r="P87" s="293"/>
      <c r="Q87" s="294"/>
      <c r="R87" s="509"/>
      <c r="S87" s="468"/>
      <c r="T87" s="265"/>
      <c r="U87" s="468"/>
      <c r="V87" s="265"/>
      <c r="W87" s="265"/>
      <c r="X87" s="509"/>
    </row>
    <row r="88" spans="1:27" ht="12.6" customHeight="1"/>
    <row r="89" spans="1:27" ht="12.6" customHeight="1"/>
    <row r="90" spans="1:27" ht="12.6" customHeight="1"/>
    <row r="91" spans="1:27" ht="12.6" customHeight="1"/>
    <row r="92" spans="1:27" ht="12.6" customHeight="1"/>
    <row r="93" spans="1:27" ht="12.6" customHeight="1"/>
    <row r="94" spans="1:27" ht="12.6" customHeight="1"/>
    <row r="95" spans="1:27" ht="12.6" customHeight="1"/>
    <row r="96" spans="1:27"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sheetData>
  <sheetProtection algorithmName="SHA-512" hashValue="HKe2ye83a1GXC/wl/IAv7af9IYlEu7XYLZUTkfpEtAKynnkx+r4Hwr/yvqSKymJ5jgq1rHXMNnTuivwnyAqHrg==" saltValue="l8iVcsoZkhzuW09VRCwrKw==" spinCount="100000" sheet="1" objects="1" scenarios="1"/>
  <mergeCells count="54">
    <mergeCell ref="H78:L78"/>
    <mergeCell ref="H77:L77"/>
    <mergeCell ref="H86:L86"/>
    <mergeCell ref="H80:L80"/>
    <mergeCell ref="H82:L82"/>
    <mergeCell ref="H83:L83"/>
    <mergeCell ref="H85:L85"/>
    <mergeCell ref="H55:L55"/>
    <mergeCell ref="H57:L57"/>
    <mergeCell ref="H58:L58"/>
    <mergeCell ref="H60:L60"/>
    <mergeCell ref="H61:L61"/>
    <mergeCell ref="H65:L65"/>
    <mergeCell ref="H66:L66"/>
    <mergeCell ref="H75:L75"/>
    <mergeCell ref="H73:L73"/>
    <mergeCell ref="H70:L70"/>
    <mergeCell ref="H69:L69"/>
    <mergeCell ref="H67:L67"/>
    <mergeCell ref="H71:L71"/>
    <mergeCell ref="H68:L68"/>
    <mergeCell ref="H74:L74"/>
    <mergeCell ref="H43:L43"/>
    <mergeCell ref="H45:L45"/>
    <mergeCell ref="H47:L47"/>
    <mergeCell ref="H49:L49"/>
    <mergeCell ref="H48:L48"/>
    <mergeCell ref="E5:F5"/>
    <mergeCell ref="H12:L12"/>
    <mergeCell ref="H50:L50"/>
    <mergeCell ref="H54:L54"/>
    <mergeCell ref="H39:L39"/>
    <mergeCell ref="H40:L40"/>
    <mergeCell ref="H42:L42"/>
    <mergeCell ref="H13:L13"/>
    <mergeCell ref="H16:L16"/>
    <mergeCell ref="H15:L15"/>
    <mergeCell ref="H18:L18"/>
    <mergeCell ref="H19:L19"/>
    <mergeCell ref="H31:L31"/>
    <mergeCell ref="H32:L32"/>
    <mergeCell ref="H21:L21"/>
    <mergeCell ref="H27:L27"/>
    <mergeCell ref="H24:L24"/>
    <mergeCell ref="K2:L2"/>
    <mergeCell ref="K3:L3"/>
    <mergeCell ref="H37:L37"/>
    <mergeCell ref="H22:L22"/>
    <mergeCell ref="H23:L23"/>
    <mergeCell ref="H33:L33"/>
    <mergeCell ref="H34:L34"/>
    <mergeCell ref="H26:L26"/>
    <mergeCell ref="H28:L28"/>
    <mergeCell ref="H36:L36"/>
  </mergeCells>
  <phoneticPr fontId="4"/>
  <conditionalFormatting sqref="M30:M43 M45:M50 M63:M78 O30:O43 O11:O23 O45:O50 O63:O78 M80:M86 O80:O86 O53:O61 M53:M61 O25:O28 M25:M28 M11:M23">
    <cfRule type="expression" dxfId="162" priority="5" stopIfTrue="1">
      <formula>AND(Y11&gt;0,M11="")</formula>
    </cfRule>
    <cfRule type="expression" dxfId="161" priority="6" stopIfTrue="1">
      <formula>(Y11=0)</formula>
    </cfRule>
  </conditionalFormatting>
  <conditionalFormatting sqref="M10 O10">
    <cfRule type="expression" dxfId="160" priority="7" stopIfTrue="1">
      <formula>AND(Y10&gt;0,M10="")</formula>
    </cfRule>
    <cfRule type="expression" dxfId="159" priority="8" stopIfTrue="1">
      <formula>AND(Y10=0)</formula>
    </cfRule>
  </conditionalFormatting>
  <conditionalFormatting sqref="O24">
    <cfRule type="expression" dxfId="158" priority="3" stopIfTrue="1">
      <formula>AND(AA24&gt;0,O24="")</formula>
    </cfRule>
    <cfRule type="expression" dxfId="157" priority="4" stopIfTrue="1">
      <formula>(AA24=0)</formula>
    </cfRule>
  </conditionalFormatting>
  <conditionalFormatting sqref="M24">
    <cfRule type="expression" dxfId="156" priority="1" stopIfTrue="1">
      <formula>AND(Y24&gt;0,M24="")</formula>
    </cfRule>
    <cfRule type="expression" dxfId="155" priority="2" stopIfTrue="1">
      <formula>(Y24=0)</formula>
    </cfRule>
  </conditionalFormatting>
  <dataValidations xWindow="895" yWindow="482" count="2">
    <dataValidation allowBlank="1" showErrorMessage="1" sqref="S76:T76 S56:T56 S59:T59 S41:T41 T39:T40 S72:T72 S53 S46 S63:S64 S38:T38 S33:S35 T18:T19 S10:S11 S30:T30 S25 T21:T29 S17:T17 S20:T20 S14:T14 T10:T13 T15:T16 T31:T37 T57:T58 T60:T71 T73:T75 S84:T84 T85:T86 T77:T80 T82:T83 S81:T81 T42:T55 M10:P86"/>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Q44 Q62 Q51:Q52 Q29 Q79">
      <formula1>0</formula1>
      <formula2>5</formula2>
    </dataValidation>
  </dataValidations>
  <printOptions horizontalCentered="1"/>
  <pageMargins left="1.1811023622047245" right="0.98425196850393704" top="0.78740157480314965" bottom="0.78740157480314965" header="0.51181102362204722" footer="0.51181102362204722"/>
  <pageSetup paperSize="9" scale="63" fitToHeight="0" orientation="portrait" verticalDpi="4294967293" r:id="rId1"/>
  <headerFooter alignWithMargins="0">
    <oddHeader>&amp;L&amp;F&amp;R&amp;A</oddHeader>
    <oddFooter>&amp;C&amp;P/&amp;N</oddFooter>
  </headerFooter>
  <rowBreaks count="1" manualBreakCount="1">
    <brk id="5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G12"/>
  <sheetViews>
    <sheetView showGridLines="0" zoomScale="80" zoomScaleNormal="80" workbookViewId="0">
      <selection activeCell="C9" sqref="C9:E9"/>
    </sheetView>
  </sheetViews>
  <sheetFormatPr defaultColWidth="0" defaultRowHeight="13.5" zeroHeight="1"/>
  <cols>
    <col min="1" max="1" width="0.875" style="369" customWidth="1"/>
    <col min="2" max="2" width="17.375" style="369" customWidth="1"/>
    <col min="3" max="3" width="38" style="370" customWidth="1"/>
    <col min="4" max="4" width="17.25" style="370" customWidth="1"/>
    <col min="5" max="5" width="28.375" style="369" customWidth="1"/>
    <col min="6" max="6" width="1.375" style="369" customWidth="1"/>
    <col min="7" max="16384" width="0" style="369" hidden="1"/>
  </cols>
  <sheetData>
    <row r="1" spans="2:7" s="12" customFormat="1" ht="21">
      <c r="B1" s="362" t="s">
        <v>534</v>
      </c>
      <c r="C1" s="363"/>
      <c r="D1" s="1072" t="s">
        <v>406</v>
      </c>
      <c r="E1" s="364" t="str">
        <f>メイン!C10</f>
        <v>〇〇邸</v>
      </c>
    </row>
    <row r="2" spans="2:7" s="14" customFormat="1" thickBot="1">
      <c r="B2" s="371"/>
      <c r="C2" s="372"/>
      <c r="D2" s="372"/>
      <c r="E2" s="372"/>
      <c r="F2" s="365"/>
      <c r="G2" s="365"/>
    </row>
    <row r="3" spans="2:7" s="12" customFormat="1" ht="21" customHeight="1" thickBot="1">
      <c r="B3" s="2343" t="s">
        <v>405</v>
      </c>
      <c r="C3" s="2344"/>
      <c r="D3" s="2344"/>
      <c r="E3" s="2345"/>
    </row>
    <row r="4" spans="2:7" s="13" customFormat="1" ht="81" customHeight="1" thickTop="1">
      <c r="B4" s="366" t="s">
        <v>951</v>
      </c>
      <c r="C4" s="2347"/>
      <c r="D4" s="2347"/>
      <c r="E4" s="2347"/>
    </row>
    <row r="5" spans="2:7" s="12" customFormat="1" ht="81" customHeight="1">
      <c r="B5" s="683" t="s">
        <v>1078</v>
      </c>
      <c r="C5" s="2348"/>
      <c r="D5" s="2348"/>
      <c r="E5" s="2348"/>
    </row>
    <row r="6" spans="2:7" s="12" customFormat="1" ht="81" customHeight="1">
      <c r="B6" s="683" t="s">
        <v>1079</v>
      </c>
      <c r="C6" s="2348"/>
      <c r="D6" s="2348"/>
      <c r="E6" s="2348"/>
    </row>
    <row r="7" spans="2:7" s="12" customFormat="1" ht="81" customHeight="1">
      <c r="B7" s="683" t="s">
        <v>1080</v>
      </c>
      <c r="C7" s="2348"/>
      <c r="D7" s="2348"/>
      <c r="E7" s="2348"/>
    </row>
    <row r="8" spans="2:7" s="12" customFormat="1" ht="81" customHeight="1">
      <c r="B8" s="683" t="s">
        <v>1081</v>
      </c>
      <c r="C8" s="2348"/>
      <c r="D8" s="2348"/>
      <c r="E8" s="2348"/>
    </row>
    <row r="9" spans="2:7" s="12" customFormat="1" ht="81" customHeight="1">
      <c r="B9" s="683" t="s">
        <v>1082</v>
      </c>
      <c r="C9" s="2348"/>
      <c r="D9" s="2348"/>
      <c r="E9" s="2348"/>
    </row>
    <row r="10" spans="2:7" s="12" customFormat="1" ht="81" customHeight="1" thickBot="1">
      <c r="B10" s="684" t="s">
        <v>1083</v>
      </c>
      <c r="C10" s="2342"/>
      <c r="D10" s="2342"/>
      <c r="E10" s="2342"/>
    </row>
    <row r="11" spans="2:7" s="12" customFormat="1" ht="122.25" customHeight="1" thickTop="1" thickBot="1">
      <c r="B11" s="367" t="s">
        <v>949</v>
      </c>
      <c r="C11" s="2346"/>
      <c r="D11" s="2346"/>
      <c r="E11" s="2346"/>
    </row>
    <row r="12" spans="2:7" s="12" customFormat="1">
      <c r="C12" s="368"/>
      <c r="D12" s="368"/>
    </row>
  </sheetData>
  <sheetProtection algorithmName="SHA-512" hashValue="W1T/IQluiUUHG8pRcuBDmQrdH5gRjGkZqRQcrbq5hYaKM8bTh6vgzntw94jP+7kc6DSz9DEdoukUrYbwbzEhZA==" saltValue="lIR6MMgPTO+5UR1eCfAKog==" spinCount="100000" sheet="1" objects="1" scenarios="1"/>
  <mergeCells count="9">
    <mergeCell ref="C10:E10"/>
    <mergeCell ref="B3:E3"/>
    <mergeCell ref="C11:E11"/>
    <mergeCell ref="C4:E4"/>
    <mergeCell ref="C5:E5"/>
    <mergeCell ref="C6:E6"/>
    <mergeCell ref="C7:E7"/>
    <mergeCell ref="C8:E8"/>
    <mergeCell ref="C9:E9"/>
  </mergeCells>
  <phoneticPr fontId="4"/>
  <printOptions horizontalCentered="1"/>
  <pageMargins left="1.1811023622047245" right="0.98425196850393704" top="0.78740157480314965" bottom="0.78740157480314965" header="0.51181102362204722" footer="0.51181102362204722"/>
  <pageSetup paperSize="9" scale="76" orientation="portrait" verticalDpi="300" r:id="rId1"/>
  <headerFooter alignWithMargins="0">
    <oddHeader>&amp;L&amp;F&amp;R&amp;A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IU162"/>
  <sheetViews>
    <sheetView showGridLines="0" zoomScaleNormal="100" workbookViewId="0">
      <selection activeCell="D8" sqref="D8"/>
    </sheetView>
  </sheetViews>
  <sheetFormatPr defaultColWidth="0" defaultRowHeight="15.75" zeroHeight="1"/>
  <cols>
    <col min="1" max="1" width="1.375" style="304" customWidth="1"/>
    <col min="2" max="2" width="4.625" style="622" customWidth="1"/>
    <col min="3" max="3" width="1.5" style="307" customWidth="1"/>
    <col min="4" max="4" width="11.125" style="623" customWidth="1"/>
    <col min="5" max="13" width="11.125" style="304" customWidth="1"/>
    <col min="14" max="14" width="1.625" style="304" customWidth="1"/>
    <col min="15" max="15" width="4.875" style="146" hidden="1" customWidth="1"/>
    <col min="16" max="16" width="10.875" style="146" hidden="1" customWidth="1"/>
    <col min="17" max="17" width="6.375" style="146" hidden="1" customWidth="1"/>
    <col min="18" max="18" width="9.125" style="304" hidden="1" customWidth="1"/>
    <col min="19" max="19" width="13.625" style="304" hidden="1" customWidth="1"/>
    <col min="20" max="20" width="9.75" style="304" hidden="1" customWidth="1"/>
    <col min="21" max="21" width="6.625" style="304" hidden="1" customWidth="1"/>
    <col min="22" max="24" width="9" style="304" hidden="1" customWidth="1"/>
    <col min="25" max="25" width="10.125" style="304" hidden="1" customWidth="1"/>
    <col min="26" max="255" width="9" style="304" hidden="1" customWidth="1"/>
    <col min="256" max="16384" width="3.375" style="304" hidden="1"/>
  </cols>
  <sheetData>
    <row r="1" spans="1:25" s="148" customFormat="1" ht="22.5" customHeight="1">
      <c r="A1" s="55"/>
      <c r="B1" s="168"/>
      <c r="C1" s="154"/>
      <c r="D1" s="159"/>
      <c r="E1" s="55"/>
      <c r="F1" s="55"/>
      <c r="G1" s="55"/>
      <c r="H1" s="55"/>
      <c r="I1" s="55"/>
      <c r="J1" s="55"/>
      <c r="K1" s="1073" t="s">
        <v>406</v>
      </c>
      <c r="L1" s="1074" t="str">
        <f>メイン!C10</f>
        <v>〇〇邸</v>
      </c>
      <c r="M1" s="1075"/>
      <c r="N1" s="154"/>
      <c r="O1" s="146"/>
      <c r="P1" s="146"/>
      <c r="Q1" s="146"/>
    </row>
    <row r="2" spans="1:25" s="148" customFormat="1" ht="9" customHeight="1" thickBot="1">
      <c r="A2" s="55"/>
      <c r="B2" s="168"/>
      <c r="C2" s="154"/>
      <c r="D2" s="159"/>
      <c r="E2" s="55"/>
      <c r="F2" s="55"/>
      <c r="G2" s="55"/>
      <c r="H2" s="55"/>
      <c r="I2" s="55"/>
      <c r="J2" s="55"/>
      <c r="K2" s="1072"/>
      <c r="L2" s="364"/>
      <c r="M2" s="51"/>
      <c r="N2" s="154"/>
      <c r="O2" s="146"/>
      <c r="P2" s="146"/>
      <c r="Q2" s="146"/>
    </row>
    <row r="3" spans="1:25" s="148" customFormat="1" ht="21.75" thickBot="1">
      <c r="A3" s="55"/>
      <c r="B3" s="312" t="s">
        <v>1067</v>
      </c>
      <c r="C3" s="154"/>
      <c r="D3" s="159"/>
      <c r="E3" s="55"/>
      <c r="F3" s="55"/>
      <c r="G3" s="55"/>
      <c r="H3" s="150"/>
      <c r="I3" s="56" t="s">
        <v>73</v>
      </c>
      <c r="J3" s="32"/>
      <c r="K3" s="55"/>
      <c r="L3" s="55"/>
      <c r="M3" s="159"/>
      <c r="N3" s="154"/>
      <c r="O3" s="134"/>
      <c r="P3" s="319" t="s">
        <v>100</v>
      </c>
      <c r="Q3" s="41"/>
      <c r="R3" s="327">
        <v>0</v>
      </c>
      <c r="S3" s="555"/>
      <c r="T3" s="322"/>
      <c r="U3" s="322"/>
      <c r="V3" s="322" t="str">
        <f>メイン!N31</f>
        <v>基本設計段階</v>
      </c>
    </row>
    <row r="4" spans="1:25" s="148" customFormat="1" ht="6" customHeight="1">
      <c r="A4" s="55"/>
      <c r="B4" s="55"/>
      <c r="C4" s="154"/>
      <c r="D4" s="159"/>
      <c r="E4" s="55"/>
      <c r="F4" s="55"/>
      <c r="G4" s="55"/>
      <c r="H4" s="55"/>
      <c r="I4" s="55"/>
      <c r="J4" s="55"/>
      <c r="K4" s="55"/>
      <c r="L4" s="55"/>
      <c r="M4" s="55"/>
      <c r="N4" s="154"/>
      <c r="Q4" s="41"/>
      <c r="R4" s="327">
        <v>1</v>
      </c>
      <c r="S4" s="555"/>
      <c r="T4" s="322" t="s">
        <v>101</v>
      </c>
      <c r="U4" s="322" t="s">
        <v>102</v>
      </c>
      <c r="V4" s="322" t="str">
        <f>メイン!N32</f>
        <v>実施設計段階</v>
      </c>
    </row>
    <row r="5" spans="1:25" s="179" customFormat="1" ht="13.5" customHeight="1">
      <c r="A5" s="154"/>
      <c r="B5" s="1090">
        <v>1</v>
      </c>
      <c r="C5" s="151" t="s">
        <v>479</v>
      </c>
      <c r="D5" s="151"/>
      <c r="E5" s="55"/>
      <c r="F5" s="154"/>
      <c r="G5" s="154"/>
      <c r="H5" s="154"/>
      <c r="I5" s="154"/>
      <c r="J5" s="154"/>
      <c r="K5" s="154"/>
      <c r="L5" s="154"/>
      <c r="M5" s="154"/>
      <c r="N5" s="154"/>
      <c r="P5" s="328"/>
      <c r="Q5" s="41"/>
      <c r="R5" s="327">
        <v>2</v>
      </c>
      <c r="S5" s="305"/>
      <c r="T5" s="305"/>
      <c r="U5" s="305"/>
      <c r="V5" s="322" t="str">
        <f>メイン!N33</f>
        <v>竣工段階</v>
      </c>
      <c r="W5" s="148"/>
      <c r="X5" s="148"/>
      <c r="Y5" s="148"/>
    </row>
    <row r="6" spans="1:25" s="179" customFormat="1" ht="13.5" customHeight="1">
      <c r="A6" s="154"/>
      <c r="B6" s="168">
        <v>1.1000000000000001</v>
      </c>
      <c r="C6" s="35" t="s">
        <v>480</v>
      </c>
      <c r="D6" s="151"/>
      <c r="E6" s="55"/>
      <c r="F6" s="154"/>
      <c r="G6" s="154"/>
      <c r="H6" s="154"/>
      <c r="I6" s="154"/>
      <c r="J6" s="154"/>
      <c r="K6" s="154"/>
      <c r="L6" s="154"/>
      <c r="M6" s="154"/>
      <c r="N6" s="154"/>
      <c r="P6" s="328"/>
      <c r="Q6" s="41"/>
      <c r="R6" s="327" t="s">
        <v>99</v>
      </c>
      <c r="S6" s="305"/>
      <c r="T6" s="136"/>
      <c r="U6" s="136"/>
      <c r="V6" s="322">
        <f>メイン!N30</f>
        <v>0</v>
      </c>
    </row>
    <row r="7" spans="1:25" s="179" customFormat="1" ht="16.5" customHeight="1" thickBot="1">
      <c r="A7" s="154"/>
      <c r="B7" s="310"/>
      <c r="C7" s="154"/>
      <c r="D7" s="1044" t="s">
        <v>1053</v>
      </c>
      <c r="E7" s="417"/>
      <c r="F7" s="299"/>
      <c r="L7" s="180" t="s">
        <v>2</v>
      </c>
      <c r="M7" s="52">
        <f>重み!M12</f>
        <v>0.8</v>
      </c>
      <c r="N7" s="154"/>
      <c r="O7" s="148">
        <f>C7</f>
        <v>0</v>
      </c>
      <c r="P7" s="148" t="str">
        <f>D7</f>
        <v>1.1.1　断熱等性能の確保</v>
      </c>
      <c r="Q7" s="148">
        <f>E7</f>
        <v>0</v>
      </c>
      <c r="R7" s="148">
        <f>F7</f>
        <v>0</v>
      </c>
      <c r="S7" s="148" t="str">
        <f>L7</f>
        <v>重み係数＝</v>
      </c>
      <c r="T7" s="148">
        <f>M7</f>
        <v>0.8</v>
      </c>
    </row>
    <row r="8" spans="1:25" s="148" customFormat="1" ht="16.5" customHeight="1" thickBot="1">
      <c r="A8" s="55"/>
      <c r="B8" s="168"/>
      <c r="C8" s="611"/>
      <c r="D8" s="1077">
        <v>3</v>
      </c>
      <c r="E8" s="2349" t="s">
        <v>467</v>
      </c>
      <c r="F8" s="2350"/>
      <c r="G8" s="2350"/>
      <c r="H8" s="2350"/>
      <c r="I8" s="2350"/>
      <c r="J8" s="2350"/>
      <c r="K8" s="2350"/>
      <c r="L8" s="2350"/>
      <c r="M8" s="2351"/>
      <c r="N8" s="154"/>
      <c r="O8" s="146"/>
      <c r="Q8" s="146"/>
    </row>
    <row r="9" spans="1:25" s="148" customFormat="1" ht="16.5" customHeight="1">
      <c r="A9" s="55"/>
      <c r="B9" s="168"/>
      <c r="C9" s="611"/>
      <c r="D9" s="476" t="str">
        <f>IF(D8=$Q$14,$R$9,IF(ROUNDDOWN(D8,0)=$Q$9,$S$9,$R$9))</f>
        <v>　レベル　1</v>
      </c>
      <c r="E9" s="632" t="s">
        <v>1107</v>
      </c>
      <c r="F9" s="784"/>
      <c r="G9" s="784"/>
      <c r="H9" s="784"/>
      <c r="I9" s="784"/>
      <c r="J9" s="784"/>
      <c r="K9" s="784"/>
      <c r="L9" s="784"/>
      <c r="M9" s="785"/>
      <c r="N9" s="154"/>
      <c r="P9" s="588">
        <f>$Q$9</f>
        <v>1</v>
      </c>
      <c r="Q9" s="320">
        <v>1</v>
      </c>
      <c r="R9" s="323" t="s">
        <v>538</v>
      </c>
      <c r="S9" s="321" t="s">
        <v>94</v>
      </c>
      <c r="T9" s="136"/>
    </row>
    <row r="10" spans="1:25" s="148" customFormat="1" ht="16.5" customHeight="1">
      <c r="A10" s="55"/>
      <c r="B10" s="168"/>
      <c r="C10" s="611"/>
      <c r="D10" s="43" t="str">
        <f>IF(D8=$Q$14,$R$10,IF(ROUNDDOWN(D8,0)=$Q$10,$S$10,$R$10))</f>
        <v>　レベル　2</v>
      </c>
      <c r="E10" s="178" t="s">
        <v>1108</v>
      </c>
      <c r="F10" s="779"/>
      <c r="G10" s="779"/>
      <c r="H10" s="779"/>
      <c r="I10" s="779"/>
      <c r="J10" s="779"/>
      <c r="K10" s="779"/>
      <c r="L10" s="779"/>
      <c r="M10" s="780"/>
      <c r="N10" s="154"/>
      <c r="P10" s="588">
        <f>$Q$10</f>
        <v>2</v>
      </c>
      <c r="Q10" s="320">
        <v>2</v>
      </c>
      <c r="R10" s="323" t="s">
        <v>539</v>
      </c>
      <c r="S10" s="321" t="s">
        <v>95</v>
      </c>
      <c r="T10" s="136"/>
    </row>
    <row r="11" spans="1:25" s="148" customFormat="1" ht="16.5" customHeight="1">
      <c r="A11" s="55"/>
      <c r="B11" s="168"/>
      <c r="C11" s="611"/>
      <c r="D11" s="43" t="str">
        <f>IF(D8=$Q$14,$R$11,IF(ROUNDDOWN(D8,0)=$Q$11,$S$11,$R$11))</f>
        <v>■レベル　3</v>
      </c>
      <c r="E11" s="178" t="s">
        <v>1109</v>
      </c>
      <c r="F11" s="779"/>
      <c r="G11" s="779"/>
      <c r="H11" s="779"/>
      <c r="I11" s="779"/>
      <c r="J11" s="779"/>
      <c r="K11" s="779"/>
      <c r="L11" s="779"/>
      <c r="M11" s="780"/>
      <c r="N11" s="154"/>
      <c r="P11" s="588">
        <f>$Q$11</f>
        <v>3</v>
      </c>
      <c r="Q11" s="320">
        <v>3</v>
      </c>
      <c r="R11" s="323" t="s">
        <v>540</v>
      </c>
      <c r="S11" s="321" t="s">
        <v>96</v>
      </c>
      <c r="T11" s="136"/>
    </row>
    <row r="12" spans="1:25" s="148" customFormat="1" ht="16.5" customHeight="1">
      <c r="A12" s="55"/>
      <c r="B12" s="168"/>
      <c r="C12" s="611"/>
      <c r="D12" s="43" t="str">
        <f>IF(D8=$Q$14,$R$12,IF(ROUNDDOWN(D8,0)=$Q$12,$S$12,$R$12))</f>
        <v>　レベル　4</v>
      </c>
      <c r="E12" s="178" t="s">
        <v>1110</v>
      </c>
      <c r="F12" s="779"/>
      <c r="G12" s="779"/>
      <c r="H12" s="779"/>
      <c r="I12" s="779"/>
      <c r="J12" s="779"/>
      <c r="K12" s="573"/>
      <c r="L12" s="779"/>
      <c r="M12" s="780"/>
      <c r="N12" s="154"/>
      <c r="P12" s="588">
        <v>4</v>
      </c>
      <c r="Q12" s="320">
        <v>4</v>
      </c>
      <c r="R12" s="323" t="s">
        <v>541</v>
      </c>
      <c r="S12" s="321" t="s">
        <v>97</v>
      </c>
      <c r="T12" s="136"/>
    </row>
    <row r="13" spans="1:25" s="148" customFormat="1" ht="16.5" customHeight="1">
      <c r="A13" s="55"/>
      <c r="B13" s="168"/>
      <c r="C13" s="611"/>
      <c r="D13" s="415" t="str">
        <f>IF(D8=$Q$14,$R$13,IF(ROUNDDOWN(D8,0)=$Q$13,$S$13,$R$13))</f>
        <v>　レベル　5</v>
      </c>
      <c r="E13" s="783" t="s">
        <v>1087</v>
      </c>
      <c r="F13" s="781"/>
      <c r="G13" s="781"/>
      <c r="H13" s="781"/>
      <c r="I13" s="781"/>
      <c r="J13" s="781"/>
      <c r="K13" s="781"/>
      <c r="L13" s="781"/>
      <c r="M13" s="782"/>
      <c r="N13" s="154"/>
      <c r="P13" s="588">
        <f>$Q$13</f>
        <v>5</v>
      </c>
      <c r="Q13" s="320">
        <v>5</v>
      </c>
      <c r="R13" s="323" t="s">
        <v>542</v>
      </c>
      <c r="S13" s="321" t="s">
        <v>98</v>
      </c>
      <c r="T13" s="136"/>
    </row>
    <row r="14" spans="1:25" s="148" customFormat="1" ht="8.25" customHeight="1">
      <c r="A14" s="55"/>
      <c r="B14" s="168"/>
      <c r="C14" s="611"/>
      <c r="D14" s="313"/>
      <c r="E14" s="313"/>
      <c r="F14" s="2"/>
      <c r="G14" s="2"/>
      <c r="H14" s="2"/>
      <c r="I14" s="2"/>
      <c r="J14" s="2"/>
      <c r="K14" s="2"/>
      <c r="L14" s="2"/>
      <c r="M14" s="2"/>
      <c r="N14" s="154"/>
      <c r="P14" s="588" t="s">
        <v>75</v>
      </c>
      <c r="Q14" s="328" t="s">
        <v>99</v>
      </c>
      <c r="R14" s="5"/>
      <c r="S14" s="5"/>
      <c r="T14" s="136"/>
    </row>
    <row r="15" spans="1:25" s="148" customFormat="1" ht="21" customHeight="1">
      <c r="A15" s="55"/>
      <c r="B15" s="168"/>
      <c r="C15" s="611"/>
      <c r="E15" s="786" t="s">
        <v>3</v>
      </c>
      <c r="F15" s="787"/>
      <c r="G15" s="1242"/>
      <c r="H15" s="1242"/>
      <c r="I15" s="1241"/>
      <c r="J15" s="1243"/>
      <c r="K15" s="1243"/>
      <c r="L15" s="1243"/>
      <c r="M15" s="1244"/>
      <c r="N15" s="154"/>
      <c r="P15" s="619"/>
      <c r="Q15" s="328"/>
      <c r="R15" s="5"/>
      <c r="S15" s="5"/>
      <c r="T15" s="136"/>
      <c r="U15" s="619"/>
      <c r="V15" s="136"/>
      <c r="W15" s="136"/>
      <c r="X15" s="136"/>
      <c r="Y15" s="136"/>
    </row>
    <row r="16" spans="1:25" s="148" customFormat="1">
      <c r="A16" s="55"/>
      <c r="B16" s="168"/>
      <c r="C16" s="611"/>
      <c r="N16" s="154"/>
      <c r="U16" s="619"/>
      <c r="V16" s="136"/>
      <c r="W16" s="136"/>
      <c r="X16" s="136"/>
      <c r="Y16" s="136"/>
    </row>
    <row r="17" spans="1:25" s="148" customFormat="1" ht="16.5" customHeight="1" thickBot="1">
      <c r="A17" s="55"/>
      <c r="B17" s="168"/>
      <c r="C17" s="611"/>
      <c r="D17" s="1044" t="s">
        <v>419</v>
      </c>
      <c r="E17" s="417"/>
      <c r="F17" s="299"/>
      <c r="L17" s="180" t="s">
        <v>2</v>
      </c>
      <c r="M17" s="52">
        <f>重み!M13</f>
        <v>0.2</v>
      </c>
      <c r="N17" s="154"/>
      <c r="P17" s="148" t="str">
        <f>D17</f>
        <v>1.1.2　日射の調整機能</v>
      </c>
      <c r="Q17" s="148">
        <f>E17</f>
        <v>0</v>
      </c>
      <c r="R17" s="148">
        <f>F17</f>
        <v>0</v>
      </c>
      <c r="S17" s="148" t="str">
        <f>L17</f>
        <v>重み係数＝</v>
      </c>
      <c r="T17" s="148">
        <f>M17</f>
        <v>0.2</v>
      </c>
      <c r="U17" s="619"/>
      <c r="V17" s="136"/>
      <c r="W17" s="136"/>
      <c r="X17" s="136"/>
      <c r="Y17" s="136"/>
    </row>
    <row r="18" spans="1:25" s="148" customFormat="1" ht="16.5" customHeight="1" thickBot="1">
      <c r="A18" s="55"/>
      <c r="B18" s="168"/>
      <c r="C18" s="611"/>
      <c r="D18" s="1077">
        <v>3</v>
      </c>
      <c r="E18" s="2349" t="s">
        <v>467</v>
      </c>
      <c r="F18" s="2350"/>
      <c r="G18" s="2350"/>
      <c r="H18" s="2350"/>
      <c r="I18" s="2350"/>
      <c r="J18" s="2350"/>
      <c r="K18" s="2350"/>
      <c r="L18" s="2350"/>
      <c r="M18" s="2351"/>
      <c r="N18" s="154"/>
      <c r="U18" s="619"/>
      <c r="V18" s="136"/>
      <c r="W18" s="136"/>
      <c r="X18" s="136"/>
      <c r="Y18" s="136"/>
    </row>
    <row r="19" spans="1:25" s="148" customFormat="1" ht="16.5" customHeight="1">
      <c r="A19" s="55"/>
      <c r="B19" s="168"/>
      <c r="C19" s="611"/>
      <c r="D19" s="36" t="str">
        <f>IF(D18=$Q$14,$R$9,IF(ROUNDDOWN(D18,0)=$Q$9,$S$9,$R$9))</f>
        <v>　レベル　1</v>
      </c>
      <c r="E19" s="632" t="s">
        <v>904</v>
      </c>
      <c r="F19" s="772"/>
      <c r="G19" s="772"/>
      <c r="H19" s="772"/>
      <c r="I19" s="772"/>
      <c r="J19" s="772"/>
      <c r="K19" s="772"/>
      <c r="L19" s="772"/>
      <c r="M19" s="773"/>
      <c r="N19" s="154"/>
      <c r="P19" s="588">
        <f>$Q$9</f>
        <v>1</v>
      </c>
      <c r="Q19" s="136"/>
      <c r="R19" s="136"/>
      <c r="S19" s="136"/>
      <c r="T19" s="136"/>
      <c r="U19" s="619"/>
      <c r="V19" s="136"/>
      <c r="W19" s="136"/>
      <c r="X19" s="136"/>
      <c r="Y19" s="136"/>
    </row>
    <row r="20" spans="1:25" s="148" customFormat="1" ht="16.5" customHeight="1">
      <c r="A20" s="55"/>
      <c r="B20" s="168"/>
      <c r="C20" s="611"/>
      <c r="D20" s="39" t="str">
        <f>IF(D18=$Q$14,$R$10,IF(ROUNDDOWN(D18,0)=$Q$10,$S$10,$R$10))</f>
        <v>　レベル　2</v>
      </c>
      <c r="E20" s="178" t="s">
        <v>459</v>
      </c>
      <c r="F20" s="779"/>
      <c r="G20" s="779"/>
      <c r="H20" s="779"/>
      <c r="I20" s="779"/>
      <c r="J20" s="779"/>
      <c r="K20" s="779"/>
      <c r="L20" s="779"/>
      <c r="M20" s="780"/>
      <c r="N20" s="154"/>
      <c r="P20" s="588" t="s">
        <v>909</v>
      </c>
      <c r="Q20" s="136"/>
      <c r="R20" s="136"/>
      <c r="S20" s="136"/>
      <c r="T20" s="136"/>
      <c r="U20" s="619"/>
      <c r="V20" s="136"/>
      <c r="W20" s="136"/>
      <c r="X20" s="136"/>
      <c r="Y20" s="136"/>
    </row>
    <row r="21" spans="1:25" s="148" customFormat="1" ht="16.5" customHeight="1">
      <c r="A21" s="55"/>
      <c r="B21" s="168"/>
      <c r="C21" s="611"/>
      <c r="D21" s="39" t="str">
        <f>IF(D18=$Q$14,$R$11,IF(ROUNDDOWN(D18,0)=$Q$11,$S$11,$R$11))</f>
        <v>■レベル　3</v>
      </c>
      <c r="E21" s="178" t="s">
        <v>527</v>
      </c>
      <c r="F21" s="779"/>
      <c r="G21" s="779"/>
      <c r="H21" s="779"/>
      <c r="I21" s="779"/>
      <c r="J21" s="779"/>
      <c r="K21" s="779"/>
      <c r="L21" s="779"/>
      <c r="M21" s="780"/>
      <c r="N21" s="154"/>
      <c r="P21" s="588">
        <f>$Q$11</f>
        <v>3</v>
      </c>
      <c r="Q21" s="136"/>
      <c r="R21" s="136"/>
      <c r="S21" s="136"/>
      <c r="T21" s="136"/>
      <c r="U21" s="619"/>
      <c r="V21" s="136"/>
      <c r="W21" s="136"/>
      <c r="X21" s="136"/>
      <c r="Y21" s="136"/>
    </row>
    <row r="22" spans="1:25" s="148" customFormat="1" ht="16.5" customHeight="1">
      <c r="A22" s="55"/>
      <c r="B22" s="168"/>
      <c r="C22" s="611"/>
      <c r="D22" s="39" t="str">
        <f>IF(D18=$Q$14,$R$12,IF(ROUNDDOWN(D18,0)=$Q$12,$S$12,$R$12))</f>
        <v>　レベル　4</v>
      </c>
      <c r="E22" s="178" t="s">
        <v>528</v>
      </c>
      <c r="F22" s="779"/>
      <c r="G22" s="779"/>
      <c r="H22" s="779"/>
      <c r="I22" s="779"/>
      <c r="J22" s="779"/>
      <c r="K22" s="779"/>
      <c r="L22" s="779"/>
      <c r="M22" s="780"/>
      <c r="N22" s="154"/>
      <c r="P22" s="588">
        <f>$Q$12</f>
        <v>4</v>
      </c>
      <c r="Q22" s="136"/>
      <c r="R22" s="136"/>
      <c r="S22" s="136"/>
      <c r="T22" s="136"/>
      <c r="U22" s="619"/>
      <c r="V22" s="136"/>
      <c r="W22" s="136"/>
      <c r="X22" s="136"/>
      <c r="Y22" s="136"/>
    </row>
    <row r="23" spans="1:25" s="148" customFormat="1" ht="16.5" customHeight="1">
      <c r="A23" s="55"/>
      <c r="B23" s="168"/>
      <c r="C23" s="611"/>
      <c r="D23" s="37" t="str">
        <f>IF(D18=$Q$14,$R$13,IF(ROUNDDOWN(D18,0)=$Q$13,$S$13,$R$13))</f>
        <v>　レベル　5</v>
      </c>
      <c r="E23" s="783" t="s">
        <v>42</v>
      </c>
      <c r="F23" s="781"/>
      <c r="G23" s="781"/>
      <c r="H23" s="781"/>
      <c r="I23" s="781"/>
      <c r="J23" s="781"/>
      <c r="K23" s="781"/>
      <c r="L23" s="781"/>
      <c r="M23" s="782"/>
      <c r="N23" s="154"/>
      <c r="P23" s="588">
        <f>$Q$13</f>
        <v>5</v>
      </c>
      <c r="Q23" s="136"/>
      <c r="R23" s="136"/>
      <c r="S23" s="136"/>
      <c r="T23" s="136"/>
      <c r="U23" s="619"/>
      <c r="V23" s="136"/>
      <c r="W23" s="136"/>
      <c r="X23" s="136"/>
      <c r="Y23" s="136"/>
    </row>
    <row r="24" spans="1:25" s="148" customFormat="1" ht="8.25" customHeight="1">
      <c r="A24" s="55"/>
      <c r="B24" s="168"/>
      <c r="C24" s="611"/>
      <c r="D24" s="313"/>
      <c r="E24" s="313"/>
      <c r="F24" s="2"/>
      <c r="G24" s="2"/>
      <c r="H24" s="2"/>
      <c r="I24" s="2"/>
      <c r="J24" s="2"/>
      <c r="K24" s="2"/>
      <c r="L24" s="2"/>
      <c r="M24" s="2"/>
      <c r="N24" s="154"/>
      <c r="P24" s="588" t="str">
        <f>Q24</f>
        <v>対象外</v>
      </c>
      <c r="Q24" s="328" t="s">
        <v>99</v>
      </c>
      <c r="R24" s="5"/>
      <c r="S24" s="5"/>
      <c r="T24" s="136"/>
    </row>
    <row r="25" spans="1:25" s="148" customFormat="1" ht="21" customHeight="1">
      <c r="A25" s="55"/>
      <c r="B25" s="168"/>
      <c r="C25" s="611"/>
      <c r="E25" s="786" t="s">
        <v>3</v>
      </c>
      <c r="F25" s="787"/>
      <c r="G25" s="1242"/>
      <c r="H25" s="1242"/>
      <c r="I25" s="1241"/>
      <c r="J25" s="1243"/>
      <c r="K25" s="1243"/>
      <c r="L25" s="1243"/>
      <c r="M25" s="1244"/>
      <c r="N25" s="154"/>
      <c r="P25" s="619"/>
      <c r="Q25" s="328"/>
      <c r="R25" s="5"/>
      <c r="S25" s="5"/>
      <c r="T25" s="136"/>
      <c r="U25" s="619"/>
      <c r="V25" s="136"/>
      <c r="W25" s="136"/>
      <c r="X25" s="136"/>
      <c r="Y25" s="136"/>
    </row>
    <row r="26" spans="1:25" s="148" customFormat="1" ht="9.75" customHeight="1">
      <c r="A26" s="55"/>
      <c r="B26" s="168"/>
      <c r="C26" s="611"/>
      <c r="D26" s="159"/>
      <c r="E26" s="55"/>
      <c r="F26" s="55"/>
      <c r="G26" s="55"/>
      <c r="H26" s="55"/>
      <c r="I26" s="55"/>
      <c r="J26" s="55"/>
      <c r="K26" s="55"/>
      <c r="L26" s="55"/>
      <c r="M26" s="55"/>
      <c r="N26" s="154"/>
      <c r="O26" s="146"/>
      <c r="P26" s="146"/>
      <c r="Q26" s="146"/>
    </row>
    <row r="27" spans="1:25" s="179" customFormat="1">
      <c r="A27" s="154"/>
      <c r="B27" s="1090">
        <v>1.2</v>
      </c>
      <c r="C27" s="40" t="s">
        <v>555</v>
      </c>
      <c r="D27" s="151"/>
      <c r="E27" s="314"/>
      <c r="F27" s="154"/>
      <c r="G27" s="154"/>
      <c r="H27" s="154"/>
      <c r="I27" s="154"/>
      <c r="J27" s="314"/>
      <c r="K27" s="154"/>
      <c r="L27" s="154"/>
      <c r="M27" s="154"/>
      <c r="N27" s="154"/>
      <c r="O27" s="147"/>
      <c r="P27" s="147"/>
      <c r="Q27" s="147"/>
    </row>
    <row r="28" spans="1:25" ht="16.5" customHeight="1" thickBot="1">
      <c r="A28" s="137"/>
      <c r="B28" s="311"/>
      <c r="C28" s="154"/>
      <c r="D28" s="1044" t="s">
        <v>418</v>
      </c>
      <c r="E28" s="417"/>
      <c r="F28" s="152"/>
      <c r="L28" s="180" t="s">
        <v>2</v>
      </c>
      <c r="M28" s="177">
        <f>重み!M15</f>
        <v>0.5</v>
      </c>
      <c r="N28" s="154"/>
      <c r="O28" s="148">
        <f>C28</f>
        <v>0</v>
      </c>
      <c r="P28" s="148" t="str">
        <f>D28</f>
        <v>1.2.1　風を取り込み、熱気を逃がす</v>
      </c>
      <c r="Q28" s="148">
        <f>E28</f>
        <v>0</v>
      </c>
      <c r="R28" s="148">
        <f>F28</f>
        <v>0</v>
      </c>
      <c r="S28" s="148" t="str">
        <f>L28</f>
        <v>重み係数＝</v>
      </c>
      <c r="T28" s="148">
        <f>M28</f>
        <v>0.5</v>
      </c>
    </row>
    <row r="29" spans="1:25" ht="16.5" customHeight="1" thickBot="1">
      <c r="A29" s="137"/>
      <c r="B29" s="168"/>
      <c r="C29" s="154"/>
      <c r="D29" s="1078">
        <v>3</v>
      </c>
      <c r="E29" s="2349" t="s">
        <v>467</v>
      </c>
      <c r="F29" s="2350"/>
      <c r="G29" s="2350"/>
      <c r="H29" s="2350"/>
      <c r="I29" s="2350"/>
      <c r="J29" s="2350"/>
      <c r="K29" s="2350"/>
      <c r="L29" s="2350"/>
      <c r="M29" s="2351"/>
      <c r="N29" s="154"/>
      <c r="P29" s="148"/>
      <c r="R29" s="148"/>
      <c r="S29" s="148"/>
      <c r="T29" s="148"/>
    </row>
    <row r="30" spans="1:25" ht="16.5" customHeight="1">
      <c r="A30" s="137"/>
      <c r="B30" s="168"/>
      <c r="C30" s="154"/>
      <c r="D30" s="39" t="str">
        <f>IF(D29=$Q$14,$R$9,IF(ROUNDDOWN(D29,0)=$Q$9,$S$9,$R$9))</f>
        <v>　レベル　1</v>
      </c>
      <c r="E30" s="632" t="s">
        <v>904</v>
      </c>
      <c r="F30" s="772"/>
      <c r="G30" s="772"/>
      <c r="H30" s="772"/>
      <c r="I30" s="772"/>
      <c r="J30" s="772"/>
      <c r="K30" s="772"/>
      <c r="L30" s="772"/>
      <c r="M30" s="773"/>
      <c r="N30" s="154"/>
      <c r="P30" s="588">
        <f>$Q$9</f>
        <v>1</v>
      </c>
      <c r="S30" s="148"/>
      <c r="T30" s="148"/>
    </row>
    <row r="31" spans="1:25" ht="16.5" customHeight="1">
      <c r="A31" s="137"/>
      <c r="B31" s="168"/>
      <c r="C31" s="154"/>
      <c r="D31" s="39" t="str">
        <f>IF(D29=$Q$14,$R$10,IF(ROUNDDOWN(D29,0)=$Q$10,$S$10,$R$10))</f>
        <v>　レベル　2</v>
      </c>
      <c r="E31" s="178" t="s">
        <v>459</v>
      </c>
      <c r="F31" s="768"/>
      <c r="G31" s="768"/>
      <c r="H31" s="768"/>
      <c r="I31" s="768"/>
      <c r="J31" s="768"/>
      <c r="K31" s="768"/>
      <c r="L31" s="768"/>
      <c r="M31" s="769"/>
      <c r="N31" s="154"/>
      <c r="P31" s="588" t="s">
        <v>909</v>
      </c>
      <c r="S31" s="148"/>
      <c r="T31" s="148"/>
    </row>
    <row r="32" spans="1:25" ht="16.5" customHeight="1">
      <c r="A32" s="137"/>
      <c r="B32" s="168"/>
      <c r="C32" s="154"/>
      <c r="D32" s="39" t="str">
        <f>IF(D29=$Q$14,$R$11,IF(ROUNDDOWN(D29,0)=$Q$11,$S$11,$R$11))</f>
        <v>■レベル　3</v>
      </c>
      <c r="E32" s="178" t="s">
        <v>44</v>
      </c>
      <c r="F32" s="768"/>
      <c r="G32" s="768"/>
      <c r="H32" s="768"/>
      <c r="I32" s="768"/>
      <c r="J32" s="768"/>
      <c r="K32" s="768"/>
      <c r="L32" s="768"/>
      <c r="M32" s="769"/>
      <c r="N32" s="154"/>
      <c r="P32" s="588">
        <f>$Q$11</f>
        <v>3</v>
      </c>
      <c r="S32" s="148"/>
      <c r="T32" s="148"/>
    </row>
    <row r="33" spans="1:25" ht="16.5" customHeight="1">
      <c r="A33" s="137"/>
      <c r="B33" s="168"/>
      <c r="C33" s="154"/>
      <c r="D33" s="39" t="str">
        <f>IF(D29=$Q$14,$R$12,IF(ROUNDDOWN(D29,0)=$Q$12,$S$12,$R$12))</f>
        <v>　レベル　4</v>
      </c>
      <c r="E33" s="178" t="s">
        <v>459</v>
      </c>
      <c r="F33" s="768"/>
      <c r="G33" s="768"/>
      <c r="H33" s="768"/>
      <c r="I33" s="768"/>
      <c r="J33" s="768"/>
      <c r="K33" s="768"/>
      <c r="L33" s="768"/>
      <c r="M33" s="769"/>
      <c r="N33" s="154"/>
      <c r="P33" s="588" t="s">
        <v>909</v>
      </c>
      <c r="S33" s="148"/>
      <c r="T33" s="148"/>
    </row>
    <row r="34" spans="1:25" ht="16.5" customHeight="1">
      <c r="A34" s="137"/>
      <c r="B34" s="168"/>
      <c r="C34" s="154"/>
      <c r="D34" s="37" t="str">
        <f>IF(D29=$Q$14,$R$13,IF(ROUNDDOWN(D29,0)=$Q$13,$S$13,$R$13))</f>
        <v>　レベル　5</v>
      </c>
      <c r="E34" s="783" t="s">
        <v>907</v>
      </c>
      <c r="F34" s="770"/>
      <c r="G34" s="770"/>
      <c r="H34" s="770"/>
      <c r="I34" s="770"/>
      <c r="J34" s="770"/>
      <c r="K34" s="770"/>
      <c r="L34" s="770"/>
      <c r="M34" s="771"/>
      <c r="N34" s="154"/>
      <c r="P34" s="588">
        <f>$Q$13</f>
        <v>5</v>
      </c>
      <c r="S34" s="148"/>
      <c r="T34" s="148"/>
    </row>
    <row r="35" spans="1:25" s="148" customFormat="1" ht="8.25" customHeight="1">
      <c r="A35" s="55"/>
      <c r="B35" s="168"/>
      <c r="C35" s="611"/>
      <c r="D35" s="313"/>
      <c r="E35" s="313"/>
      <c r="F35" s="2"/>
      <c r="G35" s="2"/>
      <c r="H35" s="2"/>
      <c r="I35" s="2"/>
      <c r="J35" s="2"/>
      <c r="K35" s="2"/>
      <c r="L35" s="2"/>
      <c r="M35" s="2"/>
      <c r="N35" s="154"/>
      <c r="P35" s="588" t="s">
        <v>75</v>
      </c>
      <c r="Q35" s="328" t="s">
        <v>99</v>
      </c>
      <c r="R35" s="5"/>
      <c r="S35" s="5"/>
      <c r="T35" s="136"/>
    </row>
    <row r="36" spans="1:25" s="148" customFormat="1" ht="21" customHeight="1">
      <c r="A36" s="55"/>
      <c r="B36" s="168"/>
      <c r="C36" s="611"/>
      <c r="E36" s="786" t="s">
        <v>3</v>
      </c>
      <c r="F36" s="787"/>
      <c r="G36" s="1242"/>
      <c r="H36" s="1242"/>
      <c r="I36" s="1241"/>
      <c r="J36" s="1243"/>
      <c r="K36" s="1243"/>
      <c r="L36" s="1243"/>
      <c r="M36" s="1244"/>
      <c r="N36" s="154"/>
      <c r="P36" s="619"/>
      <c r="Q36" s="328"/>
      <c r="R36" s="5"/>
      <c r="S36" s="5"/>
      <c r="T36" s="136"/>
      <c r="U36" s="619"/>
      <c r="V36" s="136"/>
      <c r="W36" s="136"/>
      <c r="X36" s="136"/>
      <c r="Y36" s="136"/>
    </row>
    <row r="37" spans="1:25" ht="9" customHeight="1">
      <c r="A37" s="137"/>
      <c r="B37" s="168"/>
      <c r="C37" s="611"/>
      <c r="D37" s="612"/>
      <c r="E37" s="32"/>
      <c r="F37" s="32"/>
      <c r="G37" s="32"/>
      <c r="H37" s="32"/>
      <c r="I37" s="32"/>
      <c r="J37" s="32"/>
      <c r="K37" s="32"/>
      <c r="L37" s="32"/>
      <c r="M37" s="32"/>
      <c r="N37" s="154"/>
      <c r="P37" s="619"/>
      <c r="S37" s="148"/>
      <c r="T37" s="148"/>
      <c r="U37" s="619"/>
    </row>
    <row r="38" spans="1:25" ht="16.5" customHeight="1" thickBot="1">
      <c r="A38" s="137"/>
      <c r="B38" s="168"/>
      <c r="C38" s="611"/>
      <c r="D38" s="1044" t="s">
        <v>417</v>
      </c>
      <c r="E38" s="417"/>
      <c r="F38" s="152"/>
      <c r="I38" s="32"/>
      <c r="J38" s="32"/>
      <c r="K38" s="32"/>
      <c r="L38" s="180" t="s">
        <v>2</v>
      </c>
      <c r="M38" s="177">
        <f>重み!M16</f>
        <v>0.5</v>
      </c>
      <c r="N38" s="154"/>
      <c r="P38" s="148" t="str">
        <f>D38</f>
        <v>1.2.2　適切な冷房計画</v>
      </c>
      <c r="Q38" s="148">
        <f>E38</f>
        <v>0</v>
      </c>
      <c r="R38" s="148">
        <f>F38</f>
        <v>0</v>
      </c>
      <c r="S38" s="148" t="str">
        <f>L38</f>
        <v>重み係数＝</v>
      </c>
      <c r="T38" s="148">
        <f>M38</f>
        <v>0.5</v>
      </c>
      <c r="U38" s="619"/>
    </row>
    <row r="39" spans="1:25" ht="16.5" customHeight="1" thickBot="1">
      <c r="A39" s="137"/>
      <c r="B39" s="168"/>
      <c r="C39" s="611"/>
      <c r="D39" s="1077">
        <v>3</v>
      </c>
      <c r="E39" s="2349" t="s">
        <v>467</v>
      </c>
      <c r="F39" s="2350"/>
      <c r="G39" s="2350"/>
      <c r="H39" s="2350"/>
      <c r="I39" s="2350"/>
      <c r="J39" s="2350"/>
      <c r="K39" s="2350"/>
      <c r="L39" s="2350"/>
      <c r="M39" s="2351"/>
      <c r="N39" s="154"/>
      <c r="P39" s="148"/>
      <c r="Q39" s="148"/>
      <c r="R39" s="148"/>
      <c r="S39" s="148"/>
      <c r="T39" s="148"/>
      <c r="U39" s="619"/>
    </row>
    <row r="40" spans="1:25" ht="16.5" customHeight="1">
      <c r="A40" s="137"/>
      <c r="B40" s="168"/>
      <c r="C40" s="611"/>
      <c r="D40" s="36" t="str">
        <f>IF(D39=$Q$14,$R$9,IF(ROUNDDOWN(D39,0)=$Q$9,$S$9,$R$9))</f>
        <v>　レベル　1</v>
      </c>
      <c r="E40" s="632" t="s">
        <v>50</v>
      </c>
      <c r="F40" s="772"/>
      <c r="G40" s="772"/>
      <c r="H40" s="772"/>
      <c r="I40" s="772"/>
      <c r="J40" s="772"/>
      <c r="K40" s="772"/>
      <c r="L40" s="772"/>
      <c r="M40" s="773"/>
      <c r="N40" s="154"/>
      <c r="P40" s="588">
        <f>$Q$9</f>
        <v>1</v>
      </c>
      <c r="Q40" s="304"/>
      <c r="S40" s="148"/>
      <c r="T40" s="148"/>
      <c r="U40" s="619"/>
    </row>
    <row r="41" spans="1:25" ht="16.5" customHeight="1">
      <c r="A41" s="137"/>
      <c r="B41" s="168"/>
      <c r="C41" s="611"/>
      <c r="D41" s="39" t="str">
        <f>IF(D39=$Q$14,$R$10,IF(ROUNDDOWN(D39,0)=$Q$10,$S$10,$R$10))</f>
        <v>　レベル　2</v>
      </c>
      <c r="E41" s="178" t="s">
        <v>459</v>
      </c>
      <c r="F41" s="768"/>
      <c r="G41" s="768"/>
      <c r="H41" s="768"/>
      <c r="I41" s="768"/>
      <c r="J41" s="768"/>
      <c r="K41" s="768"/>
      <c r="L41" s="768"/>
      <c r="M41" s="769"/>
      <c r="N41" s="154"/>
      <c r="P41" s="588" t="s">
        <v>909</v>
      </c>
      <c r="Q41" s="304"/>
      <c r="S41" s="148"/>
      <c r="T41" s="148"/>
      <c r="U41" s="619"/>
    </row>
    <row r="42" spans="1:25" ht="16.5" customHeight="1">
      <c r="A42" s="137"/>
      <c r="B42" s="168"/>
      <c r="C42" s="611"/>
      <c r="D42" s="39" t="str">
        <f>IF(D39=$Q$14,$R$11,IF(ROUNDDOWN(D39,0)=$Q$11,$S$11,$R$11))</f>
        <v>■レベル　3</v>
      </c>
      <c r="E42" s="178" t="s">
        <v>906</v>
      </c>
      <c r="F42" s="768"/>
      <c r="G42" s="768"/>
      <c r="H42" s="768"/>
      <c r="I42" s="768"/>
      <c r="J42" s="768"/>
      <c r="K42" s="768"/>
      <c r="L42" s="768"/>
      <c r="M42" s="769"/>
      <c r="N42" s="154"/>
      <c r="P42" s="588">
        <f>$Q$11</f>
        <v>3</v>
      </c>
      <c r="Q42" s="304"/>
      <c r="S42" s="148"/>
      <c r="T42" s="148"/>
      <c r="U42" s="619"/>
    </row>
    <row r="43" spans="1:25" ht="16.5" customHeight="1">
      <c r="A43" s="137"/>
      <c r="B43" s="168"/>
      <c r="C43" s="611"/>
      <c r="D43" s="39" t="str">
        <f>IF(D39=$Q$14,$R$12,IF(ROUNDDOWN(D39,0)=$Q$12,$S$12,$R$12))</f>
        <v>　レベル　4</v>
      </c>
      <c r="E43" s="178" t="s">
        <v>459</v>
      </c>
      <c r="F43" s="768"/>
      <c r="G43" s="768"/>
      <c r="H43" s="768"/>
      <c r="I43" s="768"/>
      <c r="J43" s="768"/>
      <c r="K43" s="768"/>
      <c r="L43" s="768"/>
      <c r="M43" s="769"/>
      <c r="N43" s="154"/>
      <c r="P43" s="588" t="s">
        <v>909</v>
      </c>
      <c r="Q43" s="304"/>
      <c r="S43" s="148"/>
      <c r="T43" s="148"/>
      <c r="U43" s="619"/>
    </row>
    <row r="44" spans="1:25" ht="16.5" customHeight="1">
      <c r="A44" s="137"/>
      <c r="B44" s="168"/>
      <c r="C44" s="611"/>
      <c r="D44" s="37" t="str">
        <f>IF(D39=$Q$14,$R$13,IF(ROUNDDOWN(D39,0)=$Q$13,$S$13,$R$13))</f>
        <v>　レベル　5</v>
      </c>
      <c r="E44" s="783" t="s">
        <v>49</v>
      </c>
      <c r="F44" s="770"/>
      <c r="G44" s="770"/>
      <c r="H44" s="770"/>
      <c r="I44" s="770"/>
      <c r="J44" s="770"/>
      <c r="K44" s="770"/>
      <c r="L44" s="770"/>
      <c r="M44" s="771"/>
      <c r="N44" s="154"/>
      <c r="P44" s="588">
        <f>$Q$13</f>
        <v>5</v>
      </c>
      <c r="Q44" s="304"/>
      <c r="S44" s="148"/>
      <c r="T44" s="148"/>
      <c r="U44" s="619"/>
    </row>
    <row r="45" spans="1:25" s="148" customFormat="1" ht="8.25" customHeight="1">
      <c r="A45" s="55"/>
      <c r="B45" s="168"/>
      <c r="C45" s="611"/>
      <c r="D45" s="313"/>
      <c r="E45" s="313"/>
      <c r="F45" s="2"/>
      <c r="G45" s="2"/>
      <c r="H45" s="2"/>
      <c r="I45" s="2"/>
      <c r="J45" s="2"/>
      <c r="K45" s="2"/>
      <c r="L45" s="2"/>
      <c r="M45" s="2"/>
      <c r="N45" s="154"/>
      <c r="P45" s="588" t="str">
        <f>Q45</f>
        <v>対象外</v>
      </c>
      <c r="Q45" s="328" t="s">
        <v>99</v>
      </c>
      <c r="R45" s="5"/>
      <c r="S45" s="5"/>
      <c r="T45" s="136"/>
    </row>
    <row r="46" spans="1:25" s="148" customFormat="1" ht="21" customHeight="1">
      <c r="A46" s="55"/>
      <c r="B46" s="168"/>
      <c r="C46" s="611"/>
      <c r="E46" s="786" t="s">
        <v>3</v>
      </c>
      <c r="F46" s="787"/>
      <c r="G46" s="1242"/>
      <c r="H46" s="1242"/>
      <c r="I46" s="1241"/>
      <c r="J46" s="1243"/>
      <c r="K46" s="1243"/>
      <c r="L46" s="1243"/>
      <c r="M46" s="1244"/>
      <c r="N46" s="154"/>
      <c r="P46" s="619"/>
      <c r="Q46" s="328"/>
      <c r="R46" s="5"/>
      <c r="S46" s="5"/>
      <c r="T46" s="136"/>
      <c r="U46" s="619"/>
      <c r="V46" s="136"/>
      <c r="W46" s="136"/>
      <c r="X46" s="136"/>
      <c r="Y46" s="136"/>
    </row>
    <row r="47" spans="1:25" ht="10.5" customHeight="1">
      <c r="A47" s="137"/>
      <c r="B47" s="168"/>
      <c r="C47" s="611"/>
      <c r="D47" s="612"/>
      <c r="E47" s="32"/>
      <c r="F47" s="32"/>
      <c r="G47" s="32"/>
      <c r="H47" s="32"/>
      <c r="I47" s="32"/>
      <c r="J47" s="32"/>
      <c r="K47" s="32"/>
      <c r="L47" s="32"/>
      <c r="M47" s="32"/>
      <c r="N47" s="154"/>
      <c r="P47" s="619"/>
      <c r="S47" s="148"/>
      <c r="T47" s="148"/>
      <c r="U47" s="619"/>
    </row>
    <row r="48" spans="1:25" ht="15" customHeight="1">
      <c r="A48" s="137"/>
      <c r="B48" s="1090">
        <v>1.3</v>
      </c>
      <c r="C48" s="40" t="s">
        <v>558</v>
      </c>
      <c r="D48" s="151"/>
      <c r="E48" s="314"/>
      <c r="F48" s="55"/>
      <c r="G48" s="55"/>
      <c r="H48" s="55"/>
      <c r="I48" s="55"/>
      <c r="J48" s="55"/>
      <c r="K48" s="55"/>
      <c r="L48" s="55"/>
      <c r="M48" s="55"/>
      <c r="N48" s="154"/>
    </row>
    <row r="49" spans="1:25" ht="16.5" customHeight="1" thickBot="1">
      <c r="A49" s="137"/>
      <c r="B49" s="311"/>
      <c r="C49" s="616"/>
      <c r="D49" s="1044" t="s">
        <v>416</v>
      </c>
      <c r="E49" s="417"/>
      <c r="F49" s="152"/>
      <c r="I49" s="55"/>
      <c r="J49" s="55"/>
      <c r="K49" s="55"/>
      <c r="L49" s="180" t="s">
        <v>2</v>
      </c>
      <c r="M49" s="177">
        <f>重み!M18</f>
        <v>1</v>
      </c>
      <c r="N49" s="154"/>
      <c r="O49" s="148">
        <f t="shared" ref="O49:W49" si="0">C49</f>
        <v>0</v>
      </c>
      <c r="P49" s="148" t="str">
        <f t="shared" si="0"/>
        <v>1.3.1　適切な暖房計画</v>
      </c>
      <c r="Q49" s="148">
        <f t="shared" si="0"/>
        <v>0</v>
      </c>
      <c r="R49" s="148">
        <f t="shared" si="0"/>
        <v>0</v>
      </c>
      <c r="S49" s="148" t="str">
        <f>L49</f>
        <v>重み係数＝</v>
      </c>
      <c r="T49" s="148">
        <f>M49</f>
        <v>1</v>
      </c>
      <c r="U49" s="148">
        <f t="shared" si="0"/>
        <v>0</v>
      </c>
      <c r="V49" s="148">
        <f t="shared" si="0"/>
        <v>0</v>
      </c>
      <c r="W49" s="148">
        <f t="shared" si="0"/>
        <v>0</v>
      </c>
      <c r="X49" s="148" t="e">
        <f>#REF!</f>
        <v>#REF!</v>
      </c>
      <c r="Y49" s="148" t="e">
        <f>#REF!</f>
        <v>#REF!</v>
      </c>
    </row>
    <row r="50" spans="1:25" ht="16.5" customHeight="1" thickBot="1">
      <c r="A50" s="137"/>
      <c r="B50" s="168"/>
      <c r="C50" s="616"/>
      <c r="D50" s="1078">
        <v>3</v>
      </c>
      <c r="E50" s="2349" t="s">
        <v>467</v>
      </c>
      <c r="F50" s="2350"/>
      <c r="G50" s="2350"/>
      <c r="H50" s="2350"/>
      <c r="I50" s="2350"/>
      <c r="J50" s="2350"/>
      <c r="K50" s="2350"/>
      <c r="L50" s="2350"/>
      <c r="M50" s="2351"/>
      <c r="N50" s="154"/>
      <c r="P50" s="148"/>
      <c r="R50" s="148"/>
      <c r="S50" s="148"/>
      <c r="T50" s="148"/>
      <c r="U50" s="148"/>
      <c r="V50" s="148"/>
      <c r="W50" s="148"/>
      <c r="X50" s="148"/>
      <c r="Y50" s="148"/>
    </row>
    <row r="51" spans="1:25" ht="16.5" customHeight="1">
      <c r="A51" s="137"/>
      <c r="B51" s="168"/>
      <c r="C51" s="617"/>
      <c r="D51" s="36" t="str">
        <f>IF(D50=$Q$14,$R$9,IF(ROUNDDOWN(D50,0)=$Q$9,$S$9,$R$9))</f>
        <v>　レベル　1</v>
      </c>
      <c r="E51" s="526" t="s">
        <v>50</v>
      </c>
      <c r="F51" s="584"/>
      <c r="G51" s="584"/>
      <c r="H51" s="584"/>
      <c r="I51" s="584"/>
      <c r="J51" s="584"/>
      <c r="K51" s="584"/>
      <c r="L51" s="584"/>
      <c r="M51" s="615"/>
      <c r="N51" s="154"/>
      <c r="P51" s="588">
        <f>$Q$9</f>
        <v>1</v>
      </c>
      <c r="S51" s="148"/>
      <c r="T51" s="148"/>
      <c r="U51" s="588">
        <f>$Q$9</f>
        <v>1</v>
      </c>
      <c r="X51" s="148"/>
      <c r="Y51" s="148"/>
    </row>
    <row r="52" spans="1:25" ht="16.5" customHeight="1">
      <c r="A52" s="137"/>
      <c r="B52" s="168"/>
      <c r="C52" s="617"/>
      <c r="D52" s="39" t="str">
        <f>IF(D50=$Q$14,$R$10,IF(ROUNDDOWN(D50,0)=$Q$10,$S$10,$R$10))</f>
        <v>　レベル　2</v>
      </c>
      <c r="E52" s="527" t="s">
        <v>459</v>
      </c>
      <c r="F52" s="586"/>
      <c r="G52" s="586"/>
      <c r="H52" s="586"/>
      <c r="I52" s="586"/>
      <c r="J52" s="586"/>
      <c r="K52" s="586"/>
      <c r="L52" s="586"/>
      <c r="M52" s="587"/>
      <c r="N52" s="154"/>
      <c r="P52" s="588" t="s">
        <v>910</v>
      </c>
      <c r="S52" s="148"/>
      <c r="T52" s="148"/>
      <c r="U52" s="588">
        <f>$Q$10</f>
        <v>2</v>
      </c>
      <c r="X52" s="148"/>
      <c r="Y52" s="148"/>
    </row>
    <row r="53" spans="1:25" ht="16.5" customHeight="1">
      <c r="A53" s="137"/>
      <c r="B53" s="168"/>
      <c r="C53" s="617"/>
      <c r="D53" s="39" t="str">
        <f>IF(D50=$Q$14,$R$11,IF(ROUNDDOWN(D50,0)=$Q$11,$S$11,$R$11))</f>
        <v>■レベル　3</v>
      </c>
      <c r="E53" s="527" t="s">
        <v>908</v>
      </c>
      <c r="F53" s="586"/>
      <c r="G53" s="586"/>
      <c r="H53" s="586"/>
      <c r="I53" s="586"/>
      <c r="J53" s="586"/>
      <c r="K53" s="586"/>
      <c r="L53" s="586"/>
      <c r="M53" s="587"/>
      <c r="N53" s="154"/>
      <c r="P53" s="588">
        <f>$Q$11</f>
        <v>3</v>
      </c>
      <c r="S53" s="148"/>
      <c r="T53" s="148"/>
      <c r="U53" s="588">
        <f>$Q$11</f>
        <v>3</v>
      </c>
      <c r="X53" s="148"/>
      <c r="Y53" s="148"/>
    </row>
    <row r="54" spans="1:25" ht="16.5" customHeight="1">
      <c r="A54" s="137"/>
      <c r="B54" s="168"/>
      <c r="C54" s="617"/>
      <c r="D54" s="39" t="str">
        <f>IF(D50=$Q$14,$R$12,IF(ROUNDDOWN(D50,0)=$Q$12,$S$12,$R$12))</f>
        <v>　レベル　4</v>
      </c>
      <c r="E54" s="539" t="s">
        <v>459</v>
      </c>
      <c r="F54" s="589"/>
      <c r="G54" s="589"/>
      <c r="H54" s="589"/>
      <c r="I54" s="589"/>
      <c r="J54" s="589"/>
      <c r="K54" s="589"/>
      <c r="L54" s="589"/>
      <c r="M54" s="590"/>
      <c r="N54" s="154"/>
      <c r="P54" s="588" t="s">
        <v>911</v>
      </c>
      <c r="S54" s="148"/>
      <c r="T54" s="148"/>
      <c r="U54" s="588">
        <f>$Q$12</f>
        <v>4</v>
      </c>
      <c r="X54" s="148"/>
      <c r="Y54" s="148"/>
    </row>
    <row r="55" spans="1:25" ht="16.5" customHeight="1">
      <c r="A55" s="137"/>
      <c r="B55" s="168"/>
      <c r="C55" s="617"/>
      <c r="D55" s="37" t="str">
        <f>IF(D50=$Q$14,$R$13,IF(ROUNDDOWN(D50,0)=$Q$13,$S$13,$R$13))</f>
        <v>　レベル　5</v>
      </c>
      <c r="E55" s="565" t="s">
        <v>946</v>
      </c>
      <c r="F55" s="591"/>
      <c r="G55" s="591"/>
      <c r="H55" s="591"/>
      <c r="I55" s="591"/>
      <c r="J55" s="591"/>
      <c r="K55" s="591"/>
      <c r="L55" s="591"/>
      <c r="M55" s="592"/>
      <c r="N55" s="154"/>
      <c r="P55" s="588">
        <f>$Q$13</f>
        <v>5</v>
      </c>
      <c r="S55" s="148"/>
      <c r="T55" s="148"/>
      <c r="U55" s="588">
        <f>$Q$13</f>
        <v>5</v>
      </c>
      <c r="X55" s="148"/>
      <c r="Y55" s="148"/>
    </row>
    <row r="56" spans="1:25" s="148" customFormat="1" ht="8.25" customHeight="1">
      <c r="A56" s="55"/>
      <c r="B56" s="168"/>
      <c r="C56" s="611"/>
      <c r="D56" s="313"/>
      <c r="E56" s="313"/>
      <c r="F56" s="2"/>
      <c r="G56" s="2"/>
      <c r="H56" s="2"/>
      <c r="I56" s="2"/>
      <c r="J56" s="2"/>
      <c r="K56" s="2"/>
      <c r="L56" s="2"/>
      <c r="M56" s="2"/>
      <c r="N56" s="154"/>
      <c r="P56" s="588" t="str">
        <f>Q56</f>
        <v>対象外</v>
      </c>
      <c r="Q56" s="328" t="s">
        <v>99</v>
      </c>
      <c r="R56" s="5"/>
      <c r="S56" s="5"/>
      <c r="T56" s="136"/>
    </row>
    <row r="57" spans="1:25" s="148" customFormat="1" ht="21" customHeight="1">
      <c r="A57" s="55"/>
      <c r="B57" s="168"/>
      <c r="C57" s="611"/>
      <c r="E57" s="786" t="s">
        <v>3</v>
      </c>
      <c r="F57" s="787"/>
      <c r="G57" s="1242"/>
      <c r="H57" s="1242"/>
      <c r="I57" s="1241"/>
      <c r="J57" s="1243"/>
      <c r="K57" s="1243"/>
      <c r="L57" s="1243"/>
      <c r="M57" s="1244"/>
      <c r="N57" s="154"/>
      <c r="P57" s="619"/>
      <c r="Q57" s="328"/>
      <c r="R57" s="5"/>
      <c r="S57" s="5"/>
      <c r="T57" s="136"/>
      <c r="U57" s="619"/>
      <c r="V57" s="136"/>
      <c r="W57" s="136"/>
      <c r="X57" s="136"/>
      <c r="Y57" s="136"/>
    </row>
    <row r="58" spans="1:25" ht="9" customHeight="1">
      <c r="A58" s="137"/>
      <c r="B58" s="168"/>
      <c r="C58" s="154"/>
      <c r="D58" s="159"/>
      <c r="E58" s="55"/>
      <c r="F58" s="55"/>
      <c r="G58" s="55"/>
      <c r="H58" s="55"/>
      <c r="I58" s="55"/>
      <c r="J58" s="55"/>
      <c r="K58" s="55"/>
      <c r="L58" s="55"/>
      <c r="M58" s="55"/>
      <c r="N58" s="154"/>
      <c r="P58" s="619"/>
      <c r="S58" s="148"/>
      <c r="T58" s="148"/>
      <c r="U58" s="619"/>
      <c r="X58" s="148"/>
    </row>
    <row r="59" spans="1:25" s="307" customFormat="1" ht="14.25" customHeight="1">
      <c r="A59" s="306"/>
      <c r="B59" s="1090">
        <v>2</v>
      </c>
      <c r="C59" s="40" t="s">
        <v>560</v>
      </c>
      <c r="D59" s="151"/>
      <c r="E59" s="154"/>
      <c r="F59" s="154"/>
      <c r="G59" s="154"/>
      <c r="H59" s="154"/>
      <c r="I59" s="604"/>
      <c r="J59" s="604"/>
      <c r="K59" s="604"/>
      <c r="L59" s="604"/>
      <c r="M59" s="604"/>
      <c r="N59" s="154"/>
      <c r="O59" s="147"/>
      <c r="P59" s="147"/>
      <c r="Q59" s="147"/>
    </row>
    <row r="60" spans="1:25" s="307" customFormat="1" ht="14.25" customHeight="1">
      <c r="A60" s="306"/>
      <c r="B60" s="1090">
        <v>2.1</v>
      </c>
      <c r="C60" s="618" t="s">
        <v>561</v>
      </c>
      <c r="D60" s="138"/>
      <c r="E60" s="154"/>
      <c r="F60" s="154"/>
      <c r="G60" s="154"/>
      <c r="H60" s="154"/>
      <c r="I60" s="604"/>
      <c r="J60" s="604"/>
      <c r="K60" s="604"/>
      <c r="L60" s="604"/>
      <c r="M60" s="604"/>
      <c r="N60" s="154"/>
      <c r="O60" s="147"/>
      <c r="P60" s="147"/>
      <c r="Q60" s="147"/>
    </row>
    <row r="61" spans="1:25" ht="16.5" customHeight="1" thickBot="1">
      <c r="A61" s="137"/>
      <c r="B61" s="138"/>
      <c r="C61" s="138"/>
      <c r="D61" s="138"/>
      <c r="E61" s="314"/>
      <c r="F61" s="152"/>
      <c r="G61" s="138"/>
      <c r="H61" s="138"/>
      <c r="I61" s="604"/>
      <c r="J61" s="604"/>
      <c r="K61" s="604"/>
      <c r="L61" s="180" t="s">
        <v>2</v>
      </c>
      <c r="M61" s="177">
        <f>重み!M21</f>
        <v>0.25</v>
      </c>
      <c r="N61" s="154"/>
      <c r="O61" s="148" t="str">
        <f>C60</f>
        <v>化学汚染物質の対策</v>
      </c>
      <c r="P61" s="148">
        <f>D60</f>
        <v>0</v>
      </c>
      <c r="Q61" s="148">
        <f t="shared" ref="Q61:Y61" si="1">E61</f>
        <v>0</v>
      </c>
      <c r="R61" s="148">
        <f t="shared" si="1"/>
        <v>0</v>
      </c>
      <c r="S61" s="148">
        <f t="shared" si="1"/>
        <v>0</v>
      </c>
      <c r="T61" s="148">
        <f t="shared" si="1"/>
        <v>0</v>
      </c>
      <c r="U61" s="148">
        <f t="shared" si="1"/>
        <v>0</v>
      </c>
      <c r="V61" s="148">
        <f t="shared" si="1"/>
        <v>0</v>
      </c>
      <c r="W61" s="148">
        <f t="shared" si="1"/>
        <v>0</v>
      </c>
      <c r="X61" s="148" t="str">
        <f t="shared" si="1"/>
        <v>重み係数＝</v>
      </c>
      <c r="Y61" s="148">
        <f t="shared" si="1"/>
        <v>0.25</v>
      </c>
    </row>
    <row r="62" spans="1:25" ht="16.5" customHeight="1" thickBot="1">
      <c r="A62" s="137"/>
      <c r="B62" s="168"/>
      <c r="C62" s="154"/>
      <c r="D62" s="1077">
        <v>3</v>
      </c>
      <c r="E62" s="2349" t="s">
        <v>467</v>
      </c>
      <c r="F62" s="2350"/>
      <c r="G62" s="2350"/>
      <c r="H62" s="2350"/>
      <c r="I62" s="2350"/>
      <c r="J62" s="2350"/>
      <c r="K62" s="2350"/>
      <c r="L62" s="2350"/>
      <c r="M62" s="2351"/>
      <c r="N62" s="154"/>
      <c r="P62" s="148"/>
      <c r="R62" s="148"/>
      <c r="S62" s="148"/>
      <c r="T62" s="148"/>
      <c r="U62" s="148"/>
      <c r="V62" s="148"/>
      <c r="W62" s="148"/>
      <c r="X62" s="148"/>
      <c r="Y62" s="148"/>
    </row>
    <row r="63" spans="1:25" ht="16.5" customHeight="1">
      <c r="A63" s="137"/>
      <c r="B63" s="168"/>
      <c r="C63" s="154"/>
      <c r="D63" s="36" t="str">
        <f>IF(D62=$Q$14,$R$9,IF(ROUNDDOWN(D62,0)=$Q$9,$S$9,$R$9))</f>
        <v>　レベル　1</v>
      </c>
      <c r="E63" s="526" t="s">
        <v>459</v>
      </c>
      <c r="F63" s="584"/>
      <c r="G63" s="584"/>
      <c r="H63" s="584"/>
      <c r="I63" s="584"/>
      <c r="J63" s="584"/>
      <c r="K63" s="584"/>
      <c r="L63" s="584"/>
      <c r="M63" s="585"/>
      <c r="N63" s="154"/>
      <c r="P63" s="588" t="s">
        <v>912</v>
      </c>
      <c r="Q63" s="148"/>
      <c r="R63" s="148"/>
      <c r="S63" s="148"/>
      <c r="T63" s="148"/>
      <c r="U63" s="588">
        <f>$Q$9</f>
        <v>1</v>
      </c>
      <c r="V63" s="148"/>
      <c r="W63" s="148"/>
      <c r="X63" s="148"/>
      <c r="Y63" s="148"/>
    </row>
    <row r="64" spans="1:25" ht="16.5" customHeight="1">
      <c r="A64" s="137"/>
      <c r="B64" s="168"/>
      <c r="C64" s="154"/>
      <c r="D64" s="39" t="str">
        <f>IF(D62=$Q$14,$R$10,IF(ROUNDDOWN(D62,0)=$Q$10,$S$10,$R$10))</f>
        <v>　レベル　2</v>
      </c>
      <c r="E64" s="527" t="s">
        <v>459</v>
      </c>
      <c r="F64" s="586"/>
      <c r="G64" s="586"/>
      <c r="H64" s="586"/>
      <c r="I64" s="586"/>
      <c r="J64" s="586"/>
      <c r="K64" s="586"/>
      <c r="L64" s="586"/>
      <c r="M64" s="587"/>
      <c r="N64" s="154"/>
      <c r="P64" s="588" t="s">
        <v>910</v>
      </c>
      <c r="Q64" s="148"/>
      <c r="R64" s="148"/>
      <c r="S64" s="148"/>
      <c r="T64" s="148"/>
      <c r="U64" s="588">
        <f>$Q$10</f>
        <v>2</v>
      </c>
      <c r="V64" s="148"/>
      <c r="W64" s="148"/>
      <c r="X64" s="148"/>
      <c r="Y64" s="148"/>
    </row>
    <row r="65" spans="1:25" ht="16.5" customHeight="1">
      <c r="A65" s="137"/>
      <c r="B65" s="168"/>
      <c r="C65" s="154"/>
      <c r="D65" s="39" t="str">
        <f>IF(D62=$Q$14,$R$11,IF(ROUNDDOWN(D62,0)=$Q$11,$S$11,$R$11))</f>
        <v>■レベル　3</v>
      </c>
      <c r="E65" s="527" t="s">
        <v>230</v>
      </c>
      <c r="F65" s="586"/>
      <c r="G65" s="586"/>
      <c r="H65" s="586"/>
      <c r="I65" s="586"/>
      <c r="J65" s="586"/>
      <c r="K65" s="586"/>
      <c r="L65" s="586"/>
      <c r="M65" s="587"/>
      <c r="N65" s="154"/>
      <c r="P65" s="588">
        <f>$Q$11</f>
        <v>3</v>
      </c>
      <c r="Q65" s="148"/>
      <c r="R65" s="148"/>
      <c r="S65" s="148"/>
      <c r="T65" s="148"/>
      <c r="U65" s="588">
        <f>$Q$11</f>
        <v>3</v>
      </c>
      <c r="V65" s="148"/>
      <c r="W65" s="148"/>
      <c r="X65" s="148"/>
      <c r="Y65" s="148"/>
    </row>
    <row r="66" spans="1:25" ht="16.5" customHeight="1">
      <c r="A66" s="137"/>
      <c r="B66" s="168"/>
      <c r="C66" s="154"/>
      <c r="D66" s="39" t="str">
        <f>IF(D62=$Q$14,$R$12,IF(ROUNDDOWN(D62,0)=$Q$12,$S$12,$R$12))</f>
        <v>　レベル　4</v>
      </c>
      <c r="E66" s="539" t="s">
        <v>231</v>
      </c>
      <c r="F66" s="589"/>
      <c r="G66" s="589"/>
      <c r="H66" s="589"/>
      <c r="I66" s="589"/>
      <c r="J66" s="589"/>
      <c r="K66" s="589"/>
      <c r="L66" s="589"/>
      <c r="M66" s="590"/>
      <c r="N66" s="154"/>
      <c r="P66" s="588">
        <f>$Q$12</f>
        <v>4</v>
      </c>
      <c r="Q66" s="148"/>
      <c r="R66" s="148"/>
      <c r="S66" s="148"/>
      <c r="T66" s="148"/>
      <c r="U66" s="588">
        <f>$Q$12</f>
        <v>4</v>
      </c>
      <c r="V66" s="148"/>
      <c r="W66" s="148"/>
      <c r="X66" s="148"/>
      <c r="Y66" s="148"/>
    </row>
    <row r="67" spans="1:25" ht="16.5" customHeight="1">
      <c r="A67" s="137"/>
      <c r="B67" s="168"/>
      <c r="C67" s="154"/>
      <c r="D67" s="37" t="str">
        <f>IF(D62=$Q$14,$R$13,IF(ROUNDDOWN(D62,0)=$Q$13,$S$13,$R$13))</f>
        <v>　レベル　5</v>
      </c>
      <c r="E67" s="565" t="s">
        <v>232</v>
      </c>
      <c r="F67" s="591"/>
      <c r="G67" s="591"/>
      <c r="H67" s="591"/>
      <c r="I67" s="591"/>
      <c r="J67" s="591"/>
      <c r="K67" s="591"/>
      <c r="L67" s="591"/>
      <c r="M67" s="592"/>
      <c r="N67" s="154"/>
      <c r="P67" s="588">
        <f>$Q$13</f>
        <v>5</v>
      </c>
      <c r="Q67" s="148"/>
      <c r="R67" s="148"/>
      <c r="S67" s="148"/>
      <c r="T67" s="148"/>
      <c r="U67" s="588">
        <f>$Q$13</f>
        <v>5</v>
      </c>
      <c r="V67" s="148"/>
      <c r="W67" s="148"/>
      <c r="X67" s="148"/>
      <c r="Y67" s="148"/>
    </row>
    <row r="68" spans="1:25" s="148" customFormat="1" ht="8.25" customHeight="1">
      <c r="A68" s="55"/>
      <c r="B68" s="168"/>
      <c r="C68" s="611"/>
      <c r="D68" s="313"/>
      <c r="E68" s="313"/>
      <c r="F68" s="2"/>
      <c r="G68" s="2"/>
      <c r="H68" s="2"/>
      <c r="I68" s="2"/>
      <c r="J68" s="2"/>
      <c r="K68" s="2"/>
      <c r="L68" s="2"/>
      <c r="M68" s="2"/>
      <c r="N68" s="154"/>
      <c r="P68" s="588" t="s">
        <v>75</v>
      </c>
      <c r="Q68" s="328" t="s">
        <v>99</v>
      </c>
      <c r="R68" s="5"/>
      <c r="S68" s="5"/>
      <c r="T68" s="136"/>
    </row>
    <row r="69" spans="1:25" s="148" customFormat="1" ht="21" customHeight="1">
      <c r="A69" s="55"/>
      <c r="B69" s="168"/>
      <c r="C69" s="611"/>
      <c r="E69" s="786" t="s">
        <v>3</v>
      </c>
      <c r="F69" s="787"/>
      <c r="G69" s="1242"/>
      <c r="H69" s="1242"/>
      <c r="I69" s="1241"/>
      <c r="J69" s="1243"/>
      <c r="K69" s="1243"/>
      <c r="L69" s="1243"/>
      <c r="M69" s="1244"/>
      <c r="N69" s="154"/>
      <c r="P69" s="619"/>
      <c r="Q69" s="328"/>
      <c r="R69" s="5"/>
      <c r="S69" s="5"/>
      <c r="T69" s="136"/>
      <c r="U69" s="619"/>
      <c r="V69" s="136"/>
      <c r="W69" s="136"/>
      <c r="X69" s="136"/>
      <c r="Y69" s="136"/>
    </row>
    <row r="70" spans="1:25" ht="6.75" customHeight="1">
      <c r="A70" s="137"/>
      <c r="B70" s="168"/>
      <c r="C70" s="306"/>
      <c r="D70" s="159"/>
      <c r="E70" s="309"/>
      <c r="F70" s="55"/>
      <c r="G70" s="55"/>
      <c r="H70" s="55"/>
      <c r="I70" s="604"/>
      <c r="J70" s="604"/>
      <c r="K70" s="604"/>
      <c r="L70" s="604"/>
      <c r="M70" s="604"/>
      <c r="N70" s="154"/>
      <c r="P70" s="619"/>
      <c r="Q70" s="148"/>
      <c r="R70" s="148"/>
      <c r="S70" s="148"/>
      <c r="T70" s="148"/>
      <c r="U70" s="619"/>
      <c r="V70" s="148"/>
      <c r="W70" s="148"/>
    </row>
    <row r="71" spans="1:25">
      <c r="A71" s="137"/>
      <c r="B71" s="1090">
        <v>2.2000000000000002</v>
      </c>
      <c r="C71" s="618" t="s">
        <v>112</v>
      </c>
      <c r="D71" s="418"/>
      <c r="E71" s="309"/>
      <c r="F71" s="55"/>
      <c r="G71" s="55"/>
      <c r="H71" s="55"/>
      <c r="I71" s="604"/>
      <c r="J71" s="604"/>
      <c r="K71" s="604"/>
      <c r="L71" s="604"/>
      <c r="M71" s="604"/>
      <c r="N71" s="154"/>
      <c r="P71" s="619"/>
      <c r="Q71" s="148"/>
      <c r="R71" s="148"/>
      <c r="S71" s="148"/>
      <c r="T71" s="148"/>
      <c r="U71" s="619"/>
      <c r="V71" s="148"/>
      <c r="W71" s="148"/>
    </row>
    <row r="72" spans="1:25" s="307" customFormat="1" ht="16.5" customHeight="1" thickBot="1">
      <c r="A72" s="306"/>
      <c r="B72" s="418"/>
      <c r="C72" s="418"/>
      <c r="D72" s="418"/>
      <c r="E72" s="417"/>
      <c r="F72" s="152"/>
      <c r="G72" s="418"/>
      <c r="H72" s="418"/>
      <c r="I72" s="604"/>
      <c r="J72" s="604"/>
      <c r="K72" s="604"/>
      <c r="L72" s="180" t="s">
        <v>2</v>
      </c>
      <c r="M72" s="177">
        <f>重み!M22</f>
        <v>0.25</v>
      </c>
      <c r="N72" s="154"/>
      <c r="O72" s="148" t="str">
        <f>C71</f>
        <v>適切な換気計画</v>
      </c>
      <c r="P72" s="148">
        <f>D71</f>
        <v>0</v>
      </c>
      <c r="Q72" s="148">
        <f t="shared" ref="Q72:Y72" si="2">E72</f>
        <v>0</v>
      </c>
      <c r="R72" s="148">
        <f t="shared" si="2"/>
        <v>0</v>
      </c>
      <c r="S72" s="148">
        <f t="shared" si="2"/>
        <v>0</v>
      </c>
      <c r="T72" s="148">
        <f t="shared" si="2"/>
        <v>0</v>
      </c>
      <c r="U72" s="148">
        <f t="shared" si="2"/>
        <v>0</v>
      </c>
      <c r="V72" s="148">
        <f t="shared" si="2"/>
        <v>0</v>
      </c>
      <c r="W72" s="148">
        <f t="shared" si="2"/>
        <v>0</v>
      </c>
      <c r="X72" s="148" t="str">
        <f t="shared" si="2"/>
        <v>重み係数＝</v>
      </c>
      <c r="Y72" s="148">
        <f t="shared" si="2"/>
        <v>0.25</v>
      </c>
    </row>
    <row r="73" spans="1:25" ht="16.5" customHeight="1" thickBot="1">
      <c r="A73" s="137"/>
      <c r="B73" s="137"/>
      <c r="C73" s="306"/>
      <c r="D73" s="1077">
        <v>3</v>
      </c>
      <c r="E73" s="2349" t="s">
        <v>467</v>
      </c>
      <c r="F73" s="2350"/>
      <c r="G73" s="2350"/>
      <c r="H73" s="2350"/>
      <c r="I73" s="2350"/>
      <c r="J73" s="2350"/>
      <c r="K73" s="2350"/>
      <c r="L73" s="2350"/>
      <c r="M73" s="2351"/>
      <c r="N73" s="154"/>
      <c r="P73" s="148"/>
      <c r="R73" s="148"/>
      <c r="S73" s="148"/>
      <c r="T73" s="148"/>
      <c r="U73" s="148"/>
      <c r="V73" s="148"/>
      <c r="W73" s="148"/>
      <c r="X73" s="148"/>
      <c r="Y73" s="148"/>
    </row>
    <row r="74" spans="1:25" ht="16.5" customHeight="1">
      <c r="A74" s="137"/>
      <c r="B74" s="137"/>
      <c r="C74" s="306"/>
      <c r="D74" s="36" t="str">
        <f>IF(D73=$Q$14,$R$9,IF(ROUNDDOWN(D73,0)=$Q$9,$S$9,$R$9))</f>
        <v>　レベル　1</v>
      </c>
      <c r="E74" s="526" t="s">
        <v>459</v>
      </c>
      <c r="F74" s="584"/>
      <c r="G74" s="584"/>
      <c r="H74" s="584"/>
      <c r="I74" s="584"/>
      <c r="J74" s="584"/>
      <c r="K74" s="584"/>
      <c r="L74" s="584"/>
      <c r="M74" s="585"/>
      <c r="N74" s="154"/>
      <c r="P74" s="588" t="s">
        <v>910</v>
      </c>
      <c r="Q74" s="148"/>
      <c r="R74" s="148"/>
      <c r="S74" s="148"/>
      <c r="T74" s="148"/>
      <c r="U74" s="588">
        <f>$Q$9</f>
        <v>1</v>
      </c>
      <c r="V74" s="148"/>
      <c r="W74" s="148"/>
      <c r="X74" s="148"/>
      <c r="Y74" s="148"/>
    </row>
    <row r="75" spans="1:25" ht="16.5" customHeight="1">
      <c r="A75" s="137"/>
      <c r="B75" s="137"/>
      <c r="C75" s="306"/>
      <c r="D75" s="39" t="str">
        <f>IF(D73=$Q$14,$R$10,IF(ROUNDDOWN(D73,0)=$Q$10,$S$10,$R$10))</f>
        <v>　レベル　2</v>
      </c>
      <c r="E75" s="527" t="s">
        <v>43</v>
      </c>
      <c r="F75" s="586"/>
      <c r="G75" s="586"/>
      <c r="H75" s="586"/>
      <c r="I75" s="586"/>
      <c r="J75" s="586"/>
      <c r="K75" s="586"/>
      <c r="L75" s="586"/>
      <c r="M75" s="587"/>
      <c r="N75" s="154"/>
      <c r="P75" s="588">
        <f>$Q$10</f>
        <v>2</v>
      </c>
      <c r="Q75" s="148"/>
      <c r="R75" s="148"/>
      <c r="S75" s="148"/>
      <c r="T75" s="148"/>
      <c r="U75" s="588">
        <f>$Q$10</f>
        <v>2</v>
      </c>
      <c r="V75" s="148"/>
      <c r="W75" s="148"/>
      <c r="X75" s="148"/>
      <c r="Y75" s="148"/>
    </row>
    <row r="76" spans="1:25" ht="16.5" customHeight="1">
      <c r="A76" s="137"/>
      <c r="B76" s="137"/>
      <c r="C76" s="306"/>
      <c r="D76" s="39" t="str">
        <f>IF(D73=$Q$14,$R$11,IF(ROUNDDOWN(D73,0)=$Q$11,$S$11,$R$11))</f>
        <v>■レベル　3</v>
      </c>
      <c r="E76" s="527" t="s">
        <v>234</v>
      </c>
      <c r="F76" s="586"/>
      <c r="G76" s="586"/>
      <c r="H76" s="586"/>
      <c r="I76" s="586"/>
      <c r="J76" s="586"/>
      <c r="K76" s="586"/>
      <c r="L76" s="586"/>
      <c r="M76" s="587"/>
      <c r="N76" s="154"/>
      <c r="P76" s="588">
        <f>$Q$11</f>
        <v>3</v>
      </c>
      <c r="Q76" s="148"/>
      <c r="R76" s="148"/>
      <c r="S76" s="148"/>
      <c r="T76" s="148"/>
      <c r="U76" s="588">
        <f>$Q$11</f>
        <v>3</v>
      </c>
      <c r="V76" s="148"/>
      <c r="W76" s="148"/>
      <c r="X76" s="148"/>
      <c r="Y76" s="148"/>
    </row>
    <row r="77" spans="1:25" ht="16.5" customHeight="1">
      <c r="A77" s="137"/>
      <c r="B77" s="137"/>
      <c r="C77" s="306"/>
      <c r="D77" s="39" t="str">
        <f>IF(D73=$Q$14,$R$12,IF(ROUNDDOWN(D73,0)=$Q$12,$S$12,$R$12))</f>
        <v>　レベル　4</v>
      </c>
      <c r="E77" s="539" t="s">
        <v>459</v>
      </c>
      <c r="F77" s="589"/>
      <c r="G77" s="589"/>
      <c r="H77" s="589"/>
      <c r="I77" s="589"/>
      <c r="J77" s="589"/>
      <c r="K77" s="589"/>
      <c r="L77" s="589"/>
      <c r="M77" s="590"/>
      <c r="N77" s="154"/>
      <c r="P77" s="588" t="s">
        <v>913</v>
      </c>
      <c r="Q77" s="148"/>
      <c r="R77" s="148"/>
      <c r="S77" s="148"/>
      <c r="T77" s="148"/>
      <c r="U77" s="588">
        <f>$Q$12</f>
        <v>4</v>
      </c>
      <c r="V77" s="148"/>
      <c r="W77" s="148"/>
      <c r="X77" s="148"/>
      <c r="Y77" s="148"/>
    </row>
    <row r="78" spans="1:25" ht="16.5" customHeight="1">
      <c r="A78" s="137"/>
      <c r="B78" s="137"/>
      <c r="C78" s="306"/>
      <c r="D78" s="37" t="str">
        <f>IF(D73=$Q$14,$R$13,IF(ROUNDDOWN(D73,0)=$Q$13,$S$13,$R$13))</f>
        <v>　レベル　5</v>
      </c>
      <c r="E78" s="565" t="s">
        <v>366</v>
      </c>
      <c r="F78" s="591"/>
      <c r="G78" s="591"/>
      <c r="H78" s="591"/>
      <c r="I78" s="591"/>
      <c r="J78" s="591"/>
      <c r="K78" s="591"/>
      <c r="L78" s="591"/>
      <c r="M78" s="592"/>
      <c r="N78" s="154"/>
      <c r="P78" s="588">
        <f>$Q$13</f>
        <v>5</v>
      </c>
      <c r="Q78" s="148"/>
      <c r="R78" s="148"/>
      <c r="S78" s="148"/>
      <c r="T78" s="148"/>
      <c r="U78" s="588">
        <f>$Q$13</f>
        <v>5</v>
      </c>
      <c r="V78" s="148"/>
      <c r="W78" s="148"/>
      <c r="X78" s="148"/>
      <c r="Y78" s="148"/>
    </row>
    <row r="79" spans="1:25" s="148" customFormat="1" ht="8.25" customHeight="1">
      <c r="A79" s="55"/>
      <c r="B79" s="168"/>
      <c r="C79" s="611"/>
      <c r="D79" s="313"/>
      <c r="E79" s="313"/>
      <c r="F79" s="2"/>
      <c r="G79" s="2"/>
      <c r="H79" s="2"/>
      <c r="I79" s="2"/>
      <c r="J79" s="2"/>
      <c r="K79" s="2"/>
      <c r="L79" s="2"/>
      <c r="M79" s="2"/>
      <c r="N79" s="154"/>
      <c r="P79" s="588" t="s">
        <v>75</v>
      </c>
      <c r="Q79" s="328" t="s">
        <v>99</v>
      </c>
      <c r="R79" s="5"/>
      <c r="S79" s="5"/>
      <c r="T79" s="136"/>
    </row>
    <row r="80" spans="1:25" s="148" customFormat="1" ht="21" customHeight="1">
      <c r="A80" s="55"/>
      <c r="B80" s="168"/>
      <c r="C80" s="611"/>
      <c r="E80" s="786" t="s">
        <v>3</v>
      </c>
      <c r="F80" s="787"/>
      <c r="G80" s="1242"/>
      <c r="H80" s="1242"/>
      <c r="I80" s="1241"/>
      <c r="J80" s="1243"/>
      <c r="K80" s="1243"/>
      <c r="L80" s="1243"/>
      <c r="M80" s="1244"/>
      <c r="N80" s="154"/>
      <c r="P80" s="619"/>
      <c r="Q80" s="328"/>
      <c r="R80" s="5"/>
      <c r="S80" s="5"/>
      <c r="T80" s="136"/>
      <c r="U80" s="619"/>
      <c r="V80" s="136"/>
      <c r="W80" s="136"/>
      <c r="X80" s="136"/>
      <c r="Y80" s="136"/>
    </row>
    <row r="81" spans="1:25" ht="7.5" customHeight="1">
      <c r="A81" s="137"/>
      <c r="B81" s="168"/>
      <c r="C81" s="168"/>
      <c r="D81" s="40"/>
      <c r="E81" s="40"/>
      <c r="F81" s="40"/>
      <c r="G81" s="40"/>
      <c r="H81" s="40"/>
      <c r="I81" s="604"/>
      <c r="J81" s="604"/>
      <c r="K81" s="604"/>
      <c r="L81" s="604"/>
      <c r="M81" s="604"/>
      <c r="N81" s="154"/>
      <c r="P81" s="619"/>
      <c r="Q81" s="148"/>
      <c r="R81" s="148"/>
      <c r="S81" s="148"/>
      <c r="T81" s="148"/>
      <c r="U81" s="619"/>
      <c r="V81" s="148"/>
      <c r="W81" s="148"/>
    </row>
    <row r="82" spans="1:25" ht="18.75" customHeight="1">
      <c r="A82" s="137"/>
      <c r="B82" s="1090">
        <v>2.2999999999999998</v>
      </c>
      <c r="C82" s="618" t="s">
        <v>562</v>
      </c>
      <c r="D82" s="138"/>
      <c r="E82" s="40"/>
      <c r="F82" s="40"/>
      <c r="G82" s="40"/>
      <c r="H82" s="40"/>
      <c r="I82" s="604"/>
      <c r="J82" s="604"/>
      <c r="K82" s="604"/>
      <c r="L82" s="604"/>
      <c r="M82" s="604"/>
      <c r="N82" s="154"/>
      <c r="P82" s="619"/>
      <c r="Q82" s="148"/>
      <c r="R82" s="148"/>
      <c r="S82" s="148"/>
      <c r="T82" s="148"/>
      <c r="U82" s="619"/>
      <c r="V82" s="148"/>
      <c r="W82" s="148"/>
    </row>
    <row r="83" spans="1:25" ht="16.5" customHeight="1" thickBot="1">
      <c r="A83" s="137"/>
      <c r="B83" s="138"/>
      <c r="C83" s="138"/>
      <c r="D83" s="138"/>
      <c r="E83" s="417"/>
      <c r="F83" s="152"/>
      <c r="G83" s="138"/>
      <c r="H83" s="138"/>
      <c r="I83" s="604"/>
      <c r="J83" s="604"/>
      <c r="K83" s="604"/>
      <c r="L83" s="180" t="s">
        <v>2</v>
      </c>
      <c r="M83" s="177">
        <f>重み!M23</f>
        <v>0.25</v>
      </c>
      <c r="N83" s="154"/>
      <c r="O83" s="148" t="str">
        <f>C82</f>
        <v>犯罪に備える</v>
      </c>
      <c r="P83" s="148">
        <f>D82</f>
        <v>0</v>
      </c>
      <c r="Q83" s="148">
        <f t="shared" ref="Q83:Y83" si="3">E83</f>
        <v>0</v>
      </c>
      <c r="R83" s="148">
        <f t="shared" si="3"/>
        <v>0</v>
      </c>
      <c r="S83" s="148">
        <f t="shared" si="3"/>
        <v>0</v>
      </c>
      <c r="T83" s="148">
        <f t="shared" si="3"/>
        <v>0</v>
      </c>
      <c r="U83" s="148">
        <f t="shared" si="3"/>
        <v>0</v>
      </c>
      <c r="V83" s="148">
        <f t="shared" si="3"/>
        <v>0</v>
      </c>
      <c r="W83" s="148">
        <f t="shared" si="3"/>
        <v>0</v>
      </c>
      <c r="X83" s="148" t="str">
        <f t="shared" si="3"/>
        <v>重み係数＝</v>
      </c>
      <c r="Y83" s="148">
        <f t="shared" si="3"/>
        <v>0.25</v>
      </c>
    </row>
    <row r="84" spans="1:25" ht="16.5" customHeight="1" thickBot="1">
      <c r="A84" s="137"/>
      <c r="B84" s="168"/>
      <c r="C84" s="620"/>
      <c r="D84" s="1077">
        <v>3</v>
      </c>
      <c r="E84" s="2349" t="s">
        <v>467</v>
      </c>
      <c r="F84" s="2350"/>
      <c r="G84" s="2350"/>
      <c r="H84" s="2350"/>
      <c r="I84" s="2350"/>
      <c r="J84" s="2350"/>
      <c r="K84" s="2350"/>
      <c r="L84" s="2350"/>
      <c r="M84" s="2351"/>
      <c r="N84" s="154"/>
      <c r="P84" s="148"/>
      <c r="R84" s="148"/>
      <c r="S84" s="148"/>
      <c r="T84" s="148"/>
      <c r="U84" s="148"/>
      <c r="V84" s="148"/>
      <c r="W84" s="148"/>
      <c r="X84" s="148"/>
      <c r="Y84" s="148"/>
    </row>
    <row r="85" spans="1:25" ht="16.5" customHeight="1">
      <c r="A85" s="137"/>
      <c r="B85" s="168"/>
      <c r="C85" s="620"/>
      <c r="D85" s="36" t="str">
        <f>IF(D84=$Q$14,$R$9,IF(AND($M$3=$Y$3,ROUNDDOWN(D84,0)=$Q$9),$S$9,$R$9))</f>
        <v>　レベル　1</v>
      </c>
      <c r="E85" s="526" t="s">
        <v>367</v>
      </c>
      <c r="F85" s="584"/>
      <c r="G85" s="584"/>
      <c r="H85" s="584"/>
      <c r="I85" s="584"/>
      <c r="J85" s="584"/>
      <c r="K85" s="584"/>
      <c r="L85" s="584"/>
      <c r="M85" s="585"/>
      <c r="N85" s="154"/>
      <c r="P85" s="588">
        <f>$Q$9</f>
        <v>1</v>
      </c>
      <c r="Q85" s="148"/>
      <c r="R85" s="148"/>
      <c r="S85" s="148"/>
      <c r="T85" s="148"/>
      <c r="U85" s="588">
        <f>$Q$9</f>
        <v>1</v>
      </c>
      <c r="V85" s="148"/>
      <c r="W85" s="148"/>
      <c r="X85" s="148"/>
      <c r="Y85" s="148"/>
    </row>
    <row r="86" spans="1:25" ht="16.5" customHeight="1">
      <c r="A86" s="137"/>
      <c r="B86" s="168"/>
      <c r="C86" s="620"/>
      <c r="D86" s="39" t="str">
        <f>IF(D84=$Q$14,$R$10,IF(AND($M$3=$Y$3,ROUNDDOWN(D84,0)=$Q$10),$S$10,$R$10))</f>
        <v>　レベル　2</v>
      </c>
      <c r="E86" s="527" t="s">
        <v>459</v>
      </c>
      <c r="F86" s="586"/>
      <c r="G86" s="586"/>
      <c r="H86" s="586"/>
      <c r="I86" s="586"/>
      <c r="J86" s="586"/>
      <c r="K86" s="586"/>
      <c r="L86" s="586"/>
      <c r="M86" s="587"/>
      <c r="N86" s="154"/>
      <c r="P86" s="588" t="s">
        <v>914</v>
      </c>
      <c r="Q86" s="148"/>
      <c r="R86" s="148"/>
      <c r="S86" s="148"/>
      <c r="T86" s="148"/>
      <c r="U86" s="588">
        <f>$Q$10</f>
        <v>2</v>
      </c>
      <c r="V86" s="148"/>
      <c r="W86" s="148"/>
      <c r="X86" s="148"/>
      <c r="Y86" s="148"/>
    </row>
    <row r="87" spans="1:25" ht="24" customHeight="1">
      <c r="A87" s="137"/>
      <c r="B87" s="168"/>
      <c r="C87" s="620"/>
      <c r="D87" s="39" t="str">
        <f>IF(D84=$Q$14,$R$11,IF(AND($M$3=$Y$3,ROUNDDOWN(D84,0)=$Q$11),$S$11,$R$11))</f>
        <v>■レベル　3</v>
      </c>
      <c r="E87" s="2352" t="s">
        <v>368</v>
      </c>
      <c r="F87" s="2353"/>
      <c r="G87" s="2353"/>
      <c r="H87" s="2353"/>
      <c r="I87" s="2353"/>
      <c r="J87" s="2353"/>
      <c r="K87" s="2353"/>
      <c r="L87" s="2353"/>
      <c r="M87" s="2354"/>
      <c r="N87" s="154"/>
      <c r="P87" s="588">
        <f>$Q$11</f>
        <v>3</v>
      </c>
      <c r="Q87" s="148"/>
      <c r="R87" s="148"/>
      <c r="S87" s="148"/>
      <c r="T87" s="148"/>
      <c r="U87" s="588">
        <f>$Q$11</f>
        <v>3</v>
      </c>
      <c r="V87" s="148"/>
      <c r="W87" s="148"/>
      <c r="X87" s="148"/>
      <c r="Y87" s="148"/>
    </row>
    <row r="88" spans="1:25" ht="24" customHeight="1">
      <c r="A88" s="137"/>
      <c r="B88" s="168"/>
      <c r="C88" s="620"/>
      <c r="D88" s="39" t="str">
        <f>IF(D84=$Q$14,$R$12,IF(AND($M$3=$Y$3,ROUNDDOWN(D84,0)=$Q$12),$S$12,$R$12))</f>
        <v>　レベル　4</v>
      </c>
      <c r="E88" s="2352" t="s">
        <v>369</v>
      </c>
      <c r="F88" s="2361"/>
      <c r="G88" s="2361"/>
      <c r="H88" s="2361"/>
      <c r="I88" s="2361"/>
      <c r="J88" s="2361"/>
      <c r="K88" s="2361"/>
      <c r="L88" s="2361"/>
      <c r="M88" s="2362"/>
      <c r="N88" s="154"/>
      <c r="P88" s="588">
        <f>$Q$12</f>
        <v>4</v>
      </c>
      <c r="Q88" s="148"/>
      <c r="R88" s="148"/>
      <c r="S88" s="148"/>
      <c r="T88" s="148"/>
      <c r="U88" s="588">
        <f>$Q$12</f>
        <v>4</v>
      </c>
      <c r="V88" s="148"/>
      <c r="W88" s="148"/>
      <c r="X88" s="148"/>
      <c r="Y88" s="148"/>
    </row>
    <row r="89" spans="1:25" ht="24" customHeight="1">
      <c r="A89" s="137"/>
      <c r="B89" s="168"/>
      <c r="C89" s="620"/>
      <c r="D89" s="37" t="str">
        <f>IF(D84=$Q$14,$R$13,IF(AND($M$3=$Y$3,ROUNDDOWN(D84,0)=$Q$13),$S$13,$R$13))</f>
        <v>　レベル　5</v>
      </c>
      <c r="E89" s="2358" t="s">
        <v>370</v>
      </c>
      <c r="F89" s="2363"/>
      <c r="G89" s="2363"/>
      <c r="H89" s="2363"/>
      <c r="I89" s="2363"/>
      <c r="J89" s="2363"/>
      <c r="K89" s="2363"/>
      <c r="L89" s="2363"/>
      <c r="M89" s="2364"/>
      <c r="N89" s="154"/>
      <c r="P89" s="588">
        <f>$Q$13</f>
        <v>5</v>
      </c>
      <c r="Q89" s="148"/>
      <c r="R89" s="148"/>
      <c r="S89" s="148"/>
      <c r="T89" s="148"/>
      <c r="U89" s="588">
        <f>$Q$13</f>
        <v>5</v>
      </c>
      <c r="V89" s="148"/>
      <c r="W89" s="148"/>
      <c r="X89" s="148"/>
      <c r="Y89" s="148"/>
    </row>
    <row r="90" spans="1:25" s="148" customFormat="1" ht="8.25" customHeight="1">
      <c r="A90" s="55"/>
      <c r="B90" s="168"/>
      <c r="C90" s="611"/>
      <c r="D90" s="313"/>
      <c r="E90" s="313"/>
      <c r="F90" s="2"/>
      <c r="G90" s="2"/>
      <c r="H90" s="2"/>
      <c r="I90" s="2"/>
      <c r="J90" s="2"/>
      <c r="K90" s="2"/>
      <c r="L90" s="2"/>
      <c r="M90" s="2"/>
      <c r="N90" s="154"/>
      <c r="P90" s="588" t="s">
        <v>75</v>
      </c>
      <c r="Q90" s="328" t="s">
        <v>99</v>
      </c>
      <c r="R90" s="5"/>
      <c r="S90" s="5"/>
      <c r="T90" s="136"/>
    </row>
    <row r="91" spans="1:25" s="148" customFormat="1" ht="21" customHeight="1">
      <c r="A91" s="55"/>
      <c r="B91" s="168"/>
      <c r="C91" s="611"/>
      <c r="E91" s="786" t="s">
        <v>3</v>
      </c>
      <c r="F91" s="787"/>
      <c r="G91" s="1242"/>
      <c r="H91" s="1242"/>
      <c r="I91" s="1241"/>
      <c r="J91" s="1243"/>
      <c r="K91" s="1243"/>
      <c r="L91" s="1243"/>
      <c r="M91" s="1244"/>
      <c r="N91" s="154"/>
      <c r="P91" s="619"/>
      <c r="Q91" s="328"/>
      <c r="R91" s="5"/>
      <c r="S91" s="5"/>
      <c r="T91" s="136"/>
      <c r="U91" s="619"/>
      <c r="V91" s="136"/>
      <c r="W91" s="136"/>
      <c r="X91" s="136"/>
      <c r="Y91" s="136"/>
    </row>
    <row r="92" spans="1:25" ht="8.25" customHeight="1">
      <c r="A92" s="137"/>
      <c r="B92" s="168"/>
      <c r="C92" s="168"/>
      <c r="D92" s="40"/>
      <c r="E92" s="40"/>
      <c r="F92" s="40"/>
      <c r="G92" s="40"/>
      <c r="H92" s="40"/>
      <c r="I92" s="604"/>
      <c r="J92" s="604"/>
      <c r="K92" s="604"/>
      <c r="L92" s="604"/>
      <c r="M92" s="604"/>
      <c r="N92" s="168"/>
      <c r="O92" s="601"/>
      <c r="P92" s="619"/>
      <c r="Q92" s="148"/>
      <c r="R92" s="148"/>
      <c r="S92" s="148"/>
      <c r="T92" s="148"/>
      <c r="U92" s="619"/>
      <c r="V92" s="148"/>
      <c r="W92" s="148"/>
    </row>
    <row r="93" spans="1:25" ht="19.5" customHeight="1">
      <c r="A93" s="137"/>
      <c r="B93" s="1090">
        <v>2.4</v>
      </c>
      <c r="C93" s="618" t="s">
        <v>635</v>
      </c>
      <c r="D93" s="138"/>
      <c r="E93" s="32"/>
      <c r="F93" s="32"/>
      <c r="G93" s="32"/>
      <c r="H93" s="32"/>
      <c r="I93" s="604"/>
      <c r="J93" s="604"/>
      <c r="K93" s="604"/>
      <c r="L93" s="604"/>
      <c r="M93" s="604"/>
      <c r="N93" s="154"/>
      <c r="O93" s="149"/>
      <c r="P93" s="149"/>
      <c r="Q93" s="149"/>
      <c r="R93" s="308"/>
      <c r="S93" s="308"/>
      <c r="T93" s="308"/>
    </row>
    <row r="94" spans="1:25" ht="16.5" customHeight="1" thickBot="1">
      <c r="A94" s="137"/>
      <c r="B94" s="138"/>
      <c r="C94" s="138"/>
      <c r="D94" s="138"/>
      <c r="E94" s="417"/>
      <c r="F94" s="152"/>
      <c r="G94" s="138"/>
      <c r="H94" s="138"/>
      <c r="I94" s="604"/>
      <c r="J94" s="604"/>
      <c r="K94" s="604"/>
      <c r="L94" s="180" t="s">
        <v>2</v>
      </c>
      <c r="M94" s="177">
        <f>重み!M9</f>
        <v>0.45</v>
      </c>
      <c r="N94" s="154"/>
      <c r="O94" s="148" t="str">
        <f>C93</f>
        <v>災害に備える</v>
      </c>
      <c r="P94" s="148">
        <f>D93</f>
        <v>0</v>
      </c>
      <c r="Q94" s="148">
        <f t="shared" ref="Q94:Y94" si="4">E94</f>
        <v>0</v>
      </c>
      <c r="R94" s="148">
        <f t="shared" si="4"/>
        <v>0</v>
      </c>
      <c r="S94" s="148">
        <f t="shared" si="4"/>
        <v>0</v>
      </c>
      <c r="T94" s="148">
        <f t="shared" si="4"/>
        <v>0</v>
      </c>
      <c r="U94" s="148">
        <f t="shared" si="4"/>
        <v>0</v>
      </c>
      <c r="V94" s="148">
        <f t="shared" si="4"/>
        <v>0</v>
      </c>
      <c r="W94" s="148">
        <f t="shared" si="4"/>
        <v>0</v>
      </c>
      <c r="X94" s="148" t="str">
        <f t="shared" si="4"/>
        <v>重み係数＝</v>
      </c>
      <c r="Y94" s="148">
        <f t="shared" si="4"/>
        <v>0.45</v>
      </c>
    </row>
    <row r="95" spans="1:25" ht="16.5" customHeight="1" thickBot="1">
      <c r="A95" s="137"/>
      <c r="B95" s="168"/>
      <c r="C95" s="621"/>
      <c r="D95" s="1079">
        <f>IF(AND(E106=U4,OR(COUNTIF(E102:E104,U4)&gt;=2,E105=U4)),5,IF(OR(COUNTIF(E102:E104,U4)&gt;=2,E105=U4),4,3))</f>
        <v>3</v>
      </c>
      <c r="E95" s="2349" t="s">
        <v>467</v>
      </c>
      <c r="F95" s="2350"/>
      <c r="G95" s="2350"/>
      <c r="H95" s="2350"/>
      <c r="I95" s="2350"/>
      <c r="J95" s="2350"/>
      <c r="K95" s="2350"/>
      <c r="L95" s="2350"/>
      <c r="M95" s="2351"/>
      <c r="N95" s="154"/>
      <c r="P95" s="148"/>
      <c r="R95" s="148"/>
      <c r="S95" s="148"/>
      <c r="T95" s="148"/>
      <c r="U95" s="148"/>
      <c r="V95" s="148"/>
      <c r="W95" s="148"/>
      <c r="X95" s="148"/>
      <c r="Y95" s="148"/>
    </row>
    <row r="96" spans="1:25" ht="16.5" customHeight="1">
      <c r="A96" s="137"/>
      <c r="B96" s="168"/>
      <c r="C96" s="611"/>
      <c r="D96" s="36" t="str">
        <f>IF(D95=$Q$14,$R$9,IF(ROUNDDOWN(D95,0)=$Q$9,$S$9,$R$9))</f>
        <v>　レベル　1</v>
      </c>
      <c r="E96" s="526" t="s">
        <v>459</v>
      </c>
      <c r="F96" s="53"/>
      <c r="G96" s="53"/>
      <c r="H96" s="53"/>
      <c r="I96" s="53"/>
      <c r="J96" s="53"/>
      <c r="K96" s="53"/>
      <c r="L96" s="973"/>
      <c r="M96" s="974"/>
      <c r="N96" s="154"/>
      <c r="P96" s="588">
        <f>$Q$9</f>
        <v>1</v>
      </c>
      <c r="R96" s="148"/>
      <c r="S96" s="148"/>
      <c r="T96" s="148"/>
      <c r="U96" s="588">
        <f>$Q$9</f>
        <v>1</v>
      </c>
      <c r="V96" s="148"/>
      <c r="W96" s="148"/>
      <c r="X96" s="148"/>
      <c r="Y96" s="148"/>
    </row>
    <row r="97" spans="1:26" ht="16.5" customHeight="1">
      <c r="A97" s="137"/>
      <c r="B97" s="168"/>
      <c r="C97" s="611"/>
      <c r="D97" s="39" t="str">
        <f>IF(D95=$Q$14,$R$10,IF(ROUNDDOWN(D95,0)=$Q$10,$S$10,$R$10))</f>
        <v>　レベル　2</v>
      </c>
      <c r="E97" s="527" t="s">
        <v>459</v>
      </c>
      <c r="F97" s="607"/>
      <c r="G97" s="607"/>
      <c r="H97" s="607"/>
      <c r="I97" s="607"/>
      <c r="J97" s="607"/>
      <c r="K97" s="607"/>
      <c r="L97" s="969"/>
      <c r="M97" s="970"/>
      <c r="N97" s="154"/>
      <c r="P97" s="588">
        <f>$Q$10</f>
        <v>2</v>
      </c>
      <c r="R97" s="148"/>
      <c r="S97" s="148"/>
      <c r="T97" s="148"/>
      <c r="U97" s="588">
        <f>$Q$10</f>
        <v>2</v>
      </c>
      <c r="V97" s="148"/>
      <c r="W97" s="148"/>
      <c r="X97" s="148"/>
      <c r="Y97" s="148"/>
      <c r="Z97" s="148"/>
    </row>
    <row r="98" spans="1:26" ht="16.5" customHeight="1">
      <c r="A98" s="137"/>
      <c r="B98" s="168"/>
      <c r="C98" s="611"/>
      <c r="D98" s="39" t="str">
        <f>IF(D95=$Q$14,$R$11,IF(ROUNDDOWN(D95,0)=$Q$11,$S$11,$R$11))</f>
        <v>■レベル　3</v>
      </c>
      <c r="E98" s="527" t="s">
        <v>638</v>
      </c>
      <c r="F98" s="586"/>
      <c r="G98" s="586"/>
      <c r="H98" s="586"/>
      <c r="I98" s="586"/>
      <c r="J98" s="586"/>
      <c r="K98" s="586"/>
      <c r="L98" s="969"/>
      <c r="M98" s="970"/>
      <c r="N98" s="154"/>
      <c r="P98" s="588">
        <f>$Q$11</f>
        <v>3</v>
      </c>
      <c r="R98" s="148"/>
      <c r="S98" s="148"/>
      <c r="T98" s="148"/>
      <c r="U98" s="588">
        <f>$Q$11</f>
        <v>3</v>
      </c>
      <c r="V98" s="148"/>
      <c r="W98" s="148"/>
      <c r="X98" s="148"/>
      <c r="Y98" s="148"/>
      <c r="Z98" s="148"/>
    </row>
    <row r="99" spans="1:26" ht="16.5" customHeight="1">
      <c r="A99" s="137"/>
      <c r="B99" s="168"/>
      <c r="C99" s="611"/>
      <c r="D99" s="39" t="str">
        <f>IF(D95=$Q$14,$R$12,IF(ROUNDDOWN(D95,0)=$Q$12,$S$12,$R$12))</f>
        <v>　レベル　4</v>
      </c>
      <c r="E99" s="539" t="s">
        <v>636</v>
      </c>
      <c r="F99" s="589"/>
      <c r="G99" s="589"/>
      <c r="H99" s="589"/>
      <c r="I99" s="589"/>
      <c r="J99" s="589"/>
      <c r="K99" s="589"/>
      <c r="L99" s="969"/>
      <c r="M99" s="970"/>
      <c r="N99" s="154"/>
      <c r="P99" s="588" t="s">
        <v>902</v>
      </c>
      <c r="R99" s="148"/>
      <c r="S99" s="148"/>
      <c r="T99" s="148"/>
      <c r="U99" s="588">
        <f>$Q$12</f>
        <v>4</v>
      </c>
      <c r="V99" s="148"/>
      <c r="W99" s="148"/>
      <c r="X99" s="148"/>
      <c r="Y99" s="148"/>
      <c r="Z99" s="148"/>
    </row>
    <row r="100" spans="1:26" ht="16.5" customHeight="1">
      <c r="A100" s="137"/>
      <c r="B100" s="168"/>
      <c r="C100" s="611"/>
      <c r="D100" s="37" t="str">
        <f>IF(D95=$Q$14,$R$13,IF(ROUNDDOWN(D95,0)=$Q$13,$S$13,$R$13))</f>
        <v>　レベル　5</v>
      </c>
      <c r="E100" s="565" t="s">
        <v>637</v>
      </c>
      <c r="F100" s="591"/>
      <c r="G100" s="591"/>
      <c r="H100" s="591"/>
      <c r="I100" s="591"/>
      <c r="J100" s="591"/>
      <c r="K100" s="591"/>
      <c r="L100" s="971"/>
      <c r="M100" s="972"/>
      <c r="N100" s="154"/>
      <c r="P100" s="588" t="s">
        <v>902</v>
      </c>
      <c r="R100" s="148"/>
      <c r="S100" s="148"/>
      <c r="T100" s="148"/>
      <c r="U100" s="588">
        <f>$Q$13</f>
        <v>5</v>
      </c>
      <c r="V100" s="148"/>
      <c r="W100" s="148"/>
      <c r="X100" s="148"/>
      <c r="Y100" s="148"/>
      <c r="Z100" s="148"/>
    </row>
    <row r="101" spans="1:26" ht="16.5" customHeight="1" thickBot="1">
      <c r="A101" s="137"/>
      <c r="B101" s="168"/>
      <c r="C101" s="611"/>
      <c r="D101" s="613"/>
      <c r="E101" s="1682" t="s">
        <v>475</v>
      </c>
      <c r="F101" s="419"/>
      <c r="G101" s="419"/>
      <c r="H101" s="419"/>
      <c r="I101" s="604"/>
      <c r="J101" s="604"/>
      <c r="K101" s="604"/>
      <c r="L101" s="604"/>
      <c r="M101" s="604"/>
      <c r="N101" s="154"/>
      <c r="P101" s="588" t="s">
        <v>902</v>
      </c>
      <c r="R101" s="148"/>
      <c r="S101" s="148"/>
      <c r="T101" s="148"/>
      <c r="U101" s="588" t="str">
        <f>$Q$14</f>
        <v>対象外</v>
      </c>
      <c r="V101" s="148"/>
      <c r="W101" s="148"/>
      <c r="X101" s="148"/>
      <c r="Y101" s="148"/>
      <c r="Z101" s="148"/>
    </row>
    <row r="102" spans="1:26" ht="16.5" thickBot="1">
      <c r="A102" s="137"/>
      <c r="B102" s="168"/>
      <c r="C102" s="611"/>
      <c r="D102" s="613"/>
      <c r="E102" s="799"/>
      <c r="F102" s="516">
        <v>1</v>
      </c>
      <c r="G102" s="599" t="s">
        <v>640</v>
      </c>
      <c r="H102" s="818"/>
      <c r="I102" s="818"/>
      <c r="J102" s="818"/>
      <c r="K102" s="818"/>
      <c r="L102" s="818"/>
      <c r="M102" s="819"/>
      <c r="N102" s="154"/>
      <c r="P102" s="619"/>
      <c r="R102" s="148"/>
      <c r="S102" s="148"/>
      <c r="T102" s="148"/>
      <c r="U102" s="619"/>
      <c r="V102" s="148"/>
      <c r="W102" s="148"/>
      <c r="X102" s="148"/>
      <c r="Y102" s="148"/>
      <c r="Z102" s="148"/>
    </row>
    <row r="103" spans="1:26" ht="16.5" thickBot="1">
      <c r="A103" s="137"/>
      <c r="B103" s="168"/>
      <c r="C103" s="611"/>
      <c r="D103" s="613"/>
      <c r="E103" s="799" t="s">
        <v>763</v>
      </c>
      <c r="F103" s="802" t="s">
        <v>639</v>
      </c>
      <c r="G103" s="527" t="s">
        <v>641</v>
      </c>
      <c r="H103" s="517"/>
      <c r="I103" s="517"/>
      <c r="J103" s="517"/>
      <c r="K103" s="517"/>
      <c r="L103" s="517"/>
      <c r="M103" s="518"/>
      <c r="N103" s="154"/>
      <c r="P103" s="619"/>
      <c r="R103" s="148"/>
      <c r="S103" s="148"/>
      <c r="T103" s="148"/>
      <c r="U103" s="619"/>
      <c r="V103" s="148"/>
      <c r="W103" s="148"/>
      <c r="X103" s="148"/>
      <c r="Y103" s="148"/>
      <c r="Z103" s="148"/>
    </row>
    <row r="104" spans="1:26" ht="16.5" thickBot="1">
      <c r="A104" s="137"/>
      <c r="B104" s="168"/>
      <c r="C104" s="611"/>
      <c r="D104" s="613"/>
      <c r="E104" s="799"/>
      <c r="F104" s="802" t="s">
        <v>645</v>
      </c>
      <c r="G104" s="527" t="s">
        <v>644</v>
      </c>
      <c r="H104" s="517"/>
      <c r="I104" s="517"/>
      <c r="J104" s="517"/>
      <c r="K104" s="517"/>
      <c r="L104" s="517"/>
      <c r="M104" s="518"/>
      <c r="N104" s="154"/>
      <c r="P104" s="619"/>
      <c r="R104" s="148"/>
      <c r="S104" s="148"/>
      <c r="T104" s="148"/>
      <c r="U104" s="619"/>
      <c r="V104" s="148"/>
      <c r="W104" s="148"/>
      <c r="X104" s="148"/>
      <c r="Y104" s="148"/>
      <c r="Z104" s="148"/>
    </row>
    <row r="105" spans="1:26" ht="16.5" thickBot="1">
      <c r="A105" s="137"/>
      <c r="B105" s="168"/>
      <c r="C105" s="611"/>
      <c r="D105" s="613"/>
      <c r="E105" s="799"/>
      <c r="F105" s="802"/>
      <c r="G105" s="1680" t="s">
        <v>646</v>
      </c>
      <c r="H105" s="1678"/>
      <c r="I105" s="1678"/>
      <c r="J105" s="1678"/>
      <c r="K105" s="1678"/>
      <c r="L105" s="1678"/>
      <c r="M105" s="1679"/>
      <c r="N105" s="154"/>
      <c r="P105" s="619"/>
      <c r="R105" s="148"/>
      <c r="S105" s="148"/>
      <c r="T105" s="148"/>
      <c r="U105" s="619"/>
      <c r="V105" s="148"/>
      <c r="W105" s="148"/>
      <c r="X105" s="148"/>
      <c r="Y105" s="148"/>
      <c r="Z105" s="148"/>
    </row>
    <row r="106" spans="1:26" ht="42" customHeight="1" thickBot="1">
      <c r="A106" s="137"/>
      <c r="B106" s="168"/>
      <c r="C106" s="611"/>
      <c r="D106" s="613"/>
      <c r="E106" s="799"/>
      <c r="F106" s="1681" t="s">
        <v>642</v>
      </c>
      <c r="G106" s="2358" t="s">
        <v>643</v>
      </c>
      <c r="H106" s="2359"/>
      <c r="I106" s="2359"/>
      <c r="J106" s="2359"/>
      <c r="K106" s="2359"/>
      <c r="L106" s="2359"/>
      <c r="M106" s="2360"/>
      <c r="N106" s="154"/>
      <c r="P106" s="619"/>
      <c r="R106" s="148"/>
      <c r="S106" s="148"/>
      <c r="T106" s="148"/>
      <c r="U106" s="619"/>
      <c r="V106" s="148"/>
      <c r="W106" s="148"/>
      <c r="X106" s="148"/>
      <c r="Y106" s="148"/>
      <c r="Z106" s="148"/>
    </row>
    <row r="107" spans="1:26" s="148" customFormat="1" ht="8.25" customHeight="1">
      <c r="A107" s="55"/>
      <c r="B107" s="168"/>
      <c r="C107" s="611"/>
      <c r="D107" s="313"/>
      <c r="E107" s="313"/>
      <c r="F107" s="2"/>
      <c r="G107" s="2"/>
      <c r="H107" s="2"/>
      <c r="I107" s="2"/>
      <c r="J107" s="2"/>
      <c r="K107" s="2"/>
      <c r="L107" s="2"/>
      <c r="M107" s="2"/>
      <c r="N107" s="154"/>
      <c r="P107" s="588" t="s">
        <v>902</v>
      </c>
      <c r="Q107" s="328" t="s">
        <v>99</v>
      </c>
      <c r="R107" s="5"/>
      <c r="S107" s="5"/>
      <c r="T107" s="136"/>
    </row>
    <row r="108" spans="1:26" s="148" customFormat="1" ht="21" customHeight="1">
      <c r="A108" s="55"/>
      <c r="B108" s="168"/>
      <c r="C108" s="611"/>
      <c r="E108" s="786" t="s">
        <v>3</v>
      </c>
      <c r="F108" s="787"/>
      <c r="G108" s="1242"/>
      <c r="H108" s="1242"/>
      <c r="I108" s="1241"/>
      <c r="J108" s="1243"/>
      <c r="K108" s="1243"/>
      <c r="L108" s="1243"/>
      <c r="M108" s="1244"/>
      <c r="N108" s="154"/>
      <c r="P108" s="619"/>
      <c r="Q108" s="328"/>
      <c r="R108" s="5"/>
      <c r="S108" s="5"/>
      <c r="T108" s="136"/>
      <c r="U108" s="619"/>
      <c r="V108" s="136"/>
      <c r="W108" s="136"/>
      <c r="X108" s="136"/>
      <c r="Y108" s="136"/>
    </row>
    <row r="109" spans="1:26" ht="9" customHeight="1">
      <c r="A109" s="137"/>
      <c r="B109" s="168"/>
      <c r="C109" s="611"/>
      <c r="D109" s="613"/>
      <c r="E109" s="419"/>
      <c r="F109" s="419"/>
      <c r="G109" s="419"/>
      <c r="H109" s="419"/>
      <c r="I109" s="604"/>
      <c r="J109" s="604"/>
      <c r="K109" s="604"/>
      <c r="L109" s="604"/>
      <c r="M109" s="604"/>
      <c r="N109" s="154"/>
      <c r="P109" s="619"/>
      <c r="R109" s="148"/>
      <c r="S109" s="148"/>
      <c r="T109" s="148"/>
      <c r="U109" s="619"/>
      <c r="V109" s="148"/>
      <c r="W109" s="148"/>
      <c r="X109" s="148"/>
      <c r="Y109" s="148"/>
      <c r="Z109" s="148"/>
    </row>
    <row r="110" spans="1:26" ht="19.5" customHeight="1">
      <c r="A110" s="137"/>
      <c r="B110" s="1090">
        <v>3</v>
      </c>
      <c r="C110" s="151" t="s">
        <v>563</v>
      </c>
      <c r="D110" s="151"/>
      <c r="E110" s="32"/>
      <c r="F110" s="32"/>
      <c r="G110" s="32"/>
      <c r="H110" s="32"/>
      <c r="I110" s="604"/>
      <c r="J110" s="604"/>
      <c r="K110" s="604"/>
      <c r="L110" s="604"/>
      <c r="M110" s="604"/>
      <c r="N110" s="154"/>
      <c r="O110" s="149"/>
      <c r="P110" s="149"/>
      <c r="Q110" s="149"/>
      <c r="R110" s="308"/>
      <c r="S110" s="308"/>
      <c r="T110" s="308"/>
    </row>
    <row r="111" spans="1:26" ht="19.5" customHeight="1" thickBot="1">
      <c r="A111" s="137"/>
      <c r="B111" s="1090">
        <v>3.1</v>
      </c>
      <c r="C111" s="618" t="s">
        <v>371</v>
      </c>
      <c r="D111" s="138"/>
      <c r="E111" s="32"/>
      <c r="F111" s="32"/>
      <c r="G111" s="32"/>
      <c r="H111" s="32"/>
      <c r="I111" s="604"/>
      <c r="J111" s="604"/>
      <c r="K111" s="604"/>
      <c r="L111" s="604"/>
      <c r="M111" s="604"/>
      <c r="N111" s="154"/>
      <c r="O111" s="149"/>
      <c r="P111" s="149"/>
      <c r="Q111" s="149"/>
      <c r="R111" s="308"/>
      <c r="S111" s="308"/>
      <c r="T111" s="308"/>
    </row>
    <row r="112" spans="1:26" ht="16.5" customHeight="1" thickBot="1">
      <c r="A112" s="137"/>
      <c r="B112" s="138"/>
      <c r="C112" s="138"/>
      <c r="D112" s="1079">
        <f>IF(D113+L122&lt;=5,D113+L122,5)</f>
        <v>3</v>
      </c>
      <c r="E112" s="417"/>
      <c r="F112" s="152"/>
      <c r="G112" s="138"/>
      <c r="H112" s="138"/>
      <c r="I112" s="604"/>
      <c r="J112" s="604"/>
      <c r="K112" s="604"/>
      <c r="L112" s="180" t="s">
        <v>2</v>
      </c>
      <c r="M112" s="177">
        <f>重み!M26</f>
        <v>1</v>
      </c>
      <c r="N112" s="154"/>
      <c r="O112" s="148" t="str">
        <f>C111</f>
        <v>昼光の利用</v>
      </c>
      <c r="P112" s="148">
        <f>D111</f>
        <v>0</v>
      </c>
      <c r="Q112" s="148">
        <f t="shared" ref="Q112:Y112" si="5">E112</f>
        <v>0</v>
      </c>
      <c r="R112" s="148">
        <f t="shared" si="5"/>
        <v>0</v>
      </c>
      <c r="S112" s="148">
        <f t="shared" si="5"/>
        <v>0</v>
      </c>
      <c r="T112" s="148">
        <f t="shared" si="5"/>
        <v>0</v>
      </c>
      <c r="U112" s="148">
        <f t="shared" si="5"/>
        <v>0</v>
      </c>
      <c r="V112" s="148">
        <f t="shared" si="5"/>
        <v>0</v>
      </c>
      <c r="W112" s="148">
        <f t="shared" si="5"/>
        <v>0</v>
      </c>
      <c r="X112" s="148" t="str">
        <f t="shared" si="5"/>
        <v>重み係数＝</v>
      </c>
      <c r="Y112" s="148">
        <f t="shared" si="5"/>
        <v>1</v>
      </c>
    </row>
    <row r="113" spans="1:26" ht="16.5" customHeight="1" thickBot="1">
      <c r="A113" s="137"/>
      <c r="B113" s="168"/>
      <c r="C113" s="621"/>
      <c r="D113" s="1077">
        <v>3</v>
      </c>
      <c r="E113" s="2349" t="s">
        <v>467</v>
      </c>
      <c r="F113" s="2350"/>
      <c r="G113" s="2350"/>
      <c r="H113" s="2350"/>
      <c r="I113" s="2350"/>
      <c r="J113" s="2350"/>
      <c r="K113" s="2350"/>
      <c r="L113" s="2350"/>
      <c r="M113" s="2351"/>
      <c r="N113" s="154"/>
      <c r="P113" s="148"/>
      <c r="R113" s="148"/>
      <c r="S113" s="148"/>
      <c r="T113" s="148"/>
      <c r="U113" s="148"/>
      <c r="V113" s="148"/>
      <c r="W113" s="148"/>
      <c r="X113" s="148"/>
      <c r="Y113" s="148"/>
    </row>
    <row r="114" spans="1:26" ht="16.5" customHeight="1">
      <c r="A114" s="137"/>
      <c r="B114" s="168"/>
      <c r="C114" s="611"/>
      <c r="D114" s="36" t="str">
        <f>IF(D113=$Q$14,$R$9,IF(ROUNDDOWN(D113,0)=$Q$9,$S$9,$R$9))</f>
        <v>　レベル　1</v>
      </c>
      <c r="E114" s="527" t="s">
        <v>372</v>
      </c>
      <c r="F114" s="53"/>
      <c r="G114" s="53"/>
      <c r="H114" s="53"/>
      <c r="I114" s="53"/>
      <c r="J114" s="53"/>
      <c r="K114" s="53"/>
      <c r="L114" s="973"/>
      <c r="M114" s="974"/>
      <c r="N114" s="154"/>
      <c r="P114" s="588">
        <f>$Q$9</f>
        <v>1</v>
      </c>
      <c r="R114" s="148"/>
      <c r="S114" s="148"/>
      <c r="T114" s="148"/>
      <c r="U114" s="588">
        <f>$Q$9</f>
        <v>1</v>
      </c>
      <c r="V114" s="148"/>
      <c r="W114" s="148"/>
      <c r="X114" s="148"/>
      <c r="Y114" s="148"/>
    </row>
    <row r="115" spans="1:26" ht="16.5" customHeight="1">
      <c r="A115" s="137"/>
      <c r="B115" s="168"/>
      <c r="C115" s="611"/>
      <c r="D115" s="39" t="str">
        <f>IF(D113=$Q$14,$R$10,IF(ROUNDDOWN(D113,0)=$Q$10,$S$10,$R$10))</f>
        <v>　レベル　2</v>
      </c>
      <c r="E115" s="527" t="s">
        <v>373</v>
      </c>
      <c r="F115" s="607"/>
      <c r="G115" s="607"/>
      <c r="H115" s="607"/>
      <c r="I115" s="607"/>
      <c r="J115" s="607"/>
      <c r="K115" s="607"/>
      <c r="L115" s="969"/>
      <c r="M115" s="970"/>
      <c r="N115" s="154"/>
      <c r="P115" s="588">
        <f>$Q$10</f>
        <v>2</v>
      </c>
      <c r="R115" s="148"/>
      <c r="S115" s="148"/>
      <c r="T115" s="148"/>
      <c r="U115" s="588">
        <f>$Q$10</f>
        <v>2</v>
      </c>
      <c r="V115" s="148"/>
      <c r="W115" s="148"/>
      <c r="X115" s="148"/>
      <c r="Y115" s="148"/>
      <c r="Z115" s="148"/>
    </row>
    <row r="116" spans="1:26" ht="16.5" customHeight="1">
      <c r="A116" s="137"/>
      <c r="B116" s="168"/>
      <c r="C116" s="611"/>
      <c r="D116" s="39" t="str">
        <f>IF(D113=$Q$14,$R$11,IF(ROUNDDOWN(D113,0)=$Q$11,$S$11,$R$11))</f>
        <v>■レベル　3</v>
      </c>
      <c r="E116" s="527" t="s">
        <v>374</v>
      </c>
      <c r="F116" s="586"/>
      <c r="G116" s="586"/>
      <c r="H116" s="586"/>
      <c r="I116" s="586"/>
      <c r="J116" s="586"/>
      <c r="K116" s="586"/>
      <c r="L116" s="969"/>
      <c r="M116" s="970"/>
      <c r="N116" s="154"/>
      <c r="P116" s="588">
        <f>$Q$11</f>
        <v>3</v>
      </c>
      <c r="R116" s="148"/>
      <c r="S116" s="148"/>
      <c r="T116" s="148"/>
      <c r="U116" s="588">
        <f>$Q$11</f>
        <v>3</v>
      </c>
      <c r="V116" s="148"/>
      <c r="W116" s="148"/>
      <c r="X116" s="148"/>
      <c r="Y116" s="148"/>
      <c r="Z116" s="148"/>
    </row>
    <row r="117" spans="1:26" ht="16.5" customHeight="1">
      <c r="A117" s="137"/>
      <c r="B117" s="168"/>
      <c r="C117" s="611"/>
      <c r="D117" s="39" t="str">
        <f>IF(D113=$Q$14,$R$12,IF(ROUNDDOWN(D113,0)=$Q$12,$S$12,$R$12))</f>
        <v>　レベル　4</v>
      </c>
      <c r="E117" s="539" t="s">
        <v>269</v>
      </c>
      <c r="F117" s="589"/>
      <c r="G117" s="589"/>
      <c r="H117" s="589"/>
      <c r="I117" s="589"/>
      <c r="J117" s="589"/>
      <c r="K117" s="589"/>
      <c r="L117" s="969"/>
      <c r="M117" s="970"/>
      <c r="N117" s="154"/>
      <c r="P117" s="588" t="s">
        <v>451</v>
      </c>
      <c r="R117" s="148"/>
      <c r="S117" s="148"/>
      <c r="T117" s="148"/>
      <c r="U117" s="588">
        <f>$Q$12</f>
        <v>4</v>
      </c>
      <c r="V117" s="148"/>
      <c r="W117" s="148"/>
      <c r="X117" s="148"/>
      <c r="Y117" s="148"/>
      <c r="Z117" s="148"/>
    </row>
    <row r="118" spans="1:26" ht="16.5" customHeight="1">
      <c r="A118" s="137"/>
      <c r="B118" s="168"/>
      <c r="C118" s="611"/>
      <c r="D118" s="37" t="str">
        <f>IF(D113=$Q$14,$R$13,IF(ROUNDDOWN(D113,0)=$Q$13,$S$13,$R$13))</f>
        <v>　レベル　5</v>
      </c>
      <c r="E118" s="565" t="s">
        <v>270</v>
      </c>
      <c r="F118" s="591"/>
      <c r="G118" s="591"/>
      <c r="H118" s="591"/>
      <c r="I118" s="591"/>
      <c r="J118" s="591"/>
      <c r="K118" s="591"/>
      <c r="L118" s="971"/>
      <c r="M118" s="972"/>
      <c r="N118" s="154"/>
      <c r="P118" s="588" t="s">
        <v>451</v>
      </c>
      <c r="R118" s="148"/>
      <c r="S118" s="148"/>
      <c r="T118" s="148"/>
      <c r="U118" s="588">
        <f>$Q$13</f>
        <v>5</v>
      </c>
      <c r="V118" s="148"/>
      <c r="W118" s="148"/>
      <c r="X118" s="148"/>
      <c r="Y118" s="148"/>
      <c r="Z118" s="148"/>
    </row>
    <row r="119" spans="1:26" ht="16.5" customHeight="1" thickBot="1">
      <c r="A119" s="137"/>
      <c r="B119" s="168"/>
      <c r="C119" s="611"/>
      <c r="D119" s="613"/>
      <c r="E119" s="1087" t="s">
        <v>425</v>
      </c>
      <c r="F119" s="419"/>
      <c r="G119" s="419"/>
      <c r="H119" s="419"/>
      <c r="I119" s="604"/>
      <c r="J119" s="604"/>
      <c r="K119" s="604"/>
      <c r="L119" s="604"/>
      <c r="M119" s="604"/>
      <c r="N119" s="154"/>
      <c r="P119" s="588" t="s">
        <v>75</v>
      </c>
      <c r="R119" s="148"/>
      <c r="S119" s="148"/>
      <c r="T119" s="148"/>
      <c r="U119" s="588" t="str">
        <f>$Q$14</f>
        <v>対象外</v>
      </c>
      <c r="V119" s="148"/>
      <c r="W119" s="148"/>
      <c r="X119" s="148"/>
      <c r="Y119" s="148"/>
      <c r="Z119" s="148"/>
    </row>
    <row r="120" spans="1:26" ht="24" customHeight="1" thickBot="1">
      <c r="A120" s="137"/>
      <c r="B120" s="168"/>
      <c r="C120" s="611"/>
      <c r="D120" s="613"/>
      <c r="E120" s="799"/>
      <c r="F120" s="516">
        <v>1</v>
      </c>
      <c r="G120" s="2355" t="s">
        <v>457</v>
      </c>
      <c r="H120" s="2356"/>
      <c r="I120" s="2356"/>
      <c r="J120" s="2356"/>
      <c r="K120" s="2356"/>
      <c r="L120" s="2356"/>
      <c r="M120" s="2357"/>
      <c r="N120" s="154"/>
      <c r="P120" s="619"/>
      <c r="R120" s="148"/>
      <c r="S120" s="148"/>
      <c r="T120" s="148"/>
      <c r="U120" s="619"/>
      <c r="V120" s="148"/>
      <c r="W120" s="148"/>
      <c r="X120" s="148"/>
      <c r="Y120" s="148"/>
      <c r="Z120" s="148"/>
    </row>
    <row r="121" spans="1:26" ht="24" customHeight="1" thickBot="1">
      <c r="A121" s="137"/>
      <c r="B121" s="168"/>
      <c r="C121" s="611"/>
      <c r="D121" s="613"/>
      <c r="E121" s="799"/>
      <c r="F121" s="800">
        <v>2</v>
      </c>
      <c r="G121" s="2358" t="s">
        <v>458</v>
      </c>
      <c r="H121" s="2359"/>
      <c r="I121" s="2359"/>
      <c r="J121" s="2359"/>
      <c r="K121" s="2359"/>
      <c r="L121" s="2359"/>
      <c r="M121" s="2360"/>
      <c r="N121" s="154"/>
      <c r="P121" s="619"/>
      <c r="R121" s="148"/>
      <c r="S121" s="148"/>
      <c r="T121" s="148"/>
      <c r="U121" s="619"/>
      <c r="V121" s="148"/>
      <c r="W121" s="148"/>
      <c r="X121" s="148"/>
      <c r="Y121" s="148"/>
      <c r="Z121" s="148"/>
    </row>
    <row r="122" spans="1:26" ht="16.5" customHeight="1">
      <c r="A122" s="137"/>
      <c r="B122" s="168"/>
      <c r="C122" s="611"/>
      <c r="D122" s="613"/>
      <c r="E122" s="811"/>
      <c r="F122" s="532"/>
      <c r="G122" s="532"/>
      <c r="H122" s="532"/>
      <c r="I122" s="532"/>
      <c r="J122" s="532"/>
      <c r="K122" s="532" t="s">
        <v>449</v>
      </c>
      <c r="L122" s="1086">
        <f>IF(COUNTIF(E120:E121,U4)&gt;1,2,IF(COUNTIF(E120:E121,U4)&gt;0,1,0))</f>
        <v>0</v>
      </c>
      <c r="M122" s="531" t="s">
        <v>450</v>
      </c>
      <c r="N122" s="154"/>
      <c r="P122" s="619"/>
      <c r="R122" s="148"/>
      <c r="S122" s="148"/>
      <c r="T122" s="148"/>
      <c r="U122" s="619"/>
      <c r="V122" s="148"/>
      <c r="W122" s="148"/>
      <c r="X122" s="148"/>
      <c r="Y122" s="148"/>
      <c r="Z122" s="148"/>
    </row>
    <row r="123" spans="1:26" s="148" customFormat="1" ht="8.25" customHeight="1">
      <c r="A123" s="55"/>
      <c r="B123" s="168"/>
      <c r="C123" s="611"/>
      <c r="D123" s="313"/>
      <c r="E123" s="313"/>
      <c r="F123" s="2"/>
      <c r="G123" s="2"/>
      <c r="H123" s="2"/>
      <c r="I123" s="2"/>
      <c r="J123" s="2"/>
      <c r="K123" s="2"/>
      <c r="L123" s="2"/>
      <c r="M123" s="2"/>
      <c r="N123" s="154"/>
      <c r="P123" s="588" t="s">
        <v>75</v>
      </c>
      <c r="Q123" s="328" t="s">
        <v>99</v>
      </c>
      <c r="R123" s="5"/>
      <c r="S123" s="5"/>
      <c r="T123" s="136"/>
    </row>
    <row r="124" spans="1:26" s="148" customFormat="1" ht="21" customHeight="1">
      <c r="A124" s="55"/>
      <c r="B124" s="168"/>
      <c r="C124" s="611"/>
      <c r="E124" s="786" t="s">
        <v>3</v>
      </c>
      <c r="F124" s="787"/>
      <c r="G124" s="1242"/>
      <c r="H124" s="1242"/>
      <c r="I124" s="1241"/>
      <c r="J124" s="1243"/>
      <c r="K124" s="1243"/>
      <c r="L124" s="1243"/>
      <c r="M124" s="1244"/>
      <c r="N124" s="154"/>
      <c r="P124" s="619"/>
      <c r="Q124" s="328"/>
      <c r="R124" s="5"/>
      <c r="S124" s="5"/>
      <c r="T124" s="136"/>
      <c r="U124" s="619"/>
      <c r="V124" s="136"/>
      <c r="W124" s="136"/>
      <c r="X124" s="136"/>
      <c r="Y124" s="136"/>
    </row>
    <row r="125" spans="1:26" ht="9" customHeight="1">
      <c r="A125" s="137"/>
      <c r="B125" s="168"/>
      <c r="C125" s="611"/>
      <c r="D125" s="613"/>
      <c r="E125" s="419"/>
      <c r="F125" s="419"/>
      <c r="G125" s="419"/>
      <c r="H125" s="419"/>
      <c r="I125" s="604"/>
      <c r="J125" s="604"/>
      <c r="K125" s="604"/>
      <c r="L125" s="604"/>
      <c r="M125" s="604"/>
      <c r="N125" s="154"/>
      <c r="P125" s="619"/>
      <c r="R125" s="148"/>
      <c r="S125" s="148"/>
      <c r="T125" s="148"/>
      <c r="U125" s="619"/>
      <c r="V125" s="148"/>
      <c r="W125" s="148"/>
      <c r="X125" s="148"/>
      <c r="Y125" s="148"/>
      <c r="Z125" s="148"/>
    </row>
    <row r="126" spans="1:26" ht="19.5" customHeight="1">
      <c r="A126" s="137"/>
      <c r="B126" s="1090">
        <v>4</v>
      </c>
      <c r="C126" s="151" t="s">
        <v>565</v>
      </c>
      <c r="D126" s="151"/>
      <c r="E126" s="32"/>
      <c r="F126" s="32"/>
      <c r="G126" s="32"/>
      <c r="H126" s="32"/>
      <c r="I126" s="604"/>
      <c r="J126" s="604"/>
      <c r="K126" s="604"/>
      <c r="L126" s="604"/>
      <c r="M126" s="604"/>
      <c r="N126" s="154"/>
      <c r="O126" s="149"/>
      <c r="P126" s="149"/>
      <c r="Q126" s="149"/>
      <c r="R126" s="308"/>
      <c r="S126" s="308"/>
      <c r="T126" s="308"/>
    </row>
    <row r="127" spans="1:26" ht="16.5" customHeight="1" thickBot="1">
      <c r="A127" s="137"/>
      <c r="B127" s="168"/>
      <c r="C127" s="611"/>
      <c r="D127" s="491"/>
      <c r="E127" s="417"/>
      <c r="F127" s="152"/>
      <c r="G127" s="138"/>
      <c r="H127" s="138"/>
      <c r="I127" s="604"/>
      <c r="J127" s="604"/>
      <c r="K127" s="604"/>
      <c r="L127" s="180" t="s">
        <v>2</v>
      </c>
      <c r="M127" s="177">
        <f>重み!M28</f>
        <v>0.1</v>
      </c>
      <c r="N127" s="154"/>
      <c r="O127" s="148">
        <f t="shared" ref="O127:Y127" si="6">C127</f>
        <v>0</v>
      </c>
      <c r="P127" s="148">
        <f t="shared" si="6"/>
        <v>0</v>
      </c>
      <c r="Q127" s="148">
        <f t="shared" si="6"/>
        <v>0</v>
      </c>
      <c r="R127" s="148">
        <f t="shared" si="6"/>
        <v>0</v>
      </c>
      <c r="S127" s="148">
        <f t="shared" si="6"/>
        <v>0</v>
      </c>
      <c r="T127" s="148">
        <f t="shared" si="6"/>
        <v>0</v>
      </c>
      <c r="U127" s="148">
        <f t="shared" si="6"/>
        <v>0</v>
      </c>
      <c r="V127" s="148">
        <f t="shared" si="6"/>
        <v>0</v>
      </c>
      <c r="W127" s="148">
        <f t="shared" si="6"/>
        <v>0</v>
      </c>
      <c r="X127" s="148" t="str">
        <f t="shared" si="6"/>
        <v>重み係数＝</v>
      </c>
      <c r="Y127" s="148">
        <f t="shared" si="6"/>
        <v>0.1</v>
      </c>
    </row>
    <row r="128" spans="1:26" ht="16.5" customHeight="1" thickBot="1">
      <c r="A128" s="137"/>
      <c r="B128" s="168"/>
      <c r="C128" s="616"/>
      <c r="D128" s="1077">
        <v>3</v>
      </c>
      <c r="E128" s="2349" t="s">
        <v>467</v>
      </c>
      <c r="F128" s="2350"/>
      <c r="G128" s="2350"/>
      <c r="H128" s="2350"/>
      <c r="I128" s="2350"/>
      <c r="J128" s="2350"/>
      <c r="K128" s="2350"/>
      <c r="L128" s="2350"/>
      <c r="M128" s="2351"/>
      <c r="N128" s="154"/>
      <c r="P128" s="148"/>
      <c r="R128" s="148"/>
      <c r="S128" s="148"/>
      <c r="T128" s="148"/>
      <c r="U128" s="148"/>
      <c r="V128" s="148"/>
      <c r="W128" s="148"/>
      <c r="X128" s="148"/>
      <c r="Y128" s="148"/>
    </row>
    <row r="129" spans="1:25" ht="16.5" customHeight="1">
      <c r="A129" s="137"/>
      <c r="B129" s="168"/>
      <c r="C129" s="617"/>
      <c r="D129" s="36" t="str">
        <f>IF(D128=$Q$14,$R$9,IF(AND($M$3=$Y$3,ROUNDDOWN(D128,0)=$Q$9),$S$9,$R$9))</f>
        <v>　レベル　1</v>
      </c>
      <c r="E129" s="526" t="s">
        <v>459</v>
      </c>
      <c r="F129" s="584"/>
      <c r="G129" s="584"/>
      <c r="H129" s="584"/>
      <c r="I129" s="584"/>
      <c r="J129" s="584"/>
      <c r="K129" s="584"/>
      <c r="L129" s="584"/>
      <c r="M129" s="585"/>
      <c r="N129" s="154"/>
      <c r="P129" s="588" t="s">
        <v>108</v>
      </c>
      <c r="Q129" s="148"/>
      <c r="R129" s="148"/>
      <c r="S129" s="148"/>
      <c r="T129" s="148"/>
      <c r="U129" s="588">
        <f>$Q$9</f>
        <v>1</v>
      </c>
      <c r="V129" s="148"/>
      <c r="W129" s="148"/>
      <c r="X129" s="148"/>
      <c r="Y129" s="148"/>
    </row>
    <row r="130" spans="1:25" ht="16.5" customHeight="1">
      <c r="A130" s="137"/>
      <c r="B130" s="168"/>
      <c r="C130" s="617"/>
      <c r="D130" s="39" t="str">
        <f>IF(D128=$Q$14,$R$10,IF(AND($M$3=$Y$3,ROUNDDOWN(D128,0)=$Q$10),$S$10,$R$10))</f>
        <v>　レベル　2</v>
      </c>
      <c r="E130" s="527" t="s">
        <v>459</v>
      </c>
      <c r="F130" s="586"/>
      <c r="G130" s="586"/>
      <c r="H130" s="586"/>
      <c r="I130" s="586"/>
      <c r="J130" s="586"/>
      <c r="K130" s="586"/>
      <c r="L130" s="586"/>
      <c r="M130" s="587"/>
      <c r="N130" s="154"/>
      <c r="P130" s="588" t="s">
        <v>915</v>
      </c>
      <c r="Q130" s="148"/>
      <c r="R130" s="148"/>
      <c r="S130" s="148"/>
      <c r="T130" s="148"/>
      <c r="U130" s="588">
        <f>$Q$10</f>
        <v>2</v>
      </c>
      <c r="V130" s="148"/>
      <c r="W130" s="148"/>
      <c r="X130" s="148"/>
      <c r="Y130" s="148"/>
    </row>
    <row r="131" spans="1:25" ht="16.5" customHeight="1">
      <c r="A131" s="137"/>
      <c r="B131" s="168"/>
      <c r="C131" s="617"/>
      <c r="D131" s="39" t="str">
        <f>IF(D128=$Q$14,$R$11,IF(AND($M$3=$Y$3,ROUNDDOWN(D128,0)=$Q$11),$S$11,$R$11))</f>
        <v>■レベル　3</v>
      </c>
      <c r="E131" s="527" t="s">
        <v>375</v>
      </c>
      <c r="F131" s="586"/>
      <c r="G131" s="586"/>
      <c r="H131" s="586"/>
      <c r="I131" s="586"/>
      <c r="J131" s="586"/>
      <c r="K131" s="586"/>
      <c r="L131" s="586"/>
      <c r="M131" s="587"/>
      <c r="N131" s="154"/>
      <c r="P131" s="588">
        <f>$Q$11</f>
        <v>3</v>
      </c>
      <c r="Q131" s="148"/>
      <c r="R131" s="148"/>
      <c r="S131" s="148"/>
      <c r="T131" s="148"/>
      <c r="U131" s="588">
        <f>$Q$11</f>
        <v>3</v>
      </c>
      <c r="V131" s="148"/>
      <c r="W131" s="148"/>
      <c r="X131" s="148"/>
      <c r="Y131" s="148"/>
    </row>
    <row r="132" spans="1:25" ht="16.5" customHeight="1">
      <c r="A132" s="137"/>
      <c r="B132" s="168"/>
      <c r="C132" s="617"/>
      <c r="D132" s="39" t="str">
        <f>IF(D128=$Q$14,$R$12,IF(AND($M$3=$Y$3,ROUNDDOWN(D128,0)=$Q$12),$S$12,$R$12))</f>
        <v>　レベル　4</v>
      </c>
      <c r="E132" s="539" t="s">
        <v>376</v>
      </c>
      <c r="F132" s="589"/>
      <c r="G132" s="589"/>
      <c r="H132" s="589"/>
      <c r="I132" s="589"/>
      <c r="J132" s="589"/>
      <c r="K132" s="589"/>
      <c r="L132" s="589"/>
      <c r="M132" s="590"/>
      <c r="N132" s="154"/>
      <c r="P132" s="588">
        <f>$Q$12</f>
        <v>4</v>
      </c>
      <c r="Q132" s="148"/>
      <c r="R132" s="148"/>
      <c r="S132" s="148"/>
      <c r="T132" s="148"/>
      <c r="U132" s="588">
        <f>$Q$12</f>
        <v>4</v>
      </c>
      <c r="V132" s="148"/>
      <c r="W132" s="148"/>
      <c r="X132" s="148"/>
      <c r="Y132" s="148"/>
    </row>
    <row r="133" spans="1:25" ht="16.5" customHeight="1">
      <c r="A133" s="137"/>
      <c r="B133" s="168"/>
      <c r="C133" s="617"/>
      <c r="D133" s="37" t="str">
        <f>IF(D128=$Q$14,$R$13,IF(AND($M$3=$Y$3,ROUNDDOWN(D128,0)=$Q$13),$S$13,$R$13))</f>
        <v>　レベル　5</v>
      </c>
      <c r="E133" s="565" t="s">
        <v>377</v>
      </c>
      <c r="F133" s="591"/>
      <c r="G133" s="591"/>
      <c r="H133" s="591"/>
      <c r="I133" s="591"/>
      <c r="J133" s="591"/>
      <c r="K133" s="591"/>
      <c r="L133" s="591"/>
      <c r="M133" s="592"/>
      <c r="N133" s="154"/>
      <c r="P133" s="588">
        <f>$Q$13</f>
        <v>5</v>
      </c>
      <c r="Q133" s="148"/>
      <c r="R133" s="148"/>
      <c r="S133" s="148"/>
      <c r="T133" s="148"/>
      <c r="U133" s="588">
        <f>$Q$13</f>
        <v>5</v>
      </c>
      <c r="V133" s="148"/>
      <c r="W133" s="148"/>
      <c r="X133" s="148"/>
      <c r="Y133" s="148"/>
    </row>
    <row r="134" spans="1:25" s="148" customFormat="1" ht="8.25" customHeight="1">
      <c r="A134" s="55"/>
      <c r="B134" s="168"/>
      <c r="C134" s="611"/>
      <c r="D134" s="313"/>
      <c r="E134" s="313"/>
      <c r="F134" s="2"/>
      <c r="G134" s="2"/>
      <c r="H134" s="2"/>
      <c r="I134" s="2"/>
      <c r="J134" s="2"/>
      <c r="K134" s="2"/>
      <c r="L134" s="2"/>
      <c r="M134" s="2"/>
      <c r="N134" s="154"/>
      <c r="P134" s="588" t="s">
        <v>75</v>
      </c>
      <c r="Q134" s="328" t="s">
        <v>99</v>
      </c>
      <c r="R134" s="5"/>
      <c r="S134" s="5"/>
      <c r="T134" s="136"/>
    </row>
    <row r="135" spans="1:25" s="148" customFormat="1" ht="21" customHeight="1">
      <c r="A135" s="55"/>
      <c r="B135" s="168"/>
      <c r="C135" s="611"/>
      <c r="E135" s="786" t="s">
        <v>3</v>
      </c>
      <c r="F135" s="787"/>
      <c r="G135" s="1242"/>
      <c r="H135" s="1242"/>
      <c r="I135" s="1241"/>
      <c r="J135" s="1243"/>
      <c r="K135" s="1243"/>
      <c r="L135" s="1243"/>
      <c r="M135" s="1244"/>
      <c r="N135" s="154"/>
      <c r="P135" s="619"/>
      <c r="Q135" s="328"/>
      <c r="R135" s="5"/>
      <c r="S135" s="5"/>
      <c r="T135" s="136"/>
      <c r="U135" s="619"/>
      <c r="V135" s="136"/>
      <c r="W135" s="136"/>
      <c r="X135" s="136"/>
      <c r="Y135" s="136"/>
    </row>
    <row r="136" spans="1:25">
      <c r="I136" s="624"/>
      <c r="J136" s="624"/>
      <c r="K136" s="624"/>
      <c r="L136" s="624"/>
      <c r="M136" s="624"/>
    </row>
    <row r="137" spans="1:25">
      <c r="I137" s="625"/>
      <c r="J137" s="625"/>
      <c r="K137" s="625"/>
      <c r="L137" s="625"/>
      <c r="M137" s="625"/>
    </row>
    <row r="138" spans="1:25" hidden="1">
      <c r="I138" s="625"/>
      <c r="J138" s="625"/>
      <c r="K138" s="625"/>
      <c r="L138" s="625"/>
      <c r="M138" s="625"/>
    </row>
    <row r="139" spans="1:25" hidden="1"/>
    <row r="140" spans="1:25" hidden="1"/>
    <row r="141" spans="1:25" hidden="1"/>
    <row r="142" spans="1:25" hidden="1"/>
    <row r="143" spans="1:25" hidden="1"/>
    <row r="144" spans="1:25"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row r="162"/>
  </sheetData>
  <sheetProtection algorithmName="SHA-512" hashValue="ZtcTi2Bi1XG/6HRHg/xob4/EqkB2pOT6+WtiW3HHypaK/GcMYh5LnrR05Ww+A0uF+G2cG2fznExeDkog2X71iA==" saltValue="8sGQgc1tO79lJFaTp4HCpg==" spinCount="100000" sheet="1" objects="1" scenarios="1"/>
  <mergeCells count="17">
    <mergeCell ref="G120:M120"/>
    <mergeCell ref="G121:M121"/>
    <mergeCell ref="E128:M128"/>
    <mergeCell ref="E88:M88"/>
    <mergeCell ref="E89:M89"/>
    <mergeCell ref="E113:M113"/>
    <mergeCell ref="E95:M95"/>
    <mergeCell ref="G106:M106"/>
    <mergeCell ref="E8:M8"/>
    <mergeCell ref="E18:M18"/>
    <mergeCell ref="E29:M29"/>
    <mergeCell ref="E39:M39"/>
    <mergeCell ref="E87:M87"/>
    <mergeCell ref="E50:M50"/>
    <mergeCell ref="E62:M62"/>
    <mergeCell ref="E73:M73"/>
    <mergeCell ref="E84:M84"/>
  </mergeCells>
  <phoneticPr fontId="4"/>
  <conditionalFormatting sqref="D62 D73 D84 D113 D128 D8 D18 D29 D50 D39">
    <cfRule type="expression" dxfId="154" priority="12" stopIfTrue="1">
      <formula>AND(OR(D8&lt;1,D8&gt;5),D8&lt;&gt;P14)</formula>
    </cfRule>
    <cfRule type="expression" dxfId="153" priority="13" stopIfTrue="1">
      <formula>M7&gt;0</formula>
    </cfRule>
  </conditionalFormatting>
  <conditionalFormatting sqref="E120:E121">
    <cfRule type="expression" dxfId="152" priority="14" stopIfTrue="1">
      <formula>$M$7&gt;0</formula>
    </cfRule>
  </conditionalFormatting>
  <conditionalFormatting sqref="I15 I25 I36 I46 I57 I69 I80 I91 I135">
    <cfRule type="expression" dxfId="151" priority="17" stopIfTrue="1">
      <formula>M7&gt;0</formula>
    </cfRule>
  </conditionalFormatting>
  <conditionalFormatting sqref="J15 J25 J36 J46 J57 J69 J80 J91 J135">
    <cfRule type="expression" dxfId="150" priority="18" stopIfTrue="1">
      <formula>M7&gt;0</formula>
    </cfRule>
  </conditionalFormatting>
  <conditionalFormatting sqref="K15 K25 K36 K46 K57 K69 K80 K91 K135">
    <cfRule type="expression" dxfId="149" priority="19" stopIfTrue="1">
      <formula>M7&gt;0</formula>
    </cfRule>
  </conditionalFormatting>
  <conditionalFormatting sqref="L15 L25 L36 L46 L57 L69 L80 L91 L135">
    <cfRule type="expression" dxfId="148" priority="20" stopIfTrue="1">
      <formula>M7&gt;0</formula>
    </cfRule>
  </conditionalFormatting>
  <conditionalFormatting sqref="M15 M25 M36 M46 M57 M69 M80 M91 M135">
    <cfRule type="expression" dxfId="147" priority="21" stopIfTrue="1">
      <formula>M7&gt;0</formula>
    </cfRule>
  </conditionalFormatting>
  <conditionalFormatting sqref="J124:M124">
    <cfRule type="expression" dxfId="146" priority="22" stopIfTrue="1">
      <formula>$M$112&gt;0</formula>
    </cfRule>
  </conditionalFormatting>
  <conditionalFormatting sqref="I124">
    <cfRule type="expression" dxfId="145" priority="34" stopIfTrue="1">
      <formula>M112&gt;0</formula>
    </cfRule>
  </conditionalFormatting>
  <conditionalFormatting sqref="E102:E106">
    <cfRule type="expression" dxfId="144" priority="7" stopIfTrue="1">
      <formula>$M$7&gt;0</formula>
    </cfRule>
  </conditionalFormatting>
  <conditionalFormatting sqref="J108:M108">
    <cfRule type="expression" dxfId="143" priority="10" stopIfTrue="1">
      <formula>$M$112&gt;0</formula>
    </cfRule>
  </conditionalFormatting>
  <conditionalFormatting sqref="I108">
    <cfRule type="expression" dxfId="142" priority="11" stopIfTrue="1">
      <formula>M94&gt;0</formula>
    </cfRule>
  </conditionalFormatting>
  <conditionalFormatting sqref="D112">
    <cfRule type="expression" dxfId="141" priority="69" stopIfTrue="1">
      <formula>AND(OR(D112&lt;1,D112&gt;5),D112&lt;&gt;U85)</formula>
    </cfRule>
    <cfRule type="expression" dxfId="140" priority="70" stopIfTrue="1">
      <formula>M111&gt;0</formula>
    </cfRule>
  </conditionalFormatting>
  <dataValidations count="5">
    <dataValidation type="list" allowBlank="1" showInputMessage="1" sqref="D84 D113 D8 D73 D62 D29 D50 D128 D18 D39">
      <formula1>P9:P14</formula1>
    </dataValidation>
    <dataValidation type="textLength" operator="lessThanOrEqual" allowBlank="1" showInputMessage="1" showErrorMessage="1" sqref="F91:H91 F124:H124 F69:H69 F15:H15 F25:H25 F36:H36 F46:H46 F57:H57 F80:H80 F135:H135 F108:H108">
      <formula1>30</formula1>
    </dataValidation>
    <dataValidation type="list" allowBlank="1" showInputMessage="1" showErrorMessage="1" sqref="E120:E121 E102:E106">
      <formula1>$U$3:$U$4</formula1>
    </dataValidation>
    <dataValidation allowBlank="1" showInputMessage="1" sqref="D112 D95"/>
    <dataValidation type="textLength" operator="lessThanOrEqual" allowBlank="1" showInputMessage="1" showErrorMessage="1" sqref="I15 I25 I36 I46 I57 I69 I80 I91 I124 I135 I108">
      <formula1>35</formula1>
    </dataValidation>
  </dataValidations>
  <printOptions horizontalCentered="1"/>
  <pageMargins left="0.78740157480314965" right="0.78740157480314965" top="0.78740157480314965" bottom="0.78740157480314965" header="0.51181102362204722" footer="0.51181102362204722"/>
  <pageSetup paperSize="9" scale="72" fitToHeight="0" orientation="portrait" horizontalDpi="4294967293" verticalDpi="4294967293" r:id="rId1"/>
  <headerFooter alignWithMargins="0">
    <oddHeader>&amp;L&amp;F&amp;R&amp;A</oddHeader>
    <oddFooter>&amp;C&amp;P/&amp;N</oddFooter>
  </headerFooter>
  <rowBreaks count="2" manualBreakCount="2">
    <brk id="58" max="13" man="1"/>
    <brk id="1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CO2計算 (旧)</vt:lpstr>
      <vt:lpstr>クレジットlccm</vt:lpstr>
      <vt:lpstr>判定</vt:lpstr>
      <vt:lpstr>メイン</vt:lpstr>
      <vt:lpstr>電気排出係数</vt:lpstr>
      <vt:lpstr>結果</vt:lpstr>
      <vt:lpstr>スコア</vt:lpstr>
      <vt:lpstr>配慮</vt:lpstr>
      <vt:lpstr>採点Q1</vt:lpstr>
      <vt:lpstr>採点Q2</vt:lpstr>
      <vt:lpstr>採点Q3</vt:lpstr>
      <vt:lpstr>採点LR1</vt:lpstr>
      <vt:lpstr>採点LR2</vt:lpstr>
      <vt:lpstr>採点LR3</vt:lpstr>
      <vt:lpstr>CO2計算</vt:lpstr>
      <vt:lpstr>CO2データ</vt:lpstr>
      <vt:lpstr>CO2独自計算</vt:lpstr>
      <vt:lpstr>重み</vt:lpstr>
      <vt:lpstr>クレジット</vt:lpstr>
      <vt:lpstr>CO2データ!Print_Area</vt:lpstr>
      <vt:lpstr>CO2計算!Print_Area</vt:lpstr>
      <vt:lpstr>'CO2計算 (旧)'!Print_Area</vt:lpstr>
      <vt:lpstr>クレジット!Print_Area</vt:lpstr>
      <vt:lpstr>クレジットlccm!Print_Area</vt:lpstr>
      <vt:lpstr>スコア!Print_Area</vt:lpstr>
      <vt:lpstr>メイン!Print_Area</vt:lpstr>
      <vt:lpstr>結果!Print_Area</vt:lpstr>
      <vt:lpstr>採点LR1!Print_Area</vt:lpstr>
      <vt:lpstr>採点LR2!Print_Area</vt:lpstr>
      <vt:lpstr>採点LR3!Print_Area</vt:lpstr>
      <vt:lpstr>採点Q1!Print_Area</vt:lpstr>
      <vt:lpstr>採点Q2!Print_Area</vt:lpstr>
      <vt:lpstr>採点Q3!Print_Area</vt:lpstr>
      <vt:lpstr>重み!Print_Area</vt:lpstr>
      <vt:lpstr>判定!Print_Area</vt:lpstr>
      <vt:lpstr>CO2計算!Print_Titles</vt:lpstr>
      <vt:lpstr>'CO2計算 (旧)'!Print_Titles</vt:lpstr>
      <vt:lpstr>スコア!Print_Titles</vt:lpstr>
      <vt:lpstr>重み!Print_Titles</vt:lpstr>
    </vt:vector>
  </TitlesOfParts>
  <Manager>JSBC</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CASBEE-H(DH)</dc:title>
  <dc:subject>excel2000</dc:subject>
  <dc:creator>JSBC</dc:creator>
  <cp:lastModifiedBy>Hewlett-Packard Company</cp:lastModifiedBy>
  <cp:lastPrinted>2018-04-17T00:56:45Z</cp:lastPrinted>
  <dcterms:created xsi:type="dcterms:W3CDTF">2003-08-12T12:24:47Z</dcterms:created>
  <dcterms:modified xsi:type="dcterms:W3CDTF">2018-04-17T00:58:24Z</dcterms:modified>
</cp:coreProperties>
</file>