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F64D1A8D-B93A-4860-8020-169F4B358EC5}" xr6:coauthVersionLast="47" xr6:coauthVersionMax="47" xr10:uidLastSave="{00000000-0000-0000-0000-000000000000}"/>
  <bookViews>
    <workbookView xWindow="29325" yWindow="0" windowWidth="27390" windowHeight="15585" tabRatio="839" xr2:uid="{00000000-000D-0000-FFFF-FFFF00000000}"/>
  </bookViews>
  <sheets>
    <sheet name="【様式第６号の２】事業報告書兼チェックシート" sheetId="11" r:id="rId1"/>
    <sheet name="要入力　登録決定状況入力シート" sheetId="19" r:id="rId2"/>
    <sheet name="【様式第６号の３】補助基準額等算定表" sheetId="21" r:id="rId3"/>
    <sheet name="【規則様式第３号】実績報告書鑑（住まいる）" sheetId="12" r:id="rId4"/>
    <sheet name="【規則様式第３号】実績報告書鑑（健康省エネ）" sheetId="22" r:id="rId5"/>
    <sheet name="要入力　交付決定状況入力シート" sheetId="16" state="hidden" r:id="rId6"/>
    <sheet name="(県用)住まいる台帳コピー" sheetId="20" r:id="rId7"/>
    <sheet name="台帳コピー" sheetId="18" state="hidden" r:id="rId8"/>
    <sheet name="【様式第６号の２】（別紙）補助金併用一覧" sheetId="17" state="hidden" r:id="rId9"/>
  </sheets>
  <definedNames>
    <definedName name="_xlnm.Print_Area" localSheetId="4">'【規則様式第３号】実績報告書鑑（健康省エネ）'!$A$1:$Z$34</definedName>
    <definedName name="_xlnm.Print_Area" localSheetId="3">'【規則様式第３号】実績報告書鑑（住まいる）'!$A$1:$Z$45</definedName>
    <definedName name="_xlnm.Print_Area" localSheetId="8">'【様式第６号の２】（別紙）補助金併用一覧'!$A$1:$E$33</definedName>
    <definedName name="_xlnm.Print_Area" localSheetId="0">【様式第６号の２】事業報告書兼チェックシート!$A$7:$AA$222</definedName>
    <definedName name="_xlnm.Print_Area" localSheetId="2">【様式第６号の３】補助基準額等算定表!$A$1:$K$67</definedName>
    <definedName name="_xlnm.Print_Area" localSheetId="5">'要入力　交付決定状況入力シート'!$A$1:$K$15</definedName>
  </definedNames>
  <calcPr calcId="181029"/>
</workbook>
</file>

<file path=xl/calcChain.xml><?xml version="1.0" encoding="utf-8"?>
<calcChain xmlns="http://schemas.openxmlformats.org/spreadsheetml/2006/main">
  <c r="AB57" i="11" l="1"/>
  <c r="AB132" i="11"/>
  <c r="AB131" i="11"/>
  <c r="AB130" i="11"/>
  <c r="Y121" i="11"/>
  <c r="GL6" i="20"/>
  <c r="GM6" i="20"/>
  <c r="G19" i="19"/>
  <c r="C203" i="11" l="1"/>
  <c r="C202" i="11"/>
  <c r="GN6" i="20"/>
  <c r="C210" i="11"/>
  <c r="Q23" i="22" l="1"/>
  <c r="H23" i="22"/>
  <c r="F19" i="19"/>
  <c r="AA17" i="22"/>
  <c r="O12" i="22"/>
  <c r="O11" i="22"/>
  <c r="O10" i="22"/>
  <c r="P9" i="22"/>
  <c r="AA2" i="22"/>
  <c r="W2" i="22"/>
  <c r="T2" i="22"/>
  <c r="Q2" i="22"/>
  <c r="C208" i="11"/>
  <c r="H29" i="22"/>
  <c r="C209" i="11"/>
  <c r="H28" i="22" s="1"/>
  <c r="AB181" i="11"/>
  <c r="C6" i="21"/>
  <c r="M66" i="21" s="1"/>
  <c r="O66" i="21" s="1"/>
  <c r="I6" i="21"/>
  <c r="D61" i="21"/>
  <c r="K52" i="21"/>
  <c r="H52" i="21"/>
  <c r="K47" i="21"/>
  <c r="J47" i="21"/>
  <c r="H47" i="21"/>
  <c r="J46" i="21"/>
  <c r="H46" i="21"/>
  <c r="K46" i="21" s="1"/>
  <c r="J45" i="21"/>
  <c r="H45" i="21"/>
  <c r="K45" i="21" s="1"/>
  <c r="J44" i="21"/>
  <c r="H44" i="21"/>
  <c r="K44" i="21" s="1"/>
  <c r="J43" i="21"/>
  <c r="H43" i="21"/>
  <c r="K43" i="21" s="1"/>
  <c r="J42" i="21"/>
  <c r="H42" i="21"/>
  <c r="K42" i="21" s="1"/>
  <c r="J41" i="21"/>
  <c r="H41" i="21"/>
  <c r="K41" i="21" s="1"/>
  <c r="J40" i="21"/>
  <c r="H40" i="21"/>
  <c r="K40" i="21" s="1"/>
  <c r="J39" i="21"/>
  <c r="H39" i="21"/>
  <c r="K39" i="21" s="1"/>
  <c r="J38" i="21"/>
  <c r="H38" i="21"/>
  <c r="K38" i="21" s="1"/>
  <c r="K37" i="21"/>
  <c r="J37" i="21"/>
  <c r="H37" i="21"/>
  <c r="J36" i="21"/>
  <c r="H36" i="21"/>
  <c r="K36" i="21" s="1"/>
  <c r="J35" i="21"/>
  <c r="H35" i="21"/>
  <c r="K35" i="21" s="1"/>
  <c r="J34" i="21"/>
  <c r="H34" i="21"/>
  <c r="K34" i="21" s="1"/>
  <c r="J33" i="21"/>
  <c r="H33" i="21"/>
  <c r="K33" i="21" s="1"/>
  <c r="J32" i="21"/>
  <c r="K32" i="21" s="1"/>
  <c r="H32" i="21"/>
  <c r="K31" i="21"/>
  <c r="J31" i="21"/>
  <c r="H31" i="21"/>
  <c r="J30" i="21"/>
  <c r="H30" i="21"/>
  <c r="K30" i="21" s="1"/>
  <c r="J29" i="21"/>
  <c r="H29" i="21"/>
  <c r="K29" i="21" s="1"/>
  <c r="J28" i="21"/>
  <c r="H28" i="21"/>
  <c r="K28" i="21" s="1"/>
  <c r="J27" i="21"/>
  <c r="H27" i="21"/>
  <c r="K27" i="21" s="1"/>
  <c r="J26" i="21"/>
  <c r="K26" i="21" s="1"/>
  <c r="H26" i="21"/>
  <c r="J25" i="21"/>
  <c r="H25" i="21"/>
  <c r="K25" i="21" s="1"/>
  <c r="J24" i="21"/>
  <c r="H24" i="21"/>
  <c r="K24" i="21" s="1"/>
  <c r="J19" i="21"/>
  <c r="K19" i="21" s="1"/>
  <c r="G19" i="21"/>
  <c r="J18" i="21"/>
  <c r="K18" i="21" s="1"/>
  <c r="G18" i="21"/>
  <c r="K17" i="21"/>
  <c r="J17" i="21"/>
  <c r="G17" i="21"/>
  <c r="J16" i="21"/>
  <c r="K16" i="21" s="1"/>
  <c r="G16" i="21"/>
  <c r="J15" i="21"/>
  <c r="K15" i="21" s="1"/>
  <c r="G15" i="21"/>
  <c r="J14" i="21"/>
  <c r="K14" i="21" s="1"/>
  <c r="G14" i="21"/>
  <c r="J13" i="21"/>
  <c r="K13" i="21" s="1"/>
  <c r="G13" i="21"/>
  <c r="J12" i="21"/>
  <c r="K12" i="21" s="1"/>
  <c r="G12" i="21"/>
  <c r="K11" i="21"/>
  <c r="J11" i="21"/>
  <c r="G11" i="21"/>
  <c r="C59" i="11"/>
  <c r="C58" i="11"/>
  <c r="D54" i="21" l="1"/>
  <c r="D63" i="21" s="1"/>
  <c r="D66" i="21" l="1"/>
  <c r="H19" i="19" s="1"/>
  <c r="J19" i="19" s="1"/>
  <c r="H24" i="22"/>
  <c r="GA6" i="20"/>
  <c r="GA8" i="20" s="1"/>
  <c r="FZ6" i="20"/>
  <c r="FZ8" i="20" s="1"/>
  <c r="FY6" i="20"/>
  <c r="FY8" i="20" s="1"/>
  <c r="FS6" i="20"/>
  <c r="FS8" i="20" s="1"/>
  <c r="FO6" i="20"/>
  <c r="FO8" i="20" s="1"/>
  <c r="FN6" i="20"/>
  <c r="FN8" i="20" s="1"/>
  <c r="FI6" i="20"/>
  <c r="FI8" i="20" s="1"/>
  <c r="FG6" i="20"/>
  <c r="FG8" i="20" s="1"/>
  <c r="FF6" i="20"/>
  <c r="FF8" i="20" s="1"/>
  <c r="GE8" i="20"/>
  <c r="GD8" i="20"/>
  <c r="FX8" i="20"/>
  <c r="FU8" i="20"/>
  <c r="FT8" i="20"/>
  <c r="FJ8" i="20"/>
  <c r="FH8" i="20"/>
  <c r="FC8" i="20"/>
  <c r="FB8" i="20"/>
  <c r="EZ8" i="20"/>
  <c r="EU8" i="20"/>
  <c r="ET8" i="20"/>
  <c r="ES8" i="20"/>
  <c r="ER8" i="20"/>
  <c r="EP8" i="20"/>
  <c r="EJ8" i="20"/>
  <c r="EF8" i="20"/>
  <c r="EE8" i="20"/>
  <c r="ED8" i="20"/>
  <c r="DZ8" i="20"/>
  <c r="DY8" i="20"/>
  <c r="DM8" i="20"/>
  <c r="DI8" i="20"/>
  <c r="DH8" i="20"/>
  <c r="DD8" i="20"/>
  <c r="DA8" i="20"/>
  <c r="CU8" i="20"/>
  <c r="CL8" i="20"/>
  <c r="CK8" i="20"/>
  <c r="CJ8" i="20"/>
  <c r="CH8" i="20"/>
  <c r="BR8" i="20"/>
  <c r="BP8" i="20"/>
  <c r="BO8" i="20"/>
  <c r="BN8" i="20"/>
  <c r="BK8" i="20"/>
  <c r="BJ8" i="20"/>
  <c r="BI8" i="20"/>
  <c r="BF8" i="20"/>
  <c r="BE8" i="20"/>
  <c r="BB8" i="20"/>
  <c r="BA8" i="20"/>
  <c r="AZ8" i="20"/>
  <c r="AX8" i="20"/>
  <c r="AW8" i="20"/>
  <c r="AT8" i="20"/>
  <c r="AS8" i="20"/>
  <c r="AR8" i="20"/>
  <c r="AQ8" i="20"/>
  <c r="AP8" i="20"/>
  <c r="AO8" i="20"/>
  <c r="AN8" i="20"/>
  <c r="AK8" i="20"/>
  <c r="AJ8" i="20"/>
  <c r="AG8" i="20"/>
  <c r="AF8" i="20"/>
  <c r="AC8" i="20"/>
  <c r="Z8" i="20"/>
  <c r="Y8" i="20"/>
  <c r="X8" i="20"/>
  <c r="V8" i="20"/>
  <c r="U8" i="20"/>
  <c r="S8" i="20"/>
  <c r="P8" i="20"/>
  <c r="O8" i="20"/>
  <c r="K8" i="20"/>
  <c r="G8" i="20"/>
  <c r="D8" i="20"/>
  <c r="GL8" i="20"/>
  <c r="FA8" i="20"/>
  <c r="EY8" i="20"/>
  <c r="EX8" i="20"/>
  <c r="EQ8" i="20"/>
  <c r="EM8" i="20"/>
  <c r="EK8" i="20"/>
  <c r="EH8" i="20"/>
  <c r="EG8" i="20"/>
  <c r="EC8" i="20"/>
  <c r="DX8" i="20"/>
  <c r="DV8" i="20"/>
  <c r="DU8" i="20"/>
  <c r="DT8" i="20"/>
  <c r="DL8" i="20"/>
  <c r="DK8" i="20"/>
  <c r="DG8" i="20"/>
  <c r="DF8" i="20"/>
  <c r="DC8" i="20"/>
  <c r="DB8" i="20"/>
  <c r="BS6" i="20"/>
  <c r="BS8" i="20" s="1"/>
  <c r="BM6" i="20"/>
  <c r="BH6" i="20"/>
  <c r="BH8" i="20" s="1"/>
  <c r="BD6" i="20"/>
  <c r="BD8" i="20" s="1"/>
  <c r="BC6" i="20"/>
  <c r="BC8" i="20" s="1"/>
  <c r="AU6" i="20"/>
  <c r="AU8" i="20" s="1"/>
  <c r="AM6" i="20"/>
  <c r="AM8" i="20" s="1"/>
  <c r="AI6" i="20"/>
  <c r="AI8" i="20" s="1"/>
  <c r="AE6" i="20"/>
  <c r="AE8" i="20" s="1"/>
  <c r="AB6" i="20"/>
  <c r="AB8" i="20" s="1"/>
  <c r="Z6" i="20"/>
  <c r="X6" i="20"/>
  <c r="U6" i="20"/>
  <c r="R6" i="20"/>
  <c r="R8" i="20" s="1"/>
  <c r="Q6" i="20"/>
  <c r="W6" i="20" s="1"/>
  <c r="W8" i="20" s="1"/>
  <c r="E6" i="20"/>
  <c r="E8" i="20" s="1"/>
  <c r="B6" i="20"/>
  <c r="B8" i="20" s="1"/>
  <c r="BQ6" i="20" l="1"/>
  <c r="BQ8" i="20" s="1"/>
  <c r="T6" i="20"/>
  <c r="T8" i="20" s="1"/>
  <c r="AV6" i="20"/>
  <c r="AV8" i="20" s="1"/>
  <c r="Q8" i="20"/>
  <c r="BL6" i="20"/>
  <c r="BL8" i="20" s="1"/>
  <c r="Q24" i="22"/>
  <c r="T181" i="11"/>
  <c r="FM6" i="20"/>
  <c r="EW8" i="20"/>
  <c r="EV8" i="20"/>
  <c r="EN8" i="20"/>
  <c r="AH8" i="20"/>
  <c r="BM8" i="20"/>
  <c r="EO8" i="20"/>
  <c r="EI8" i="20"/>
  <c r="AD6" i="20"/>
  <c r="AL6" i="20"/>
  <c r="AL8" i="20" s="1"/>
  <c r="BG6" i="20"/>
  <c r="BG8" i="20" s="1"/>
  <c r="FD8" i="20" l="1"/>
  <c r="FE8" i="20"/>
  <c r="AD8" i="20"/>
  <c r="AA6" i="20"/>
  <c r="EL8" i="20"/>
  <c r="DJ8" i="20"/>
  <c r="DE8" i="20"/>
  <c r="DS8" i="20"/>
  <c r="DW8" i="20"/>
  <c r="AA8" i="20" l="1"/>
  <c r="AY6" i="20"/>
  <c r="EB8" i="20"/>
  <c r="EA8" i="20"/>
  <c r="GM8" i="20"/>
  <c r="GN8" i="20"/>
  <c r="CG6" i="20" l="1"/>
  <c r="CG8" i="20" s="1"/>
  <c r="AY8" i="20"/>
  <c r="F12" i="19" l="1"/>
  <c r="D9" i="19"/>
  <c r="C9" i="19"/>
  <c r="C204" i="11"/>
  <c r="FX11" i="18"/>
  <c r="FW11" i="18"/>
  <c r="FV11" i="18"/>
  <c r="H23" i="12" l="1"/>
  <c r="Q23" i="12"/>
  <c r="FD11" i="18"/>
  <c r="FF11" i="18"/>
  <c r="AA23" i="22" l="1"/>
  <c r="FC11" i="18"/>
  <c r="FH11" i="18"/>
  <c r="FI11" i="18"/>
  <c r="FN11" i="18"/>
  <c r="FT11" i="18"/>
  <c r="FU11" i="18"/>
  <c r="FZ11" i="18"/>
  <c r="GA11" i="18"/>
  <c r="GC11" i="18" l="1"/>
  <c r="FY11" i="18"/>
  <c r="AY13" i="18"/>
  <c r="GJ11" i="18" l="1"/>
  <c r="D43" i="11" l="1"/>
  <c r="EW13" i="18" l="1"/>
  <c r="D9" i="16" l="1"/>
  <c r="GA13" i="18"/>
  <c r="FX13" i="18"/>
  <c r="FW13" i="18"/>
  <c r="FE13" i="18"/>
  <c r="FC13" i="18"/>
  <c r="W2" i="12"/>
  <c r="T2" i="12"/>
  <c r="Q2" i="12"/>
  <c r="GB13" i="18"/>
  <c r="FG13" i="18"/>
  <c r="EZ13" i="18"/>
  <c r="EY13" i="18"/>
  <c r="EX13" i="18"/>
  <c r="EC13" i="18"/>
  <c r="DW13" i="18"/>
  <c r="DU13" i="18"/>
  <c r="DO13" i="18"/>
  <c r="DJ13" i="18"/>
  <c r="DE13" i="18"/>
  <c r="CV13" i="18"/>
  <c r="CM13" i="18"/>
  <c r="CL13" i="18"/>
  <c r="CK13" i="18"/>
  <c r="CI13" i="18"/>
  <c r="BS13" i="18"/>
  <c r="BQ13" i="18"/>
  <c r="BP13" i="18"/>
  <c r="BO13" i="18"/>
  <c r="BL13" i="18"/>
  <c r="BK13" i="18"/>
  <c r="BJ13" i="18"/>
  <c r="BG13" i="18"/>
  <c r="BF13" i="18"/>
  <c r="BE13" i="18"/>
  <c r="BC13" i="18"/>
  <c r="BB13" i="18"/>
  <c r="BA13" i="18"/>
  <c r="AX13" i="18"/>
  <c r="AW13" i="18"/>
  <c r="AT13" i="18"/>
  <c r="AS13" i="18"/>
  <c r="AR13" i="18"/>
  <c r="AQ13" i="18"/>
  <c r="AP13" i="18"/>
  <c r="AO13" i="18"/>
  <c r="AN13" i="18"/>
  <c r="AK13" i="18"/>
  <c r="AJ13" i="18"/>
  <c r="AG13" i="18"/>
  <c r="AF13" i="18"/>
  <c r="AC13" i="18"/>
  <c r="Y13" i="18"/>
  <c r="X13" i="18"/>
  <c r="V13" i="18"/>
  <c r="S13" i="18"/>
  <c r="P13" i="18"/>
  <c r="O13" i="18"/>
  <c r="K13" i="18"/>
  <c r="DB13" i="18"/>
  <c r="G13" i="18"/>
  <c r="D13" i="18"/>
  <c r="EV13" i="18"/>
  <c r="EU13" i="18"/>
  <c r="ER13" i="18"/>
  <c r="EQ13" i="18"/>
  <c r="EP13" i="18"/>
  <c r="EO13" i="18"/>
  <c r="EN13" i="18"/>
  <c r="EM13" i="18"/>
  <c r="EJ13" i="18"/>
  <c r="EG13" i="18"/>
  <c r="EE13" i="18"/>
  <c r="EB13" i="18"/>
  <c r="EA13" i="18"/>
  <c r="DZ13" i="18"/>
  <c r="DV13" i="18"/>
  <c r="DS13" i="18"/>
  <c r="DR13" i="18"/>
  <c r="DQ13" i="18"/>
  <c r="DM13" i="18"/>
  <c r="DL13" i="18"/>
  <c r="DI13" i="18"/>
  <c r="DH13" i="18"/>
  <c r="DD13" i="18"/>
  <c r="DC13" i="18"/>
  <c r="BT13" i="18"/>
  <c r="BI13" i="18"/>
  <c r="BD13" i="18"/>
  <c r="AU13" i="18"/>
  <c r="AM13" i="18"/>
  <c r="AI13" i="18"/>
  <c r="AE13" i="18"/>
  <c r="AD13" i="18"/>
  <c r="AB13" i="18"/>
  <c r="Z13" i="18"/>
  <c r="W13" i="18"/>
  <c r="U13" i="18"/>
  <c r="T13" i="18"/>
  <c r="R13" i="18"/>
  <c r="Q13" i="18"/>
  <c r="E11" i="18"/>
  <c r="E13" i="18" s="1"/>
  <c r="B11" i="18"/>
  <c r="B13" i="18" s="1"/>
  <c r="GJ10" i="18"/>
  <c r="GI10" i="18"/>
  <c r="GC10" i="18"/>
  <c r="FU10" i="18"/>
  <c r="FO10" i="18"/>
  <c r="FJ10" i="18"/>
  <c r="FH10" i="18"/>
  <c r="FA10" i="18"/>
  <c r="ES10" i="18"/>
  <c r="EK10" i="18" s="1"/>
  <c r="EF10" i="18"/>
  <c r="EA10" i="18"/>
  <c r="DU10" i="18"/>
  <c r="DR10" i="18"/>
  <c r="DM10" i="18"/>
  <c r="DH10" i="18"/>
  <c r="DF10" i="18"/>
  <c r="DT10" i="18" s="1"/>
  <c r="BT10" i="18"/>
  <c r="BN10" i="18"/>
  <c r="BI10" i="18"/>
  <c r="BE10" i="18"/>
  <c r="BD10" i="18"/>
  <c r="AZ10" i="18"/>
  <c r="AU10" i="18"/>
  <c r="AM10" i="18" s="1"/>
  <c r="AI10" i="18"/>
  <c r="AE10" i="18"/>
  <c r="AB10" i="18"/>
  <c r="Z10" i="18"/>
  <c r="X10" i="18"/>
  <c r="U10" i="18"/>
  <c r="R10" i="18"/>
  <c r="Q10" i="18"/>
  <c r="DG10" i="18" s="1"/>
  <c r="E10" i="18"/>
  <c r="B10" i="18"/>
  <c r="GC9" i="18"/>
  <c r="FU9" i="18"/>
  <c r="FO9" i="18"/>
  <c r="FJ9" i="18"/>
  <c r="FH9" i="18"/>
  <c r="ES9" i="18"/>
  <c r="ET9" i="18" s="1"/>
  <c r="EF9" i="18"/>
  <c r="EA9" i="18"/>
  <c r="DU9" i="18"/>
  <c r="DR9" i="18"/>
  <c r="DM9" i="18"/>
  <c r="DH9" i="18"/>
  <c r="DF9" i="18"/>
  <c r="DP9" i="18" s="1"/>
  <c r="BT9" i="18"/>
  <c r="GD9" i="18" s="1"/>
  <c r="BN9" i="18"/>
  <c r="BI9" i="18"/>
  <c r="BE9" i="18"/>
  <c r="BD9" i="18"/>
  <c r="AU9" i="18"/>
  <c r="AV9" i="18" s="1"/>
  <c r="AI9" i="18"/>
  <c r="AE9" i="18"/>
  <c r="AB9" i="18"/>
  <c r="Z9" i="18"/>
  <c r="X9" i="18"/>
  <c r="U9" i="18"/>
  <c r="R9" i="18"/>
  <c r="Q9" i="18"/>
  <c r="E9" i="18"/>
  <c r="B9" i="18"/>
  <c r="GJ8" i="18"/>
  <c r="GI8" i="18"/>
  <c r="GC8" i="18"/>
  <c r="FU8" i="18"/>
  <c r="FO8" i="18"/>
  <c r="FJ8" i="18"/>
  <c r="FH8" i="18"/>
  <c r="FA8" i="18"/>
  <c r="ES8" i="18"/>
  <c r="EK8" i="18" s="1"/>
  <c r="EF8" i="18"/>
  <c r="EA8" i="18"/>
  <c r="DU8" i="18"/>
  <c r="DR8" i="18"/>
  <c r="DM8" i="18"/>
  <c r="DH8" i="18"/>
  <c r="DF8" i="18"/>
  <c r="BT8" i="18"/>
  <c r="BN8" i="18"/>
  <c r="BI8" i="18"/>
  <c r="BE8" i="18"/>
  <c r="BD8" i="18"/>
  <c r="AU8" i="18"/>
  <c r="AV8" i="18" s="1"/>
  <c r="AI8" i="18"/>
  <c r="AL8" i="18" s="1"/>
  <c r="AE8" i="18"/>
  <c r="AB8" i="18"/>
  <c r="Z8" i="18"/>
  <c r="X8" i="18"/>
  <c r="U8" i="18"/>
  <c r="R8" i="18"/>
  <c r="Q8" i="18"/>
  <c r="AH8" i="18" s="1"/>
  <c r="E8" i="18"/>
  <c r="B8" i="18"/>
  <c r="FU7" i="18"/>
  <c r="FO7" i="18"/>
  <c r="FJ7" i="18"/>
  <c r="FH7" i="18"/>
  <c r="FM7" i="18" s="1"/>
  <c r="FA7" i="18"/>
  <c r="ES7" i="18"/>
  <c r="ET7" i="18" s="1"/>
  <c r="EF7" i="18"/>
  <c r="EA7" i="18"/>
  <c r="DU7" i="18"/>
  <c r="DR7" i="18"/>
  <c r="DM7" i="18"/>
  <c r="DH7" i="18"/>
  <c r="DF7" i="18"/>
  <c r="DP7" i="18" s="1"/>
  <c r="BN7" i="18"/>
  <c r="BI7" i="18"/>
  <c r="BE7" i="18"/>
  <c r="BD7" i="18"/>
  <c r="AZ7" i="18"/>
  <c r="AU7" i="18"/>
  <c r="AV7" i="18" s="1"/>
  <c r="AM7" i="18"/>
  <c r="AI7" i="18"/>
  <c r="AE7" i="18"/>
  <c r="AB7" i="18"/>
  <c r="Z7" i="18"/>
  <c r="X7" i="18"/>
  <c r="U7" i="18"/>
  <c r="R7" i="18"/>
  <c r="Q7" i="18"/>
  <c r="AD7" i="18" s="1"/>
  <c r="E7" i="18"/>
  <c r="B7" i="18"/>
  <c r="GC6" i="18"/>
  <c r="FU6" i="18"/>
  <c r="FO6" i="18"/>
  <c r="FJ6" i="18"/>
  <c r="FH6" i="18"/>
  <c r="ES6" i="18"/>
  <c r="ET6" i="18" s="1"/>
  <c r="EK6" i="18"/>
  <c r="EF6" i="18"/>
  <c r="EA6" i="18"/>
  <c r="DU6" i="18"/>
  <c r="DR6" i="18"/>
  <c r="DM6" i="18"/>
  <c r="DH6" i="18"/>
  <c r="DF6" i="18"/>
  <c r="DK6" i="18" s="1"/>
  <c r="BT6" i="18"/>
  <c r="BN6" i="18"/>
  <c r="BI6" i="18"/>
  <c r="BE6" i="18"/>
  <c r="BD6" i="18"/>
  <c r="FI6" i="18" s="1"/>
  <c r="AU6" i="18"/>
  <c r="AV6" i="18" s="1"/>
  <c r="AI6" i="18"/>
  <c r="AE6" i="18"/>
  <c r="AB6" i="18"/>
  <c r="Z6" i="18"/>
  <c r="X6" i="18"/>
  <c r="U6" i="18"/>
  <c r="R6" i="18"/>
  <c r="Q6" i="18"/>
  <c r="E6" i="18"/>
  <c r="B6" i="18"/>
  <c r="FB10" i="18" l="1"/>
  <c r="FS8" i="18"/>
  <c r="FI9" i="18"/>
  <c r="FY8" i="18"/>
  <c r="FY9" i="18"/>
  <c r="FS7" i="18"/>
  <c r="BR8" i="18"/>
  <c r="FZ8" i="18" s="1"/>
  <c r="FI8" i="18"/>
  <c r="GD10" i="18"/>
  <c r="BR6" i="18"/>
  <c r="DG6" i="18"/>
  <c r="EI6" i="18"/>
  <c r="FY6" i="18"/>
  <c r="FZ6" i="18" s="1"/>
  <c r="DX6" i="18"/>
  <c r="ET8" i="18"/>
  <c r="EU8" i="18" s="1"/>
  <c r="EK9" i="18"/>
  <c r="AH10" i="18"/>
  <c r="EI10" i="18"/>
  <c r="GI11" i="18"/>
  <c r="GK11" i="18" s="1"/>
  <c r="GD11" i="18"/>
  <c r="DP6" i="18"/>
  <c r="FM8" i="18"/>
  <c r="BM10" i="18"/>
  <c r="FT10" i="18" s="1"/>
  <c r="T7" i="18"/>
  <c r="DL7" i="18" s="1"/>
  <c r="DG9" i="18"/>
  <c r="BR10" i="18"/>
  <c r="FS10" i="18"/>
  <c r="EU7" i="18"/>
  <c r="BR9" i="18"/>
  <c r="FZ9" i="18" s="1"/>
  <c r="W6" i="18"/>
  <c r="DQ6" i="18" s="1"/>
  <c r="AD6" i="18"/>
  <c r="AA6" i="18" s="1"/>
  <c r="GD6" i="18"/>
  <c r="W8" i="18"/>
  <c r="AD8" i="18"/>
  <c r="AA8" i="18" s="1"/>
  <c r="W9" i="18"/>
  <c r="DQ9" i="18" s="1"/>
  <c r="AH9" i="18"/>
  <c r="EE9" i="18" s="1"/>
  <c r="AV10" i="18"/>
  <c r="AL6" i="18"/>
  <c r="EJ6" i="18" s="1"/>
  <c r="DT6" i="18"/>
  <c r="ED6" i="18"/>
  <c r="ED7" i="18"/>
  <c r="FY7" i="18"/>
  <c r="GD8" i="18"/>
  <c r="BH9" i="18"/>
  <c r="FN9" i="18" s="1"/>
  <c r="ED9" i="18"/>
  <c r="FS9" i="18"/>
  <c r="AL10" i="18"/>
  <c r="EJ10" i="18" s="1"/>
  <c r="ET10" i="18"/>
  <c r="T6" i="18"/>
  <c r="DL6" i="18" s="1"/>
  <c r="FM6" i="18"/>
  <c r="AA7" i="18"/>
  <c r="T8" i="18"/>
  <c r="AZ8" i="18" s="1"/>
  <c r="BH8" i="18"/>
  <c r="FN8" i="18" s="1"/>
  <c r="ED8" i="18"/>
  <c r="T9" i="18"/>
  <c r="EU9" i="18"/>
  <c r="DT9" i="18"/>
  <c r="EI9" i="18"/>
  <c r="BH10" i="18"/>
  <c r="FN10" i="18" s="1"/>
  <c r="FY10" i="18"/>
  <c r="EU6" i="18"/>
  <c r="GK10" i="18"/>
  <c r="FB7" i="18"/>
  <c r="GK8" i="18"/>
  <c r="FV13" i="18"/>
  <c r="FU13" i="18"/>
  <c r="FF13" i="18"/>
  <c r="EF13" i="18"/>
  <c r="FD13" i="18"/>
  <c r="BR13" i="18"/>
  <c r="FA13" i="18"/>
  <c r="FB13" i="18"/>
  <c r="EE8" i="18"/>
  <c r="ET13" i="18"/>
  <c r="EK13" i="18"/>
  <c r="ES13" i="18"/>
  <c r="BM13" i="18"/>
  <c r="AH7" i="18"/>
  <c r="EE7" i="18" s="1"/>
  <c r="DG8" i="18"/>
  <c r="DT8" i="18"/>
  <c r="AL9" i="18"/>
  <c r="DK10" i="18"/>
  <c r="DX10" i="18"/>
  <c r="DY10" i="18" s="1"/>
  <c r="FI10" i="18"/>
  <c r="AA13" i="18"/>
  <c r="BN13" i="18"/>
  <c r="DN13" i="18"/>
  <c r="EL13" i="18"/>
  <c r="AH6" i="18"/>
  <c r="EE6" i="18" s="1"/>
  <c r="FS6" i="18"/>
  <c r="W7" i="18"/>
  <c r="DQ7" i="18" s="1"/>
  <c r="BH7" i="18"/>
  <c r="FN7" i="18" s="1"/>
  <c r="DG7" i="18"/>
  <c r="DT7" i="18"/>
  <c r="EI8" i="18"/>
  <c r="EJ8" i="18" s="1"/>
  <c r="AM9" i="18"/>
  <c r="BM9" i="18"/>
  <c r="FT9" i="18" s="1"/>
  <c r="DK9" i="18"/>
  <c r="DL9" i="18" s="1"/>
  <c r="DX9" i="18"/>
  <c r="DY9" i="18" s="1"/>
  <c r="AV13" i="18"/>
  <c r="DG13" i="18"/>
  <c r="BH6" i="18"/>
  <c r="FN6" i="18" s="1"/>
  <c r="AL7" i="18"/>
  <c r="EI7" i="18"/>
  <c r="AM8" i="18"/>
  <c r="BM8" i="18"/>
  <c r="FT8" i="18" s="1"/>
  <c r="DK8" i="18"/>
  <c r="DL8" i="18" s="1"/>
  <c r="DX8" i="18"/>
  <c r="FM10" i="18"/>
  <c r="BH13" i="18"/>
  <c r="BM7" i="18"/>
  <c r="DK7" i="18"/>
  <c r="DX7" i="18"/>
  <c r="FI7" i="18"/>
  <c r="FM9" i="18"/>
  <c r="AD10" i="18"/>
  <c r="AA10" i="18" s="1"/>
  <c r="DP10" i="18"/>
  <c r="AM6" i="18"/>
  <c r="BM6" i="18"/>
  <c r="EK7" i="18"/>
  <c r="AD9" i="18"/>
  <c r="AA9" i="18" s="1"/>
  <c r="T10" i="18"/>
  <c r="DL10" i="18" s="1"/>
  <c r="CH10" i="18"/>
  <c r="ED10" i="18"/>
  <c r="EE10" i="18" s="1"/>
  <c r="AH13" i="18"/>
  <c r="EH13" i="18"/>
  <c r="BR7" i="18"/>
  <c r="DP8" i="18"/>
  <c r="W10" i="18"/>
  <c r="AL13" i="18"/>
  <c r="DY6" i="18" l="1"/>
  <c r="FZ10" i="18"/>
  <c r="EJ9" i="18"/>
  <c r="FZ7" i="18"/>
  <c r="FT7" i="18"/>
  <c r="GC7" i="18"/>
  <c r="GJ7" i="18" s="1"/>
  <c r="DZ9" i="18"/>
  <c r="DZ6" i="18"/>
  <c r="DZ10" i="18"/>
  <c r="EU10" i="18"/>
  <c r="DY7" i="18"/>
  <c r="DZ7" i="18" s="1"/>
  <c r="DQ8" i="18"/>
  <c r="FT6" i="18"/>
  <c r="FH13" i="18"/>
  <c r="FI13" i="18"/>
  <c r="AZ9" i="18"/>
  <c r="DQ10" i="18"/>
  <c r="DY8" i="18"/>
  <c r="DZ8" i="18" s="1"/>
  <c r="BT7" i="18"/>
  <c r="CH8" i="18"/>
  <c r="FB8" i="18"/>
  <c r="AZ6" i="18"/>
  <c r="DP13" i="18"/>
  <c r="ED13" i="18"/>
  <c r="DT13" i="18"/>
  <c r="DK13" i="18"/>
  <c r="DF13" i="18"/>
  <c r="EI13" i="18"/>
  <c r="EJ7" i="18"/>
  <c r="FY13" i="18" l="1"/>
  <c r="FZ13" i="18"/>
  <c r="GD7" i="18"/>
  <c r="CH7" i="18"/>
  <c r="GI7" i="18"/>
  <c r="GK7" i="18" s="1"/>
  <c r="CH13" i="18"/>
  <c r="AZ13" i="18"/>
  <c r="GI9" i="18"/>
  <c r="CH9" i="18"/>
  <c r="FA9" i="18" s="1"/>
  <c r="GJ9" i="18" s="1"/>
  <c r="GI6" i="18"/>
  <c r="CH6" i="18"/>
  <c r="FA6" i="18" s="1"/>
  <c r="GJ6" i="18" s="1"/>
  <c r="DY13" i="18"/>
  <c r="DX13" i="18"/>
  <c r="GK9" i="18" l="1"/>
  <c r="FB9" i="18"/>
  <c r="GK6" i="18"/>
  <c r="FB6" i="18"/>
  <c r="B84" i="11" l="1"/>
  <c r="H31" i="12" l="1"/>
  <c r="H32" i="12"/>
  <c r="H37" i="12"/>
  <c r="C195" i="11"/>
  <c r="H30" i="12" s="1"/>
  <c r="C194" i="11"/>
  <c r="H29" i="12" s="1"/>
  <c r="C193" i="11"/>
  <c r="H28" i="12" s="1"/>
  <c r="E74" i="11"/>
  <c r="E54" i="11" l="1"/>
  <c r="AB53" i="11"/>
  <c r="AB52" i="11"/>
  <c r="AB51" i="11"/>
  <c r="D8" i="17" l="1"/>
  <c r="D7" i="17"/>
  <c r="AB17" i="11" l="1"/>
  <c r="C207" i="11" l="1"/>
  <c r="H42" i="12" s="1"/>
  <c r="C206" i="11"/>
  <c r="H41" i="12" s="1"/>
  <c r="C205" i="11"/>
  <c r="H40" i="12" s="1"/>
  <c r="H39" i="12"/>
  <c r="C199" i="11"/>
  <c r="C9" i="16" l="1"/>
  <c r="C198" i="11" l="1"/>
  <c r="H33" i="12" s="1"/>
  <c r="GI13" i="18" l="1"/>
  <c r="AA23" i="12"/>
  <c r="F12" i="16"/>
  <c r="AA17" i="12" l="1"/>
  <c r="H43" i="12"/>
  <c r="AA2" i="12"/>
  <c r="AB206" i="11" l="1"/>
  <c r="Y153" i="11" l="1"/>
  <c r="AB216" i="11" l="1"/>
  <c r="Y89" i="11" l="1"/>
  <c r="AB158" i="11" l="1"/>
  <c r="AB159" i="11"/>
  <c r="Y170" i="11" l="1"/>
  <c r="Y163" i="11"/>
  <c r="GB6" i="20" l="1"/>
  <c r="GC6" i="20" s="1"/>
  <c r="GC8" i="20" s="1"/>
  <c r="AB220" i="11"/>
  <c r="AB219" i="11"/>
  <c r="AB218" i="11"/>
  <c r="AB217" i="11"/>
  <c r="GB8" i="20" l="1"/>
  <c r="AB35" i="11"/>
  <c r="AB170" i="11"/>
  <c r="AC147" i="11"/>
  <c r="AC164" i="11"/>
  <c r="AC155" i="11"/>
  <c r="AB152" i="11"/>
  <c r="Y90" i="11" l="1"/>
  <c r="Y91" i="11" s="1"/>
  <c r="T180" i="11" s="1"/>
  <c r="H30" i="22" s="1"/>
  <c r="AB37" i="11"/>
  <c r="FK6" i="20" l="1"/>
  <c r="G3" i="19"/>
  <c r="H3" i="19"/>
  <c r="J3" i="19" s="1"/>
  <c r="O11" i="12"/>
  <c r="O12" i="12"/>
  <c r="O10" i="12"/>
  <c r="P9" i="12"/>
  <c r="BG35" i="11"/>
  <c r="B5" i="12" l="1"/>
  <c r="B5" i="22"/>
  <c r="FR6" i="20"/>
  <c r="FV6" i="20"/>
  <c r="FW6" i="20" s="1"/>
  <c r="G6" i="19"/>
  <c r="H6" i="19"/>
  <c r="J6" i="19" s="1"/>
  <c r="FL6" i="20"/>
  <c r="FL8" i="20" s="1"/>
  <c r="FK8" i="20"/>
  <c r="FP11" i="18"/>
  <c r="FQ11" i="18"/>
  <c r="FR11" i="18"/>
  <c r="FR13" i="18" s="1"/>
  <c r="FS11" i="18"/>
  <c r="AB42" i="11"/>
  <c r="AB41" i="11"/>
  <c r="FO11" i="18" l="1"/>
  <c r="FQ13" i="18"/>
  <c r="FP13" i="18"/>
  <c r="U87" i="11"/>
  <c r="AB80" i="11"/>
  <c r="AB48" i="11"/>
  <c r="AB47" i="11"/>
  <c r="AB46" i="11"/>
  <c r="Y43" i="11"/>
  <c r="AB40" i="11"/>
  <c r="AB39" i="11"/>
  <c r="AB38" i="11"/>
  <c r="AB36" i="11"/>
  <c r="AB19" i="11"/>
  <c r="AB18" i="11"/>
  <c r="AB16" i="11"/>
  <c r="AB14" i="11"/>
  <c r="FO13" i="18" l="1"/>
  <c r="Y103" i="11"/>
  <c r="H3" i="16"/>
  <c r="G3" i="16"/>
  <c r="Y140" i="11"/>
  <c r="AB91" i="11"/>
  <c r="K176" i="11" l="1"/>
  <c r="FP6" i="20"/>
  <c r="G4" i="19"/>
  <c r="H4" i="19"/>
  <c r="J4" i="19" s="1"/>
  <c r="FM8" i="20"/>
  <c r="H5" i="19"/>
  <c r="J5" i="19" s="1"/>
  <c r="G5" i="19"/>
  <c r="G9" i="19" s="1"/>
  <c r="H25" i="22" s="1"/>
  <c r="FK11" i="18"/>
  <c r="FL11" i="18"/>
  <c r="FL13" i="18" s="1"/>
  <c r="FM11" i="18"/>
  <c r="C200" i="11"/>
  <c r="H35" i="12" s="1"/>
  <c r="C201" i="11"/>
  <c r="FS13" i="18"/>
  <c r="FT13" i="18"/>
  <c r="FI17" i="11"/>
  <c r="H6" i="16"/>
  <c r="J6" i="16" s="1"/>
  <c r="G6" i="16"/>
  <c r="H4" i="16"/>
  <c r="J4" i="16" s="1"/>
  <c r="G4" i="16"/>
  <c r="H5" i="16"/>
  <c r="J5" i="16" s="1"/>
  <c r="G5" i="16"/>
  <c r="J3" i="16"/>
  <c r="H38" i="12"/>
  <c r="AB176" i="11"/>
  <c r="H9" i="19" l="1"/>
  <c r="Q25" i="22" s="1"/>
  <c r="H24" i="12"/>
  <c r="FP8" i="20"/>
  <c r="FQ6" i="20"/>
  <c r="FJ11" i="18"/>
  <c r="H36" i="12"/>
  <c r="AB201" i="11"/>
  <c r="H9" i="16"/>
  <c r="FK13" i="18"/>
  <c r="G9" i="16"/>
  <c r="H25" i="12" s="1"/>
  <c r="Q24" i="12" l="1"/>
  <c r="Q25" i="12" s="1"/>
  <c r="FQ8" i="20"/>
  <c r="GF6" i="20"/>
  <c r="GG6" i="20" s="1"/>
  <c r="FJ13" i="18"/>
  <c r="GG8" i="20" l="1"/>
  <c r="GF8" i="20"/>
  <c r="FM13" i="18"/>
  <c r="FN13" i="18" l="1"/>
  <c r="GC13" i="18" l="1"/>
  <c r="GD13" i="18"/>
  <c r="GJ13" i="18" l="1"/>
  <c r="GK13" i="18"/>
  <c r="FV8" i="20"/>
  <c r="FR8" i="20"/>
  <c r="FW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7" authorId="0" shapeId="0" xr:uid="{00000000-0006-0000-0000-000001000000}">
      <text>
        <r>
          <rPr>
            <b/>
            <sz val="9"/>
            <color indexed="81"/>
            <rFont val="ＭＳ Ｐゴシック"/>
            <family val="3"/>
            <charset val="128"/>
          </rPr>
          <t>実績報告では転居後の住所を記載して下さい。</t>
        </r>
      </text>
    </comment>
    <comment ref="J216"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<sst xmlns="http://schemas.openxmlformats.org/spreadsheetml/2006/main" count="1164" uniqueCount="510">
  <si>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</si>
  <si>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</si>
  <si>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</si>
  <si>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</si>
  <si>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</si>
  <si>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</si>
  <si>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</si>
  <si>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</si>
  <si>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</si>
  <si>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</si>
  <si>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</si>
  <si>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　　　－　</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</si>
  <si>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</si>
  <si>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</si>
  <si>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</si>
  <si>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</si>
  <si>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</si>
  <si>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</si>
  <si>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</si>
  <si>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添付書類</t>
    <rPh sb="0" eb="2">
      <t>テンプ</t>
    </rPh>
    <rPh sb="2" eb="4">
      <t>ショルイ</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</si>
  <si>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</si>
  <si>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</si>
  <si>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</si>
  <si>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</si>
  <si>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</si>
  <si>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</si>
  <si>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工法</t>
    <rPh sb="0" eb="2">
      <t>コウホウ</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</si>
  <si>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</si>
  <si>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</si>
  <si>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</si>
  <si>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</si>
  <si>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</si>
  <si>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</si>
  <si>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</si>
  <si>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</si>
  <si>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</si>
  <si>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</si>
  <si>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t>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</si>
  <si>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</si>
  <si>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</si>
  <si>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</si>
  <si>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</si>
  <si>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</si>
  <si>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</si>
  <si>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</si>
  <si>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</si>
  <si>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</si>
  <si>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</si>
  <si>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</si>
  <si>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</si>
  <si>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</si>
  <si>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</si>
  <si>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万円</t>
    <rPh sb="0" eb="2">
      <t>マンエン</t>
    </rPh>
    <phoneticPr fontId="1"/>
  </si>
  <si>
    <t>３　子育て世帯等　（補助金額：１０万円）</t>
    <rPh sb="2" eb="4">
      <t>コソダ</t>
    </rPh>
    <rPh sb="5" eb="7">
      <t>セタイ</t>
    </rPh>
    <rPh sb="7" eb="8">
      <t>トウ</t>
    </rPh>
    <rPh sb="10" eb="14">
      <t>ホジョキンガク</t>
    </rPh>
    <rPh sb="17" eb="19">
      <t>マンエン</t>
    </rPh>
    <phoneticPr fontId="1"/>
  </si>
  <si>
    <t>４　三世代同居等世帯　（補助金額：１０万円）</t>
    <rPh sb="2" eb="3">
      <t>サン</t>
    </rPh>
    <rPh sb="3" eb="5">
      <t>セダイ</t>
    </rPh>
    <rPh sb="5" eb="7">
      <t>ドウキョ</t>
    </rPh>
    <rPh sb="7" eb="8">
      <t>トウ</t>
    </rPh>
    <rPh sb="8" eb="10">
      <t>セタイ</t>
    </rPh>
    <phoneticPr fontId="1"/>
  </si>
  <si>
    <t>あなたの補助金申請額は</t>
    <rPh sb="4" eb="7">
      <t>ホジョキン</t>
    </rPh>
    <rPh sb="7" eb="9">
      <t>シンセイ</t>
    </rPh>
    <rPh sb="9" eb="10">
      <t>ガク</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</si>
  <si>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</si>
  <si>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</si>
  <si>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</si>
  <si>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</si>
  <si>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とっとり住まいる支援事業補助金　提出書類　一覧表</t>
    <rPh sb="4" eb="5">
      <t>ス</t>
    </rPh>
    <rPh sb="8" eb="15">
      <t>シエンジギョウホジョキン</t>
    </rPh>
    <rPh sb="16" eb="18">
      <t>テイシュツ</t>
    </rPh>
    <rPh sb="18" eb="20">
      <t>ショルイ</t>
    </rPh>
    <rPh sb="21" eb="23">
      <t>イチラン</t>
    </rPh>
    <rPh sb="23" eb="24">
      <t>ヒョウ</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</si>
  <si>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</si>
  <si>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</si>
  <si>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</si>
  <si>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</si>
  <si>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入力欄がある項目は、色付きの欄に記入してください。</t>
    <rPh sb="0" eb="2">
      <t>ニュウリョク</t>
    </rPh>
    <rPh sb="2" eb="3">
      <t>ラン</t>
    </rPh>
    <rPh sb="6" eb="8">
      <t>コウモク</t>
    </rPh>
    <rPh sb="10" eb="12">
      <t>イロツ</t>
    </rPh>
    <rPh sb="14" eb="15">
      <t>ラン</t>
    </rPh>
    <rPh sb="16" eb="18">
      <t>キニュウ</t>
    </rPh>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</si>
  <si>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</si>
  <si>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</si>
  <si>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</si>
  <si>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万円</t>
    <rPh sb="0" eb="2">
      <t>マンエン</t>
    </rPh>
    <phoneticPr fontId="1"/>
  </si>
  <si>
    <t>プレカット工場名</t>
    <rPh sb="5" eb="7">
      <t>コウジョウ</t>
    </rPh>
    <rPh sb="7" eb="8">
      <t>メイ</t>
    </rPh>
    <phoneticPr fontId="1"/>
  </si>
  <si>
    <t>m2</t>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</si>
  <si>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</si>
  <si>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</si>
  <si>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t>木製建具の見付面積</t>
    <rPh sb="0" eb="2">
      <t>モクセイ</t>
    </rPh>
    <rPh sb="2" eb="4">
      <t>タテグ</t>
    </rPh>
    <rPh sb="5" eb="7">
      <t>ミツケ</t>
    </rPh>
    <rPh sb="7" eb="9">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</si>
  <si>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</si>
  <si>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</si>
  <si>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</si>
  <si>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</si>
  <si>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</si>
  <si>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</si>
  <si>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</si>
  <si>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</si>
  <si>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</si>
  <si>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</si>
  <si>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</si>
  <si>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</si>
  <si>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</si>
  <si>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</si>
  <si>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</si>
  <si>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</si>
  <si>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</si>
  <si>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</si>
  <si>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</si>
  <si>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</si>
  <si>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</si>
  <si>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</si>
  <si>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</si>
  <si>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</si>
  <si>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</si>
  <si>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</si>
  <si>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</si>
  <si>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</si>
  <si>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</si>
  <si>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</si>
  <si>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他に利用する補助金一覧表</t>
    <rPh sb="0" eb="1">
      <t>ホカ</t>
    </rPh>
    <rPh sb="2" eb="4">
      <t>リヨウ</t>
    </rPh>
    <rPh sb="6" eb="9">
      <t>ホジョキン</t>
    </rPh>
    <rPh sb="9" eb="11">
      <t>イチラン</t>
    </rPh>
    <rPh sb="11" eb="12">
      <t>ヒョウ</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</si>
  <si>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</si>
  <si>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</si>
  <si>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</si>
  <si>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自ら居住（改修後に居住する場合を含む。）し、所有の権利を有する戸建住宅又は共同住宅の専有部分に係る工事であること。</t>
    <rPh sb="0" eb="1">
      <t>ミズカ</t>
    </rPh>
    <rPh sb="2" eb="4">
      <t>キョジュウ</t>
    </rPh>
    <rPh sb="5" eb="7">
      <t>カイシュウ</t>
    </rPh>
    <rPh sb="7" eb="8">
      <t>ゴ</t>
    </rPh>
    <rPh sb="9" eb="11">
      <t>キョジュウ</t>
    </rPh>
    <rPh sb="13" eb="15">
      <t>バアイ</t>
    </rPh>
    <rPh sb="16" eb="17">
      <t>フク</t>
    </rPh>
    <rPh sb="22" eb="24">
      <t>ショユウ</t>
    </rPh>
    <rPh sb="25" eb="27">
      <t>ケンリ</t>
    </rPh>
    <rPh sb="28" eb="29">
      <t>ユウ</t>
    </rPh>
    <rPh sb="31" eb="33">
      <t>コダテ</t>
    </rPh>
    <rPh sb="33" eb="35">
      <t>ジュウタク</t>
    </rPh>
    <rPh sb="35" eb="36">
      <t>マタ</t>
    </rPh>
    <rPh sb="37" eb="39">
      <t>キョウドウ</t>
    </rPh>
    <rPh sb="39" eb="41">
      <t>ジュウタク</t>
    </rPh>
    <rPh sb="42" eb="44">
      <t>センユウ</t>
    </rPh>
    <rPh sb="44" eb="46">
      <t>ブブン</t>
    </rPh>
    <rPh sb="47" eb="48">
      <t>カカ</t>
    </rPh>
    <rPh sb="49" eb="51">
      <t>コウジ</t>
    </rPh>
    <phoneticPr fontId="1"/>
  </si>
  <si>
    <t>※当該住宅と同一敷地内にあり、一体的に日常生活の用に供される車庫、物置、木塀等に係るものを含む。</t>
    <phoneticPr fontId="1"/>
  </si>
  <si>
    <t>様式第６号の２（第９条、第12条関係）</t>
    <rPh sb="0" eb="2">
      <t>ヨウシキ</t>
    </rPh>
    <rPh sb="2" eb="3">
      <t>ダイ</t>
    </rPh>
    <rPh sb="4" eb="5">
      <t>ゴウ</t>
    </rPh>
    <rPh sb="8" eb="9">
      <t>ダイ</t>
    </rPh>
    <rPh sb="10" eb="11">
      <t>ジョウ</t>
    </rPh>
    <rPh sb="12" eb="13">
      <t>ダイ</t>
    </rPh>
    <rPh sb="15" eb="16">
      <t>ジョウ</t>
    </rPh>
    <rPh sb="16" eb="18">
      <t>カンケイ</t>
    </rPh>
    <phoneticPr fontId="1"/>
  </si>
  <si>
    <t>工事種別</t>
    <rPh sb="0" eb="2">
      <t>コウジ</t>
    </rPh>
    <rPh sb="2" eb="4">
      <t>シュベツ</t>
    </rPh>
    <phoneticPr fontId="1"/>
  </si>
  <si>
    <t>建築工事届の要否</t>
    <rPh sb="0" eb="2">
      <t>ケンチク</t>
    </rPh>
    <rPh sb="2" eb="4">
      <t>コウジ</t>
    </rPh>
    <rPh sb="4" eb="5">
      <t>トドケ</t>
    </rPh>
    <rPh sb="6" eb="8">
      <t>ヨウヒ</t>
    </rPh>
    <phoneticPr fontId="1"/>
  </si>
  <si>
    <t>県産材を構造材若しくは下地材として０．３m3以上使用すること又は内外装材仕上げ材若しくは木塀として１m2以上使用すること。</t>
    <rPh sb="4" eb="7">
      <t>コウゾウザイ</t>
    </rPh>
    <rPh sb="7" eb="8">
      <t>モ</t>
    </rPh>
    <rPh sb="11" eb="14">
      <t>シタジザイ</t>
    </rPh>
    <rPh sb="22" eb="24">
      <t>イジョウ</t>
    </rPh>
    <rPh sb="24" eb="26">
      <t>シヨウ</t>
    </rPh>
    <rPh sb="30" eb="31">
      <t>マタ</t>
    </rPh>
    <rPh sb="32" eb="35">
      <t>ナイガイソウ</t>
    </rPh>
    <rPh sb="35" eb="36">
      <t>ザイ</t>
    </rPh>
    <rPh sb="36" eb="38">
      <t>シア</t>
    </rPh>
    <rPh sb="39" eb="40">
      <t>ザイ</t>
    </rPh>
    <rPh sb="40" eb="41">
      <t>モ</t>
    </rPh>
    <rPh sb="44" eb="45">
      <t>キ</t>
    </rPh>
    <rPh sb="45" eb="46">
      <t>ヘイ</t>
    </rPh>
    <rPh sb="52" eb="54">
      <t>イジョウ</t>
    </rPh>
    <rPh sb="54" eb="56">
      <t>シヨウ</t>
    </rPh>
    <phoneticPr fontId="1"/>
  </si>
  <si>
    <t>見付面積の算出過程及び結果並びに使用場所がわかる立面図、展開図等の書類</t>
  </si>
  <si>
    <t>・県産材の構造材又は下地材、県産内外装材、県産木塀の補助上限額は25万円になります。</t>
    <rPh sb="1" eb="2">
      <t>ケン</t>
    </rPh>
    <rPh sb="2" eb="4">
      <t>サンザイ</t>
    </rPh>
    <rPh sb="5" eb="8">
      <t>コウゾウザイ</t>
    </rPh>
    <rPh sb="8" eb="9">
      <t>マタ</t>
    </rPh>
    <rPh sb="10" eb="13">
      <t>シタジザイ</t>
    </rPh>
    <rPh sb="14" eb="16">
      <t>ケンサン</t>
    </rPh>
    <rPh sb="16" eb="17">
      <t>ナイ</t>
    </rPh>
    <rPh sb="17" eb="20">
      <t>ガイソウザイ</t>
    </rPh>
    <rPh sb="21" eb="23">
      <t>ケンサン</t>
    </rPh>
    <rPh sb="23" eb="24">
      <t>モク</t>
    </rPh>
    <rPh sb="24" eb="25">
      <t>ベイ</t>
    </rPh>
    <rPh sb="26" eb="28">
      <t>ホジョ</t>
    </rPh>
    <rPh sb="28" eb="31">
      <t>ジョウゲンガク</t>
    </rPh>
    <rPh sb="34" eb="36">
      <t>マンエン</t>
    </rPh>
    <phoneticPr fontId="1"/>
  </si>
  <si>
    <t>②県産材の構造材又は下地材の使用材積</t>
    <rPh sb="5" eb="8">
      <t>コウゾウザイ</t>
    </rPh>
    <rPh sb="8" eb="9">
      <t>マタ</t>
    </rPh>
    <rPh sb="10" eb="13">
      <t>シタジザイ</t>
    </rPh>
    <rPh sb="16" eb="18">
      <t>ザイセキ</t>
    </rPh>
    <phoneticPr fontId="1"/>
  </si>
  <si>
    <r>
      <t>③県産内外装材、県産木塀の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</si>
  <si>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①建築大工技能</t>
    <rPh sb="1" eb="3">
      <t>ケンチク</t>
    </rPh>
    <rPh sb="3" eb="5">
      <t>ダイク</t>
    </rPh>
    <rPh sb="5" eb="7">
      <t>ギノウ</t>
    </rPh>
    <phoneticPr fontId="1"/>
  </si>
  <si>
    <t>建築大工技能を活用した見付面積</t>
    <rPh sb="0" eb="2">
      <t>ケンチク</t>
    </rPh>
    <rPh sb="2" eb="4">
      <t>ダイク</t>
    </rPh>
    <rPh sb="4" eb="6">
      <t>ギノウ</t>
    </rPh>
    <rPh sb="7" eb="9">
      <t>カツヨウ</t>
    </rPh>
    <rPh sb="11" eb="13">
      <t>ミツケ</t>
    </rPh>
    <rPh sb="13" eb="15">
      <t>メンセキ</t>
    </rPh>
    <phoneticPr fontId="1"/>
  </si>
  <si>
    <t>m2</t>
  </si>
  <si>
    <t>見付面積１m2あたり11,000円を支援する。（1m2未満切捨て）</t>
    <rPh sb="0" eb="2">
      <t>ミツケ</t>
    </rPh>
    <rPh sb="2" eb="4">
      <t>メンセキ</t>
    </rPh>
    <rPh sb="16" eb="17">
      <t>エン</t>
    </rPh>
    <rPh sb="18" eb="20">
      <t>シエン</t>
    </rPh>
    <rPh sb="27" eb="29">
      <t>ミマン</t>
    </rPh>
    <rPh sb="29" eb="31">
      <t>キリス</t>
    </rPh>
    <phoneticPr fontId="1"/>
  </si>
  <si>
    <t>見付面積１m2あたり19,000円を支援する。（1m2未満切捨て）</t>
    <rPh sb="0" eb="2">
      <t>ミツケ</t>
    </rPh>
    <rPh sb="2" eb="4">
      <t>メンセキ</t>
    </rPh>
    <rPh sb="16" eb="17">
      <t>エン</t>
    </rPh>
    <rPh sb="18" eb="20">
      <t>シエン</t>
    </rPh>
    <phoneticPr fontId="1"/>
  </si>
  <si>
    <r>
      <t>県産材を使用し、かつ、建築大工技能を活用して室内の見え掛かり部分（床材、壁材、天井材等）の仕上げ改修を行う部分の見付面積（柱、はり等の構造材の見付面積を除く。）と外壁の下見板張りの</t>
    </r>
    <r>
      <rPr>
        <sz val="11"/>
        <color rgb="FFFF0000"/>
        <rFont val="ＭＳ Ｐ明朝"/>
        <family val="1"/>
        <charset val="128"/>
      </rPr>
      <t>見付面積の合計が７m2以上のものに限る</t>
    </r>
    <r>
      <rPr>
        <sz val="11"/>
        <color theme="1"/>
        <rFont val="ＭＳ Ｐ明朝"/>
        <family val="1"/>
        <charset val="128"/>
      </rPr>
      <t>。</t>
    </r>
    <phoneticPr fontId="1"/>
  </si>
  <si>
    <r>
      <t>県内に本拠地を置く建具業者が製作した</t>
    </r>
    <r>
      <rPr>
        <sz val="11"/>
        <color rgb="FFFF0000"/>
        <rFont val="ＭＳ Ｐ明朝"/>
        <family val="1"/>
        <charset val="128"/>
      </rPr>
      <t>木製建具を見付面積３m2以上使用</t>
    </r>
    <r>
      <rPr>
        <sz val="11"/>
        <color theme="1"/>
        <rFont val="ＭＳ Ｐ明朝"/>
        <family val="1"/>
        <charset val="128"/>
      </rPr>
      <t>したもの</t>
    </r>
    <phoneticPr fontId="1"/>
  </si>
  <si>
    <t>②左官仕上げ</t>
    <rPh sb="1" eb="3">
      <t>サカン</t>
    </rPh>
    <rPh sb="3" eb="5">
      <t>シア</t>
    </rPh>
    <phoneticPr fontId="1"/>
  </si>
  <si>
    <t>③木製建具</t>
    <rPh sb="1" eb="3">
      <t>モクセイ</t>
    </rPh>
    <rPh sb="3" eb="5">
      <t>タテグ</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</si>
  <si>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</si>
  <si>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</si>
  <si>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</si>
  <si>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</si>
  <si>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都道府県名</t>
    <rPh sb="0" eb="4">
      <t>トドウフケン</t>
    </rPh>
    <rPh sb="4" eb="5">
      <t>メイ</t>
    </rPh>
    <phoneticPr fontId="1"/>
  </si>
  <si>
    <t>知事</t>
    <rPh sb="0" eb="2">
      <t>チジ</t>
    </rPh>
    <phoneticPr fontId="1"/>
  </si>
  <si>
    <t>登録番号</t>
    <rPh sb="0" eb="2">
      <t>トウロク</t>
    </rPh>
    <rPh sb="2" eb="4">
      <t>バンゴウ</t>
    </rPh>
    <phoneticPr fontId="1"/>
  </si>
  <si>
    <t>※工事監理者　建築士法（昭和25年法律第202号）第２条第８項に規定する工事監理をする者をいう。</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</si>
  <si>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建設地の小学校区</t>
    <rPh sb="0" eb="3">
      <t>ケンセツチ</t>
    </rPh>
    <rPh sb="4" eb="7">
      <t>ショウガッコウ</t>
    </rPh>
    <rPh sb="7" eb="8">
      <t>ク</t>
    </rPh>
    <phoneticPr fontId="1"/>
  </si>
  <si>
    <t>同居、近居対象の親族世帯</t>
    <rPh sb="0" eb="2">
      <t>ドウキョ</t>
    </rPh>
    <rPh sb="3" eb="5">
      <t>キンキョ</t>
    </rPh>
    <rPh sb="5" eb="7">
      <t>タイショウ</t>
    </rPh>
    <rPh sb="8" eb="10">
      <t>シンゾク</t>
    </rPh>
    <rPh sb="10" eb="12">
      <t>セタイ</t>
    </rPh>
    <phoneticPr fontId="1"/>
  </si>
  <si>
    <t>小学校区</t>
    <rPh sb="0" eb="3">
      <t>ショウガッコウ</t>
    </rPh>
    <rPh sb="3" eb="4">
      <t>ク</t>
    </rPh>
    <phoneticPr fontId="1"/>
  </si>
  <si>
    <t>※改修費の１／２（千円未満切捨て）又は補助金計算額のうちどちらか低い額が上限額になります。</t>
    <rPh sb="1" eb="4">
      <t>カイシュウヒ</t>
    </rPh>
    <rPh sb="9" eb="11">
      <t>センエン</t>
    </rPh>
    <rPh sb="11" eb="13">
      <t>ミマン</t>
    </rPh>
    <rPh sb="13" eb="15">
      <t>キリス</t>
    </rPh>
    <rPh sb="17" eb="18">
      <t>マタ</t>
    </rPh>
    <rPh sb="19" eb="22">
      <t>ホジョキン</t>
    </rPh>
    <rPh sb="22" eb="24">
      <t>ケイサン</t>
    </rPh>
    <rPh sb="24" eb="25">
      <t>ガク</t>
    </rPh>
    <rPh sb="32" eb="33">
      <t>ヒク</t>
    </rPh>
    <rPh sb="34" eb="35">
      <t>ガク</t>
    </rPh>
    <rPh sb="36" eb="39">
      <t>ジョウゲンガク</t>
    </rPh>
    <phoneticPr fontId="1"/>
  </si>
  <si>
    <r>
      <t>上記左官の</t>
    </r>
    <r>
      <rPr>
        <sz val="11"/>
        <rFont val="ＭＳ Ｐ明朝"/>
        <family val="1"/>
        <charset val="128"/>
      </rPr>
      <t>こて塗り</t>
    </r>
    <r>
      <rPr>
        <sz val="11"/>
        <color theme="1"/>
        <rFont val="ＭＳ Ｐ明朝"/>
        <family val="1"/>
        <charset val="128"/>
      </rPr>
      <t>面積</t>
    </r>
    <rPh sb="0" eb="2">
      <t>ジョウキ</t>
    </rPh>
    <rPh sb="2" eb="4">
      <t>サカン</t>
    </rPh>
    <rPh sb="7" eb="8">
      <t>ヌ</t>
    </rPh>
    <rPh sb="9" eb="11">
      <t>メンセキ</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</si>
  <si>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</si>
  <si>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その他、この住宅の改修にあたり関連法令に適合していること。</t>
    <rPh sb="2" eb="3">
      <t>タ</t>
    </rPh>
    <rPh sb="6" eb="8">
      <t>ジュウタク</t>
    </rPh>
    <rPh sb="9" eb="11">
      <t>カイシュウ</t>
    </rPh>
    <rPh sb="15" eb="17">
      <t>カンレン</t>
    </rPh>
    <rPh sb="17" eb="19">
      <t>ホウレイ</t>
    </rPh>
    <rPh sb="20" eb="22">
      <t>テキゴウ</t>
    </rPh>
    <phoneticPr fontId="1"/>
  </si>
  <si>
    <t>外壁の場合はモルタル塗、漆喰塗、その他のこて塗仕上げ</t>
    <phoneticPr fontId="1"/>
  </si>
  <si>
    <t>内壁の場合はモルタル塗、漆喰塗、土塗壁、じゅらく塗、</t>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</si>
  <si>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</si>
  <si>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＜実績報告時の提出書類＞施工状況の写真（建築主名記載の工事看板入り）</t>
    <rPh sb="1" eb="3">
      <t>ジッセキ</t>
    </rPh>
    <rPh sb="3" eb="5">
      <t>ホウコク</t>
    </rPh>
    <rPh sb="5" eb="6">
      <t>ジ</t>
    </rPh>
    <rPh sb="7" eb="9">
      <t>テイシュツ</t>
    </rPh>
    <rPh sb="9" eb="11">
      <t>ショルイ</t>
    </rPh>
    <rPh sb="12" eb="14">
      <t>セコウ</t>
    </rPh>
    <rPh sb="14" eb="16">
      <t>ジョウキョウ</t>
    </rPh>
    <rPh sb="17" eb="19">
      <t>シャシン</t>
    </rPh>
    <rPh sb="20" eb="22">
      <t>ケンチク</t>
    </rPh>
    <rPh sb="22" eb="23">
      <t>ヌシ</t>
    </rPh>
    <rPh sb="23" eb="24">
      <t>メイ</t>
    </rPh>
    <rPh sb="24" eb="26">
      <t>キサイ</t>
    </rPh>
    <rPh sb="27" eb="29">
      <t>コウジ</t>
    </rPh>
    <rPh sb="29" eb="31">
      <t>カンバン</t>
    </rPh>
    <rPh sb="31" eb="32">
      <t>イ</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</si>
  <si>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</si>
  <si>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　私は、とっとり住まいる支援事業補助金交付要綱を熟読し、交付申請（実績報告）内容について下記のとおり確認しました。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4" eb="26">
      <t>ジュクドク</t>
    </rPh>
    <rPh sb="28" eb="30">
      <t>コウフ</t>
    </rPh>
    <rPh sb="30" eb="32">
      <t>シンセイ</t>
    </rPh>
    <rPh sb="33" eb="35">
      <t>ジッセキ</t>
    </rPh>
    <rPh sb="35" eb="37">
      <t>ホウコク</t>
    </rPh>
    <rPh sb="38" eb="40">
      <t>ナイヨウ</t>
    </rPh>
    <phoneticPr fontId="1"/>
  </si>
  <si>
    <t>要綱を熟読し、補助対象要件を確認した。</t>
    <phoneticPr fontId="1"/>
  </si>
  <si>
    <r>
      <t>珪藻土塗その他のこて塗仕上げで</t>
    </r>
    <r>
      <rPr>
        <sz val="11"/>
        <color rgb="FFFF0000"/>
        <rFont val="ＭＳ Ｐ明朝"/>
        <family val="1"/>
        <charset val="128"/>
      </rPr>
      <t>7m2以上施工</t>
    </r>
    <rPh sb="18" eb="20">
      <t>イジョウ</t>
    </rPh>
    <rPh sb="20" eb="22">
      <t>セコウ</t>
    </rPh>
    <phoneticPr fontId="1"/>
  </si>
  <si>
    <t>こて塗り面積１m2あたり13,000円を支援する。（1m2未満切捨て）</t>
    <rPh sb="2" eb="3">
      <t>ヌ</t>
    </rPh>
    <rPh sb="4" eb="6">
      <t>メンセキ</t>
    </rPh>
    <rPh sb="18" eb="19">
      <t>エン</t>
    </rPh>
    <rPh sb="20" eb="22">
      <t>シエン</t>
    </rPh>
    <phoneticPr fontId="1"/>
  </si>
  <si>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</si>
  <si>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工事監理者氏名</t>
  </si>
  <si>
    <t>完成写真及び口座振替依頼書</t>
    <rPh sb="0" eb="2">
      <t>カンセイ</t>
    </rPh>
    <rPh sb="2" eb="4">
      <t>シャシン</t>
    </rPh>
    <rPh sb="4" eb="5">
      <t>オヨ</t>
    </rPh>
    <rPh sb="6" eb="8">
      <t>コウザ</t>
    </rPh>
    <rPh sb="8" eb="10">
      <t>フリカエ</t>
    </rPh>
    <rPh sb="10" eb="13">
      <t>イライショ</t>
    </rPh>
    <phoneticPr fontId="1"/>
  </si>
  <si>
    <t>あなたが補助金実績報告で提出する書類は次のとおりです。</t>
    <rPh sb="4" eb="7">
      <t>ホジョキン</t>
    </rPh>
    <rPh sb="7" eb="9">
      <t>ジッセキ</t>
    </rPh>
    <rPh sb="9" eb="11">
      <t>ホウコク</t>
    </rPh>
    <rPh sb="12" eb="14">
      <t>テイシュツ</t>
    </rPh>
    <rPh sb="16" eb="18">
      <t>ショルイ</t>
    </rPh>
    <rPh sb="19" eb="20">
      <t>ツギ</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</si>
  <si>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</si>
  <si>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</si>
  <si>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交付決定額</t>
    <rPh sb="0" eb="2">
      <t>コウフ</t>
    </rPh>
    <rPh sb="2" eb="5">
      <t>ケッテイガク</t>
    </rPh>
    <phoneticPr fontId="1"/>
  </si>
  <si>
    <t>補助金等の名称</t>
    <rPh sb="0" eb="2">
      <t>ホジョ</t>
    </rPh>
    <rPh sb="2" eb="3">
      <t>キン</t>
    </rPh>
    <rPh sb="3" eb="4">
      <t>トウ</t>
    </rPh>
    <rPh sb="5" eb="7">
      <t>メイショウ</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</si>
  <si>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</si>
  <si>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</si>
  <si>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</si>
  <si>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</si>
  <si>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回答選択</t>
    <rPh sb="0" eb="2">
      <t>カイトウ</t>
    </rPh>
    <rPh sb="2" eb="4">
      <t>センタク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</si>
  <si>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</si>
  <si>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</si>
  <si>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</si>
  <si>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</si>
  <si>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三世代同居等世帯</t>
    <rPh sb="0" eb="1">
      <t>サン</t>
    </rPh>
    <rPh sb="1" eb="3">
      <t>セダイ</t>
    </rPh>
    <rPh sb="3" eb="5">
      <t>ドウキョ</t>
    </rPh>
    <rPh sb="5" eb="6">
      <t>ナド</t>
    </rPh>
    <rPh sb="6" eb="8">
      <t>セタイ</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</si>
  <si>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</si>
  <si>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</si>
  <si>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</si>
  <si>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</si>
  <si>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算定基準額</t>
    <rPh sb="0" eb="2">
      <t>サンテイ</t>
    </rPh>
    <rPh sb="2" eb="5">
      <t>キジュンガク</t>
    </rPh>
    <phoneticPr fontId="1"/>
  </si>
  <si>
    <t>交付申請時の改修工事費</t>
    <rPh sb="0" eb="2">
      <t>コウフ</t>
    </rPh>
    <rPh sb="2" eb="5">
      <t>シンセイジ</t>
    </rPh>
    <rPh sb="6" eb="8">
      <t>カイシュウ</t>
    </rPh>
    <rPh sb="8" eb="11">
      <t>コウジヒ</t>
    </rPh>
    <phoneticPr fontId="1"/>
  </si>
  <si>
    <t>↑単位に注意</t>
    <rPh sb="1" eb="3">
      <t>タンイ</t>
    </rPh>
    <rPh sb="4" eb="6">
      <t>チュウイ</t>
    </rPh>
    <phoneticPr fontId="1"/>
  </si>
  <si>
    <t>実績報告時の改修工事費</t>
    <rPh sb="0" eb="2">
      <t>ジッセキ</t>
    </rPh>
    <rPh sb="2" eb="4">
      <t>ホウコク</t>
    </rPh>
    <rPh sb="4" eb="5">
      <t>ジ</t>
    </rPh>
    <rPh sb="6" eb="8">
      <t>カイシュウ</t>
    </rPh>
    <rPh sb="8" eb="11">
      <t>コウジヒ</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</si>
  <si>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</si>
  <si>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r>
      <rPr>
        <sz val="11"/>
        <color rgb="FF0000FF"/>
        <rFont val="ＭＳ 明朝"/>
        <family val="1"/>
        <charset val="128"/>
      </rPr>
      <t>青の欄のみ入力</t>
    </r>
    <r>
      <rPr>
        <sz val="11"/>
        <color theme="1"/>
        <rFont val="ＭＳ 明朝"/>
        <family val="1"/>
        <charset val="128"/>
      </rPr>
      <t>、黄色の欄は自動計算</t>
    </r>
    <rPh sb="0" eb="1">
      <t>アオ</t>
    </rPh>
    <rPh sb="2" eb="3">
      <t>ラン</t>
    </rPh>
    <rPh sb="5" eb="7">
      <t>ニュウリョク</t>
    </rPh>
    <rPh sb="8" eb="10">
      <t>キイロ</t>
    </rPh>
    <rPh sb="11" eb="12">
      <t>ラン</t>
    </rPh>
    <rPh sb="13" eb="15">
      <t>ジドウ</t>
    </rPh>
    <rPh sb="15" eb="17">
      <t>ケイサン</t>
    </rPh>
    <phoneticPr fontId="1"/>
  </si>
  <si>
    <t>↑単位に注意　万円単位で入力してください（200万円→200で入力、90万3千円→90.3で入力）</t>
    <rPh sb="1" eb="3">
      <t>タンイ</t>
    </rPh>
    <rPh sb="4" eb="6">
      <t>チュウイ</t>
    </rPh>
    <rPh sb="7" eb="9">
      <t>マンエン</t>
    </rPh>
    <rPh sb="9" eb="11">
      <t>タンイ</t>
    </rPh>
    <rPh sb="12" eb="14">
      <t>ニュウリョク</t>
    </rPh>
    <rPh sb="24" eb="26">
      <t>マンエン</t>
    </rPh>
    <rPh sb="31" eb="33">
      <t>ニュウリョク</t>
    </rPh>
    <rPh sb="36" eb="37">
      <t>マン</t>
    </rPh>
    <rPh sb="38" eb="40">
      <t>センエン</t>
    </rPh>
    <rPh sb="46" eb="48">
      <t>ニュウリョク</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</si>
  <si>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</si>
  <si>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</si>
  <si>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</si>
  <si>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</si>
  <si>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</si>
  <si>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</si>
  <si>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</si>
  <si>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</si>
  <si>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</si>
  <si>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</si>
  <si>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</si>
  <si>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</si>
  <si>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・申請者の戸籍抄本又は戸籍謄本</t>
    <rPh sb="1" eb="3">
      <t>シンセイ</t>
    </rPh>
    <rPh sb="3" eb="4">
      <t>シャ</t>
    </rPh>
    <rPh sb="5" eb="7">
      <t>コセキ</t>
    </rPh>
    <rPh sb="7" eb="9">
      <t>ショウホン</t>
    </rPh>
    <rPh sb="9" eb="10">
      <t>マタ</t>
    </rPh>
    <rPh sb="11" eb="13">
      <t>コセキ</t>
    </rPh>
    <rPh sb="13" eb="15">
      <t>トウホン</t>
    </rPh>
    <phoneticPr fontId="1"/>
  </si>
  <si>
    <t>・同居又は近居する直系親族世帯全員の住民票の写し　（補助対象住宅に転居後のもの）</t>
    <rPh sb="1" eb="3">
      <t>ドウキョ</t>
    </rPh>
    <rPh sb="3" eb="4">
      <t>マタ</t>
    </rPh>
    <rPh sb="5" eb="7">
      <t>キンキョ</t>
    </rPh>
    <rPh sb="9" eb="11">
      <t>チョッケイ</t>
    </rPh>
    <rPh sb="11" eb="13">
      <t>シンゾク</t>
    </rPh>
    <rPh sb="13" eb="15">
      <t>セタイ</t>
    </rPh>
    <rPh sb="15" eb="17">
      <t>ゼンイン</t>
    </rPh>
    <rPh sb="18" eb="21">
      <t>ジュウミンヒョウ</t>
    </rPh>
    <rPh sb="22" eb="23">
      <t>ウツ</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</si>
  <si>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</si>
  <si>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増改築</t>
    <rPh sb="0" eb="3">
      <t>ゾウカイチク</t>
    </rPh>
    <phoneticPr fontId="1"/>
  </si>
  <si>
    <t>車庫、物置、木塀等の工事</t>
    <rPh sb="0" eb="2">
      <t>シャコ</t>
    </rPh>
    <rPh sb="3" eb="5">
      <t>モノオキ</t>
    </rPh>
    <rPh sb="6" eb="7">
      <t>モク</t>
    </rPh>
    <rPh sb="7" eb="8">
      <t>ベイ</t>
    </rPh>
    <rPh sb="8" eb="9">
      <t>ナド</t>
    </rPh>
    <rPh sb="10" eb="12">
      <t>コウジ</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</si>
  <si>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</si>
  <si>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（実績報告時）交付申請時からの改修部分の図面、配置図の変更がある。</t>
    <rPh sb="1" eb="3">
      <t>ジッセキ</t>
    </rPh>
    <rPh sb="3" eb="5">
      <t>ホウコク</t>
    </rPh>
    <rPh sb="5" eb="6">
      <t>ジ</t>
    </rPh>
    <rPh sb="7" eb="9">
      <t>コウフ</t>
    </rPh>
    <rPh sb="9" eb="11">
      <t>シンセイ</t>
    </rPh>
    <rPh sb="11" eb="12">
      <t>ジ</t>
    </rPh>
    <rPh sb="15" eb="17">
      <t>カイシュウ</t>
    </rPh>
    <rPh sb="17" eb="19">
      <t>ブブン</t>
    </rPh>
    <rPh sb="20" eb="22">
      <t>ズメン</t>
    </rPh>
    <rPh sb="23" eb="26">
      <t>ハイチズ</t>
    </rPh>
    <rPh sb="27" eb="29">
      <t>ヘンコウ</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</si>
  <si>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</si>
  <si>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</si>
  <si>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</si>
  <si>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とっとり健康省エネ住宅改修支援事業補助金</t>
    <rPh sb="4" eb="6">
      <t>ケンコウ</t>
    </rPh>
    <rPh sb="6" eb="7">
      <t>ショウ</t>
    </rPh>
    <rPh sb="9" eb="11">
      <t>ジュウタク</t>
    </rPh>
    <rPh sb="11" eb="13">
      <t>カイシュウ</t>
    </rPh>
    <rPh sb="13" eb="15">
      <t>シエン</t>
    </rPh>
    <rPh sb="15" eb="17">
      <t>ジギョウ</t>
    </rPh>
    <rPh sb="17" eb="20">
      <t>ホジョキン</t>
    </rPh>
    <phoneticPr fontId="1"/>
  </si>
  <si>
    <t>鳥取県生活環境部住まいまちづくり課</t>
    <rPh sb="0" eb="3">
      <t>トットリケン</t>
    </rPh>
    <rPh sb="3" eb="5">
      <t>セイカツ</t>
    </rPh>
    <rPh sb="5" eb="8">
      <t>カンキョウブ</t>
    </rPh>
    <rPh sb="8" eb="9">
      <t>ス</t>
    </rPh>
    <rPh sb="16" eb="17">
      <t>カ</t>
    </rPh>
    <phoneticPr fontId="1"/>
  </si>
  <si>
    <t>0857-26-7398</t>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</si>
  <si>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</si>
  <si>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</si>
  <si>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</si>
  <si>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</si>
  <si>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21"/>
  </si>
  <si>
    <t>区分</t>
    <rPh sb="0" eb="2">
      <t>クブン</t>
    </rPh>
    <phoneticPr fontId="21"/>
  </si>
  <si>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</si>
  <si>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</si>
  <si>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</si>
  <si>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</si>
  <si>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21"/>
  </si>
  <si>
    <t>建設地</t>
    <rPh sb="0" eb="3">
      <t>ケンセツチ</t>
    </rPh>
    <phoneticPr fontId="21"/>
  </si>
  <si>
    <t>新築助成（予定）</t>
    <rPh sb="0" eb="2">
      <t>シンチク</t>
    </rPh>
    <rPh sb="2" eb="4">
      <t>ジョセイ</t>
    </rPh>
    <rPh sb="5" eb="7">
      <t>ヨテイ</t>
    </rPh>
    <phoneticPr fontId="21"/>
  </si>
  <si>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</si>
  <si>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</si>
  <si>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21"/>
  </si>
  <si>
    <t>交付（登録）決定</t>
    <rPh sb="0" eb="2">
      <t>コウフ</t>
    </rPh>
    <rPh sb="3" eb="5">
      <t>トウロク</t>
    </rPh>
    <rPh sb="6" eb="8">
      <t>ケッテイ</t>
    </rPh>
    <phoneticPr fontId="21"/>
  </si>
  <si>
    <t>業者名</t>
    <rPh sb="0" eb="2">
      <t>ギョウシャ</t>
    </rPh>
    <rPh sb="2" eb="3">
      <t>メイ</t>
    </rPh>
    <phoneticPr fontId="21"/>
  </si>
  <si>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</si>
  <si>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</si>
  <si>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</si>
  <si>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</si>
  <si>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</si>
  <si>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</si>
  <si>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補助金併用</t>
    <rPh sb="0" eb="3">
      <t>ホジョキン</t>
    </rPh>
    <rPh sb="3" eb="5">
      <t>ヘイヨウ</t>
    </rPh>
    <phoneticPr fontId="31"/>
  </si>
  <si>
    <t>省エネルギー性能</t>
    <rPh sb="0" eb="1">
      <t>ショウ</t>
    </rPh>
    <rPh sb="6" eb="8">
      <t>セイノウ</t>
    </rPh>
    <phoneticPr fontId="1"/>
  </si>
  <si>
    <t>新築助成（実績）</t>
    <rPh sb="0" eb="2">
      <t>シンチク</t>
    </rPh>
    <rPh sb="2" eb="4">
      <t>ジョセイ</t>
    </rPh>
    <rPh sb="5" eb="7">
      <t>ジッセキ</t>
    </rPh>
    <phoneticPr fontId="21"/>
  </si>
  <si>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</si>
  <si>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</si>
  <si>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21"/>
  </si>
  <si>
    <t>郵便番号</t>
    <rPh sb="0" eb="4">
      <t>ユウビンバンゴウ</t>
    </rPh>
    <phoneticPr fontId="31"/>
  </si>
  <si>
    <t>住所</t>
    <rPh sb="0" eb="2">
      <t>ジュウショ</t>
    </rPh>
    <phoneticPr fontId="31"/>
  </si>
  <si>
    <t>電話</t>
    <rPh sb="0" eb="2">
      <t>デンワ</t>
    </rPh>
    <phoneticPr fontId="21"/>
  </si>
  <si>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</si>
  <si>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21"/>
  </si>
  <si>
    <t>機械等級区分構造材</t>
    <rPh sb="0" eb="2">
      <t>キカイ</t>
    </rPh>
    <rPh sb="2" eb="4">
      <t>トウキュウ</t>
    </rPh>
    <rPh sb="4" eb="6">
      <t>クブン</t>
    </rPh>
    <rPh sb="6" eb="9">
      <t>コウゾウザイ</t>
    </rPh>
    <phoneticPr fontId="21"/>
  </si>
  <si>
    <t>県産ＣＬＴ材</t>
    <rPh sb="0" eb="2">
      <t>ケンサン</t>
    </rPh>
    <rPh sb="5" eb="6">
      <t>ザイ</t>
    </rPh>
    <phoneticPr fontId="21"/>
  </si>
  <si>
    <t>県産内外装材</t>
    <rPh sb="0" eb="2">
      <t>ケンサン</t>
    </rPh>
    <rPh sb="2" eb="5">
      <t>ナイガイソウ</t>
    </rPh>
    <rPh sb="5" eb="6">
      <t>ザイ</t>
    </rPh>
    <phoneticPr fontId="21"/>
  </si>
  <si>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</si>
  <si>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</si>
  <si>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21"/>
  </si>
  <si>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</si>
  <si>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</si>
  <si>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</si>
  <si>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21"/>
  </si>
  <si>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</si>
  <si>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</si>
  <si>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</si>
  <si>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</si>
  <si>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21"/>
  </si>
  <si>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</si>
  <si>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</si>
  <si>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</si>
  <si>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</si>
  <si>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</si>
  <si>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</si>
  <si>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</si>
  <si>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</si>
  <si>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</si>
  <si>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CLT使用量
(m3)</t>
    <rPh sb="3" eb="6">
      <t>シヨウリョウ</t>
    </rPh>
    <phoneticPr fontId="31"/>
  </si>
  <si>
    <t>算出値
(千円)</t>
    <rPh sb="0" eb="2">
      <t>サンシュツ</t>
    </rPh>
    <rPh sb="2" eb="3">
      <t>チ</t>
    </rPh>
    <rPh sb="5" eb="7">
      <t>センエン</t>
    </rPh>
    <phoneticPr fontId="31"/>
  </si>
  <si>
    <t>補助金額</t>
    <rPh sb="0" eb="3">
      <t>ホジョキン</t>
    </rPh>
    <rPh sb="3" eb="4">
      <t>ガク</t>
    </rPh>
    <phoneticPr fontId="1"/>
  </si>
  <si>
    <t>内外装材使用量
(m3)</t>
    <rPh sb="0" eb="3">
      <t>ナイガイソウ</t>
    </rPh>
    <rPh sb="3" eb="4">
      <t>ザイ</t>
    </rPh>
    <rPh sb="4" eb="7">
      <t>シヨウリョウ</t>
    </rPh>
    <phoneticPr fontId="31"/>
  </si>
  <si>
    <t>18歳以下</t>
    <rPh sb="2" eb="3">
      <t>サイ</t>
    </rPh>
    <rPh sb="3" eb="5">
      <t>イカ</t>
    </rPh>
    <phoneticPr fontId="31"/>
  </si>
  <si>
    <t>18歳以下なしかつ婚姻10年</t>
    <rPh sb="2" eb="3">
      <t>サイ</t>
    </rPh>
    <rPh sb="3" eb="5">
      <t>イカ</t>
    </rPh>
    <rPh sb="9" eb="11">
      <t>コンイン</t>
    </rPh>
    <rPh sb="13" eb="14">
      <t>ネン</t>
    </rPh>
    <phoneticPr fontId="31"/>
  </si>
  <si>
    <t xml:space="preserve">有
</t>
    <rPh sb="0" eb="1">
      <t>ア</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</si>
  <si>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</si>
  <si>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</si>
  <si>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</si>
  <si>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</si>
  <si>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</si>
  <si>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</si>
  <si>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</si>
  <si>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</si>
  <si>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</si>
  <si>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</si>
  <si>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</si>
  <si>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</si>
  <si>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</si>
  <si>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</si>
  <si>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</si>
  <si>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</si>
  <si>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</si>
  <si>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</si>
  <si>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</si>
  <si>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</si>
  <si>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</si>
  <si>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</si>
  <si>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</si>
  <si>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</si>
  <si>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</si>
  <si>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21"/>
  </si>
  <si>
    <t>着工</t>
    <rPh sb="0" eb="2">
      <t>チャッコウ</t>
    </rPh>
    <phoneticPr fontId="21"/>
  </si>
  <si>
    <t>完成</t>
    <rPh sb="0" eb="2">
      <t>カンセイ</t>
    </rPh>
    <phoneticPr fontId="21"/>
  </si>
  <si>
    <t>日付</t>
    <rPh sb="0" eb="2">
      <t>ヒヅケ</t>
    </rPh>
    <phoneticPr fontId="21"/>
  </si>
  <si>
    <t>金額</t>
    <rPh sb="0" eb="2">
      <t>キンガク</t>
    </rPh>
    <phoneticPr fontId="21"/>
  </si>
  <si>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</si>
  <si>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</si>
  <si>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</si>
  <si>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</si>
  <si>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</si>
  <si>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</si>
  <si>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</si>
  <si>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</si>
  <si>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</si>
  <si>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</si>
  <si>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</si>
  <si>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</si>
  <si>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</si>
  <si>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</si>
  <si>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</si>
  <si>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</si>
  <si>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</si>
  <si>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</si>
  <si>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</si>
  <si>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</si>
  <si>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</si>
  <si>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</si>
  <si>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</si>
  <si>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</si>
  <si>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</si>
  <si>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</si>
  <si>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</si>
  <si>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</si>
  <si>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</si>
  <si>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</si>
  <si>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</si>
  <si>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</si>
  <si>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</si>
  <si>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</si>
  <si>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</si>
  <si>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21"/>
  </si>
  <si>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</si>
  <si>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</si>
  <si>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21"/>
  </si>
  <si>
    <t>実績減
（千円）</t>
    <rPh sb="0" eb="2">
      <t>ジッセキ</t>
    </rPh>
    <rPh sb="2" eb="3">
      <t>ゲン</t>
    </rPh>
    <rPh sb="5" eb="7">
      <t>センエン</t>
    </rPh>
    <phoneticPr fontId="21"/>
  </si>
  <si>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</si>
  <si>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</si>
  <si>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</si>
  <si>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</si>
  <si>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</si>
  <si>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</si>
  <si>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</si>
  <si>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</si>
  <si>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</si>
  <si>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</si>
  <si>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</si>
  <si>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</si>
  <si>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</si>
  <si>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要</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</si>
  <si>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</si>
  <si>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</si>
  <si>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</si>
  <si>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</si>
  <si>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</si>
  <si>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</si>
  <si>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</si>
  <si>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</si>
  <si>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</si>
  <si>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</si>
  <si>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</si>
  <si>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</si>
  <si>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</si>
  <si>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</si>
  <si>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</si>
  <si>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</si>
  <si>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</si>
  <si>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</si>
  <si>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</si>
  <si>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</si>
  <si>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</si>
  <si>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</si>
  <si>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</si>
  <si>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</si>
  <si>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</si>
  <si>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</si>
  <si>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</si>
  <si>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</si>
  <si>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</si>
  <si>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
  </si>
  <si>
    <t>入力行</t>
    <rPh sb="0" eb="2">
      <t>ニュウリョク</t>
    </rPh>
    <rPh sb="2" eb="3">
      <t>ギョウ</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</si>
  <si>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</si>
  <si>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</si>
  <si>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令和</t>
    <rPh sb="0" eb="2">
      <t>レイワ</t>
    </rPh>
    <phoneticPr fontId="1"/>
  </si>
  <si>
    <t>補助金の名称</t>
    <rPh sb="0" eb="3">
      <t>ホジョキン</t>
    </rPh>
    <rPh sb="4" eb="6">
      <t>メイショウ</t>
    </rPh>
    <phoneticPr fontId="1"/>
  </si>
  <si>
    <t>　私は、とっとり住まいる支援事業補助金交付要綱を熟読し、実績報告内容について上記のとおり確認しました。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24" eb="26">
      <t>ジュクドク</t>
    </rPh>
    <rPh sb="28" eb="30">
      <t>ジッセキ</t>
    </rPh>
    <rPh sb="30" eb="32">
      <t>ホウコク</t>
    </rPh>
    <rPh sb="32" eb="34">
      <t>ナイヨウ</t>
    </rPh>
    <rPh sb="38" eb="39">
      <t>ウエ</t>
    </rPh>
    <phoneticPr fontId="1"/>
  </si>
  <si>
    <t>令和5年度とっとり住まいる支援事業台帳</t>
    <rPh sb="0" eb="2">
      <t>レイワ</t>
    </rPh>
    <rPh sb="17" eb="19">
      <t>ダイチョウ</t>
    </rPh>
    <phoneticPr fontId="1"/>
  </si>
  <si>
    <t>〇</t>
  </si>
  <si>
    <t>→FC列から範囲選択でコピぺ（列全体をコピペしないこと！）</t>
    <rPh sb="3" eb="4">
      <t>レツ</t>
    </rPh>
    <rPh sb="6" eb="10">
      <t>ハンイセンタク</t>
    </rPh>
    <rPh sb="15" eb="18">
      <t>レツゼンタイ</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</si>
  <si>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1"/>
  </si>
  <si>
    <t>鳥取県産材活用協議会が発行する県産材の産地証明書の写し</t>
    <rPh sb="15" eb="18">
      <t>ケンサンザイ</t>
    </rPh>
    <rPh sb="19" eb="21">
      <t>サンチ</t>
    </rPh>
    <rPh sb="21" eb="24">
      <t>ショウメイショ</t>
    </rPh>
    <rPh sb="25" eb="26">
      <t>ウツ</t>
    </rPh>
    <phoneticPr fontId="1"/>
  </si>
  <si>
    <r>
      <rPr>
        <sz val="9"/>
        <color rgb="FFFF0000"/>
        <rFont val="ＭＳ 明朝"/>
        <family val="1"/>
        <charset val="128"/>
      </rPr>
      <t>含水率の測定結果写真</t>
    </r>
    <r>
      <rPr>
        <sz val="9"/>
        <color rgb="FF0066FF"/>
        <rFont val="ＭＳ 明朝"/>
        <family val="1"/>
        <charset val="128"/>
      </rPr>
      <t>又は鳥取県木材協同組合連合会が発行する</t>
    </r>
    <r>
      <rPr>
        <sz val="9"/>
        <color rgb="FFFF0000"/>
        <rFont val="ＭＳ 明朝"/>
        <family val="1"/>
        <charset val="128"/>
      </rPr>
      <t>日本農林規格県産材　　　　　　　　　　（ＪＡＳ格付及び含水率20%以下）であることを証明する書類</t>
    </r>
    <rPh sb="10" eb="11">
      <t>マタ</t>
    </rPh>
    <phoneticPr fontId="1"/>
  </si>
  <si>
    <r>
      <t>・県産材の構造材又は下地材を0.3m3以上使用する場合、１m3につき２万円が交付されます</t>
    </r>
    <r>
      <rPr>
        <sz val="9"/>
        <color rgb="FFFF0000"/>
        <rFont val="ＭＳ Ｐ明朝"/>
        <family val="1"/>
        <charset val="128"/>
      </rPr>
      <t>(0.1m3未満は切捨て）</t>
    </r>
    <r>
      <rPr>
        <sz val="9"/>
        <color theme="1"/>
        <rFont val="ＭＳ Ｐ明朝"/>
        <family val="1"/>
        <charset val="128"/>
      </rPr>
      <t>。</t>
    </r>
    <rPh sb="1" eb="3">
      <t>ケンサン</t>
    </rPh>
    <rPh sb="3" eb="4">
      <t>ザイ</t>
    </rPh>
    <rPh sb="5" eb="8">
      <t>コウゾウザイ</t>
    </rPh>
    <rPh sb="8" eb="9">
      <t>マタ</t>
    </rPh>
    <rPh sb="10" eb="13">
      <t>シタジザイ</t>
    </rPh>
    <rPh sb="19" eb="21">
      <t>イジョウ</t>
    </rPh>
    <rPh sb="21" eb="23">
      <t>シヨウ</t>
    </rPh>
    <rPh sb="25" eb="27">
      <t>バアイ</t>
    </rPh>
    <rPh sb="35" eb="37">
      <t>マンエン</t>
    </rPh>
    <rPh sb="38" eb="40">
      <t>コウフ</t>
    </rPh>
    <rPh sb="50" eb="52">
      <t>ミマン</t>
    </rPh>
    <rPh sb="53" eb="55">
      <t>キリス</t>
    </rPh>
    <phoneticPr fontId="1"/>
  </si>
  <si>
    <r>
      <t>・県産内外装材、県産木塀を１m2以上使用する場合、</t>
    </r>
    <r>
      <rPr>
        <sz val="9"/>
        <color rgb="FFFF0000"/>
        <rFont val="ＭＳ Ｐ明朝"/>
        <family val="1"/>
        <charset val="128"/>
      </rPr>
      <t>見付面積</t>
    </r>
    <r>
      <rPr>
        <sz val="9"/>
        <color theme="1"/>
        <rFont val="ＭＳ Ｐ明朝"/>
        <family val="1"/>
        <charset val="128"/>
      </rPr>
      <t>１m2につき２千円が交付されます</t>
    </r>
    <r>
      <rPr>
        <sz val="9"/>
        <color rgb="FFFF0000"/>
        <rFont val="ＭＳ Ｐ明朝"/>
        <family val="1"/>
        <charset val="128"/>
      </rPr>
      <t>(1m2未満は切捨て）</t>
    </r>
    <r>
      <rPr>
        <sz val="9"/>
        <color theme="1"/>
        <rFont val="ＭＳ Ｐ明朝"/>
        <family val="1"/>
        <charset val="128"/>
      </rPr>
      <t>。</t>
    </r>
    <rPh sb="1" eb="3">
      <t>ケンサン</t>
    </rPh>
    <rPh sb="3" eb="4">
      <t>ナイ</t>
    </rPh>
    <rPh sb="4" eb="7">
      <t>ガイソウザイ</t>
    </rPh>
    <rPh sb="8" eb="10">
      <t>ケンサン</t>
    </rPh>
    <rPh sb="10" eb="11">
      <t>モク</t>
    </rPh>
    <rPh sb="11" eb="12">
      <t>ベイ</t>
    </rPh>
    <rPh sb="16" eb="18">
      <t>イジョウ</t>
    </rPh>
    <rPh sb="18" eb="20">
      <t>シヨウ</t>
    </rPh>
    <rPh sb="22" eb="24">
      <t>バアイ</t>
    </rPh>
    <rPh sb="25" eb="27">
      <t>ミツケ</t>
    </rPh>
    <rPh sb="27" eb="29">
      <t>メンセキ</t>
    </rPh>
    <rPh sb="36" eb="38">
      <t>センエン</t>
    </rPh>
    <rPh sb="39" eb="41">
      <t>コウフ</t>
    </rPh>
    <phoneticPr fontId="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</si>
  <si>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</si>
  <si>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t>国の子育て世帯等支援補助金利用者である</t>
    <rPh sb="0" eb="1">
      <t>クニ</t>
    </rPh>
    <rPh sb="2" eb="4">
      <t>コソダ</t>
    </rPh>
    <rPh sb="5" eb="8">
      <t>セタイトウ</t>
    </rPh>
    <rPh sb="8" eb="10">
      <t>シエン</t>
    </rPh>
    <rPh sb="10" eb="13">
      <t>ホジョキン</t>
    </rPh>
    <rPh sb="13" eb="16">
      <t>リヨウシャ</t>
    </rPh>
    <phoneticPr fontId="1"/>
  </si>
  <si>
    <t>過去に本事業の助成を受けていない住宅又は当該補助金を受けた住宅で助成（額の確定日）から10年以上が経過していること。</t>
    <rPh sb="0" eb="2">
      <t>カコ</t>
    </rPh>
    <rPh sb="3" eb="4">
      <t>ホン</t>
    </rPh>
    <rPh sb="4" eb="6">
      <t>ジギョウ</t>
    </rPh>
    <rPh sb="7" eb="9">
      <t>ジョセイ</t>
    </rPh>
    <rPh sb="10" eb="11">
      <t>ウ</t>
    </rPh>
    <rPh sb="16" eb="18">
      <t>ジュウタク</t>
    </rPh>
    <rPh sb="18" eb="19">
      <t>マタ</t>
    </rPh>
    <rPh sb="20" eb="22">
      <t>トウガイ</t>
    </rPh>
    <rPh sb="22" eb="25">
      <t>ホジョキン</t>
    </rPh>
    <rPh sb="26" eb="27">
      <t>ウ</t>
    </rPh>
    <rPh sb="29" eb="31">
      <t>ジュウタク</t>
    </rPh>
    <rPh sb="32" eb="34">
      <t>ジョセイ</t>
    </rPh>
    <rPh sb="35" eb="36">
      <t>ガク</t>
    </rPh>
    <rPh sb="37" eb="40">
      <t>カクテイビ</t>
    </rPh>
    <rPh sb="45" eb="46">
      <t>ネン</t>
    </rPh>
    <rPh sb="46" eb="48">
      <t>イジョウ</t>
    </rPh>
    <rPh sb="49" eb="51">
      <t>ケイカ</t>
    </rPh>
    <phoneticPr fontId="1"/>
  </si>
  <si>
    <t>地域建築技能活用</t>
    <rPh sb="0" eb="4">
      <t>チイキケンチク</t>
    </rPh>
    <rPh sb="4" eb="6">
      <t>ギノウ</t>
    </rPh>
    <rPh sb="6" eb="8">
      <t>カツヨウ</t>
    </rPh>
    <phoneticPr fontId="1"/>
  </si>
  <si>
    <t>令和４年度とっとり住まいる支援事業台帳</t>
    <rPh sb="0" eb="2">
      <t>レイワ</t>
    </rPh>
    <rPh sb="17" eb="19">
      <t>ダイチョウ</t>
    </rPh>
    <phoneticPr fontId="1"/>
  </si>
  <si>
    <t>ヤング係数確認構造材</t>
    <rPh sb="3" eb="5">
      <t>ケイスウ</t>
    </rPh>
    <rPh sb="5" eb="7">
      <t>カクニン</t>
    </rPh>
    <rPh sb="7" eb="10">
      <t>コウゾウザイ</t>
    </rPh>
    <phoneticPr fontId="21"/>
  </si>
  <si>
    <t>地域建築技能活用（４ポイント以上該当）</t>
    <rPh sb="0" eb="2">
      <t>チイキ</t>
    </rPh>
    <rPh sb="2" eb="4">
      <t>ケンチク</t>
    </rPh>
    <rPh sb="4" eb="6">
      <t>ギノウ</t>
    </rPh>
    <rPh sb="6" eb="8">
      <t>カツヨウ</t>
    </rPh>
    <rPh sb="14" eb="16">
      <t>イジョウ</t>
    </rPh>
    <rPh sb="16" eb="18">
      <t>ガイトウ</t>
    </rPh>
    <phoneticPr fontId="21"/>
  </si>
  <si>
    <t>地域建築技能活用</t>
    <rPh sb="0" eb="6">
      <t>チイキケンチクギノウ</t>
    </rPh>
    <rPh sb="6" eb="8">
      <t>カツヨウ</t>
    </rPh>
    <phoneticPr fontId="1"/>
  </si>
  <si>
    <t>横架材
使用量
(m3)</t>
    <rPh sb="0" eb="3">
      <t>オウカザイ</t>
    </rPh>
    <rPh sb="4" eb="7">
      <t>シヨウリョウ</t>
    </rPh>
    <phoneticPr fontId="31"/>
  </si>
  <si>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1"/>
  </si>
  <si>
    <t>機械等級区分構造材を最も多く供給した製材所名</t>
    <rPh sb="0" eb="4">
      <t>キカイトウキュウ</t>
    </rPh>
    <rPh sb="4" eb="6">
      <t>クブン</t>
    </rPh>
    <rPh sb="6" eb="9">
      <t>コウゾウザイ</t>
    </rPh>
    <phoneticPr fontId="1"/>
  </si>
  <si>
    <t>→DA列から範囲選択でコピぺ（行全体をコピペしないこと！）</t>
    <rPh sb="3" eb="4">
      <t>レツ</t>
    </rPh>
    <rPh sb="6" eb="10">
      <t>ハンイセンタク</t>
    </rPh>
    <rPh sb="15" eb="16">
      <t>ギョウ</t>
    </rPh>
    <rPh sb="16" eb="18">
      <t>ゼンタイ</t>
    </rPh>
    <phoneticPr fontId="1"/>
  </si>
  <si>
    <t>とっとり住まいる支援事業補助金交付申請書兼実績報告書</t>
    <rPh sb="4" eb="5">
      <t>ス</t>
    </rPh>
    <rPh sb="8" eb="10">
      <t>シエン</t>
    </rPh>
    <rPh sb="10" eb="12">
      <t>ジギョウ</t>
    </rPh>
    <rPh sb="12" eb="15">
      <t>ホジョキン</t>
    </rPh>
    <rPh sb="15" eb="17">
      <t>コウフ</t>
    </rPh>
    <rPh sb="17" eb="20">
      <t>シンセイショ</t>
    </rPh>
    <rPh sb="20" eb="21">
      <t>ケン</t>
    </rPh>
    <rPh sb="21" eb="23">
      <t>ジッセキ</t>
    </rPh>
    <rPh sb="23" eb="26">
      <t>ホウコクショ</t>
    </rPh>
    <phoneticPr fontId="1"/>
  </si>
  <si>
    <t>　下記のとおり、補助金の交付を受けたいので、鳥取県補助金等交付規則第５条の規定により、関係書類を添えて申請します。</t>
    <rPh sb="1" eb="3">
      <t>カキ</t>
    </rPh>
    <rPh sb="8" eb="11">
      <t>ホジョキン</t>
    </rPh>
    <rPh sb="12" eb="14">
      <t>コウフ</t>
    </rPh>
    <rPh sb="15" eb="16">
      <t>ウ</t>
    </rPh>
    <rPh sb="22" eb="24">
      <t>トットリ</t>
    </rPh>
    <rPh sb="24" eb="25">
      <t>ケン</t>
    </rPh>
    <rPh sb="25" eb="28">
      <t>ホジョキン</t>
    </rPh>
    <rPh sb="28" eb="29">
      <t>トウ</t>
    </rPh>
    <rPh sb="29" eb="31">
      <t>コウフ</t>
    </rPh>
    <rPh sb="31" eb="33">
      <t>キソク</t>
    </rPh>
    <rPh sb="33" eb="34">
      <t>ダイ</t>
    </rPh>
    <rPh sb="35" eb="36">
      <t>ジョウ</t>
    </rPh>
    <rPh sb="37" eb="39">
      <t>キテイ</t>
    </rPh>
    <rPh sb="43" eb="45">
      <t>カンケイ</t>
    </rPh>
    <rPh sb="45" eb="47">
      <t>ショルイ</t>
    </rPh>
    <rPh sb="48" eb="49">
      <t>ソ</t>
    </rPh>
    <rPh sb="51" eb="53">
      <t>シンセイ</t>
    </rPh>
    <phoneticPr fontId="1"/>
  </si>
  <si>
    <t>交付申請額</t>
    <rPh sb="0" eb="2">
      <t>コウフ</t>
    </rPh>
    <rPh sb="2" eb="4">
      <t>シンセイ</t>
    </rPh>
    <rPh sb="4" eb="5">
      <t>ガク</t>
    </rPh>
    <phoneticPr fontId="1"/>
  </si>
  <si>
    <t>交付申請</t>
    <rPh sb="0" eb="4">
      <t>コウフシンセイ</t>
    </rPh>
    <phoneticPr fontId="1"/>
  </si>
  <si>
    <t>実績報告</t>
    <rPh sb="0" eb="4">
      <t>ジッセキホウコク</t>
    </rPh>
    <phoneticPr fontId="1"/>
  </si>
  <si>
    <t>登録決定通知（変更を行った場合は変更承認通知）記載の額を入力してください（０円も入力、空白不可）。</t>
    <rPh sb="0" eb="2">
      <t>トウロク</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</si>
  <si>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とっとり住まいる支援事業兼とっとり健康省エネ住宅改修支援事業建設等報告書【改修用】</t>
    <rPh sb="4" eb="5">
      <t>ス</t>
    </rPh>
    <rPh sb="8" eb="12">
      <t>シエンジギョウ</t>
    </rPh>
    <rPh sb="12" eb="13">
      <t>ケン</t>
    </rPh>
    <rPh sb="17" eb="20">
      <t>ケンコウショウ</t>
    </rPh>
    <rPh sb="22" eb="24">
      <t>ジュウタク</t>
    </rPh>
    <rPh sb="24" eb="26">
      <t>カイシュウ</t>
    </rPh>
    <rPh sb="26" eb="30">
      <t>シエンジギョウ</t>
    </rPh>
    <rPh sb="30" eb="32">
      <t>ケンセツ</t>
    </rPh>
    <rPh sb="32" eb="33">
      <t>トウ</t>
    </rPh>
    <rPh sb="33" eb="35">
      <t>ホウコク</t>
    </rPh>
    <rPh sb="35" eb="36">
      <t>ショ</t>
    </rPh>
    <rPh sb="37" eb="39">
      <t>カイシュウ</t>
    </rPh>
    <rPh sb="39" eb="40">
      <t>ヨウ</t>
    </rPh>
    <phoneticPr fontId="1"/>
  </si>
  <si>
    <t>当該改修工事は省エネ改修を含む工事である。</t>
    <rPh sb="0" eb="4">
      <t>トウガイカイシュウ</t>
    </rPh>
    <rPh sb="4" eb="6">
      <t>コウジ</t>
    </rPh>
    <rPh sb="7" eb="8">
      <t>ショウ</t>
    </rPh>
    <rPh sb="10" eb="12">
      <t>カイシュウ</t>
    </rPh>
    <rPh sb="13" eb="14">
      <t>フク</t>
    </rPh>
    <rPh sb="15" eb="17">
      <t>コウジ</t>
    </rPh>
    <phoneticPr fontId="1"/>
  </si>
  <si>
    <t>性能区分</t>
    <rPh sb="0" eb="2">
      <t>セイノウ</t>
    </rPh>
    <rPh sb="2" eb="4">
      <t>クブン</t>
    </rPh>
    <phoneticPr fontId="1"/>
  </si>
  <si>
    <t>様式第６号の３</t>
    <rPh sb="0" eb="2">
      <t>ヨウシキ</t>
    </rPh>
    <rPh sb="2" eb="3">
      <t>ダイ</t>
    </rPh>
    <rPh sb="4" eb="5">
      <t>ゴウ</t>
    </rPh>
    <phoneticPr fontId="1"/>
  </si>
  <si>
    <t>申請区分</t>
    <rPh sb="0" eb="2">
      <t>シンセイ</t>
    </rPh>
    <rPh sb="2" eb="4">
      <t>クブン</t>
    </rPh>
    <phoneticPr fontId="1"/>
  </si>
  <si>
    <t>交付申請時</t>
    <rPh sb="0" eb="5">
      <t>コウフシンセイジ</t>
    </rPh>
    <phoneticPr fontId="1"/>
  </si>
  <si>
    <t>Re NE-ST</t>
    <phoneticPr fontId="1"/>
  </si>
  <si>
    <t>改修区分</t>
    <rPh sb="0" eb="2">
      <t>カイシュウ</t>
    </rPh>
    <rPh sb="2" eb="4">
      <t>クブン</t>
    </rPh>
    <phoneticPr fontId="1"/>
  </si>
  <si>
    <t>申請者氏名</t>
    <rPh sb="0" eb="3">
      <t>シンセイシャ</t>
    </rPh>
    <rPh sb="3" eb="5">
      <t>シメイ</t>
    </rPh>
    <phoneticPr fontId="1"/>
  </si>
  <si>
    <t>実績報告時</t>
    <rPh sb="0" eb="5">
      <t>ジッセキホウコクジ</t>
    </rPh>
    <phoneticPr fontId="1"/>
  </si>
  <si>
    <t>ゾーン改修</t>
    <rPh sb="3" eb="5">
      <t>カイシュウ</t>
    </rPh>
    <phoneticPr fontId="1"/>
  </si>
  <si>
    <t>国省エネ基準改修</t>
    <rPh sb="0" eb="2">
      <t>クニショウ</t>
    </rPh>
    <rPh sb="4" eb="8">
      <t>キジュンカイシュウ</t>
    </rPh>
    <phoneticPr fontId="1"/>
  </si>
  <si>
    <t>＜補助対象経費の算出＞</t>
    <rPh sb="1" eb="5">
      <t>ホジョタイショウ</t>
    </rPh>
    <rPh sb="5" eb="7">
      <t>ケイヒ</t>
    </rPh>
    <rPh sb="8" eb="10">
      <t>サンシュツ</t>
    </rPh>
    <phoneticPr fontId="1"/>
  </si>
  <si>
    <t>①断熱材</t>
    <rPh sb="1" eb="4">
      <t>ダンネツザイ</t>
    </rPh>
    <phoneticPr fontId="1"/>
  </si>
  <si>
    <t>部位</t>
    <rPh sb="0" eb="2">
      <t>ブイ</t>
    </rPh>
    <phoneticPr fontId="1"/>
  </si>
  <si>
    <t>断熱材区分</t>
    <rPh sb="0" eb="3">
      <t>ダンネツザイ</t>
    </rPh>
    <rPh sb="3" eb="5">
      <t>クブン</t>
    </rPh>
    <phoneticPr fontId="1"/>
  </si>
  <si>
    <t>熱伝導率(W/m･K)</t>
    <rPh sb="0" eb="4">
      <t>ネツデンドウリツ</t>
    </rPh>
    <phoneticPr fontId="1"/>
  </si>
  <si>
    <t>厚さ（mm)</t>
    <rPh sb="0" eb="1">
      <t>アツ</t>
    </rPh>
    <phoneticPr fontId="1"/>
  </si>
  <si>
    <t>熱抵抗(㎡･K/W)</t>
    <rPh sb="0" eb="3">
      <t>ネツテイコウ</t>
    </rPh>
    <phoneticPr fontId="1"/>
  </si>
  <si>
    <t>施工面積(㎡)</t>
    <rPh sb="0" eb="4">
      <t>セコウメンセキ</t>
    </rPh>
    <phoneticPr fontId="1"/>
  </si>
  <si>
    <t>×</t>
    <phoneticPr fontId="1"/>
  </si>
  <si>
    <t>補助基準単価</t>
    <rPh sb="0" eb="4">
      <t>ホジョキジュン</t>
    </rPh>
    <rPh sb="4" eb="6">
      <t>タンカ</t>
    </rPh>
    <phoneticPr fontId="1"/>
  </si>
  <si>
    <t>補助対象経費</t>
    <rPh sb="0" eb="4">
      <t>ホジョタイショウ</t>
    </rPh>
    <rPh sb="4" eb="6">
      <t>ケイヒ</t>
    </rPh>
    <phoneticPr fontId="1"/>
  </si>
  <si>
    <t>天井</t>
    <rPh sb="0" eb="2">
      <t>テンジョウ</t>
    </rPh>
    <phoneticPr fontId="1"/>
  </si>
  <si>
    <t>1.0～2.0</t>
    <phoneticPr fontId="1"/>
  </si>
  <si>
    <t>2.0～3.0</t>
    <phoneticPr fontId="1"/>
  </si>
  <si>
    <t>3.0～4.0</t>
    <phoneticPr fontId="1"/>
  </si>
  <si>
    <t>4.0～5.0</t>
    <phoneticPr fontId="1"/>
  </si>
  <si>
    <t>5.0～</t>
    <phoneticPr fontId="1"/>
  </si>
  <si>
    <t>ボード系断熱材</t>
    <rPh sb="3" eb="4">
      <t>ケイ</t>
    </rPh>
    <rPh sb="4" eb="7">
      <t>ダンネツザイ</t>
    </rPh>
    <phoneticPr fontId="1"/>
  </si>
  <si>
    <t>繊維系断熱材</t>
    <rPh sb="0" eb="3">
      <t>センイケイ</t>
    </rPh>
    <rPh sb="3" eb="6">
      <t>ダンネツザイ</t>
    </rPh>
    <phoneticPr fontId="1"/>
  </si>
  <si>
    <t>外壁</t>
    <rPh sb="0" eb="2">
      <t>ガイヘキ</t>
    </rPh>
    <phoneticPr fontId="1"/>
  </si>
  <si>
    <t>吹付断熱材</t>
    <rPh sb="0" eb="2">
      <t>フキツケ</t>
    </rPh>
    <rPh sb="2" eb="5">
      <t>ダンネツザイ</t>
    </rPh>
    <phoneticPr fontId="1"/>
  </si>
  <si>
    <t>床</t>
    <rPh sb="0" eb="1">
      <t>ユカ</t>
    </rPh>
    <phoneticPr fontId="1"/>
  </si>
  <si>
    <t>②窓</t>
    <rPh sb="1" eb="2">
      <t>マド</t>
    </rPh>
    <phoneticPr fontId="1"/>
  </si>
  <si>
    <t>平面図の
窓番号</t>
    <rPh sb="0" eb="3">
      <t>ヘイメンズ</t>
    </rPh>
    <rPh sb="5" eb="8">
      <t>マドバンゴウ</t>
    </rPh>
    <phoneticPr fontId="1"/>
  </si>
  <si>
    <t>窓改修区分</t>
    <rPh sb="0" eb="1">
      <t>マド</t>
    </rPh>
    <rPh sb="1" eb="3">
      <t>カイシュウ</t>
    </rPh>
    <rPh sb="3" eb="5">
      <t>クブン</t>
    </rPh>
    <phoneticPr fontId="1"/>
  </si>
  <si>
    <t>窓サイズ(mm)</t>
    <rPh sb="0" eb="1">
      <t>マド</t>
    </rPh>
    <phoneticPr fontId="1"/>
  </si>
  <si>
    <t>熱貫流率(W/㎡･K)</t>
    <rPh sb="0" eb="1">
      <t>ネツ</t>
    </rPh>
    <rPh sb="1" eb="3">
      <t>カンリュウ</t>
    </rPh>
    <rPh sb="3" eb="4">
      <t>リツ</t>
    </rPh>
    <phoneticPr fontId="1"/>
  </si>
  <si>
    <t>窓面積(㎡)</t>
    <rPh sb="0" eb="1">
      <t>マド</t>
    </rPh>
    <rPh sb="1" eb="3">
      <t>メンセキ</t>
    </rPh>
    <phoneticPr fontId="1"/>
  </si>
  <si>
    <t>補助対象経費</t>
    <rPh sb="0" eb="2">
      <t>ホジョ</t>
    </rPh>
    <rPh sb="2" eb="6">
      <t>タイショウケイヒ</t>
    </rPh>
    <phoneticPr fontId="1"/>
  </si>
  <si>
    <t>幅</t>
    <rPh sb="0" eb="1">
      <t>ハバ</t>
    </rPh>
    <phoneticPr fontId="1"/>
  </si>
  <si>
    <t>高さ</t>
    <rPh sb="0" eb="1">
      <t>タカ</t>
    </rPh>
    <phoneticPr fontId="1"/>
  </si>
  <si>
    <t>2.33～1.91</t>
    <phoneticPr fontId="1"/>
  </si>
  <si>
    <t>1.90～1.61</t>
    <phoneticPr fontId="1"/>
  </si>
  <si>
    <t>1.60～1.31</t>
    <phoneticPr fontId="1"/>
  </si>
  <si>
    <t>1.30～</t>
    <phoneticPr fontId="1"/>
  </si>
  <si>
    <t>窓取替</t>
    <rPh sb="0" eb="1">
      <t>マド</t>
    </rPh>
    <rPh sb="1" eb="3">
      <t>トリカエ</t>
    </rPh>
    <phoneticPr fontId="1"/>
  </si>
  <si>
    <t>樹脂製内窓取付</t>
    <rPh sb="0" eb="3">
      <t>ジュシセイ</t>
    </rPh>
    <rPh sb="3" eb="5">
      <t>ウチマド</t>
    </rPh>
    <rPh sb="5" eb="7">
      <t>トリツケ</t>
    </rPh>
    <phoneticPr fontId="1"/>
  </si>
  <si>
    <t>県産材木製内窓取付</t>
    <rPh sb="0" eb="3">
      <t>ケンサンザイ</t>
    </rPh>
    <rPh sb="3" eb="5">
      <t>モクセイ</t>
    </rPh>
    <rPh sb="5" eb="7">
      <t>ウチマド</t>
    </rPh>
    <rPh sb="7" eb="9">
      <t>トリツケ</t>
    </rPh>
    <phoneticPr fontId="1"/>
  </si>
  <si>
    <t>③玄関ドア（勝手口等を除く）</t>
    <rPh sb="1" eb="3">
      <t>ゲンカン</t>
    </rPh>
    <rPh sb="6" eb="10">
      <t>カッテグチトウ</t>
    </rPh>
    <rPh sb="11" eb="12">
      <t>ノゾ</t>
    </rPh>
    <phoneticPr fontId="1"/>
  </si>
  <si>
    <t>平面図の
番号</t>
    <rPh sb="0" eb="3">
      <t>ヘイメンズ</t>
    </rPh>
    <rPh sb="5" eb="7">
      <t>バンゴウ</t>
    </rPh>
    <phoneticPr fontId="1"/>
  </si>
  <si>
    <t>ドア工事費(円)</t>
    <rPh sb="2" eb="5">
      <t>コウジヒ</t>
    </rPh>
    <rPh sb="6" eb="7">
      <t>エン</t>
    </rPh>
    <phoneticPr fontId="1"/>
  </si>
  <si>
    <t>取替</t>
    <rPh sb="0" eb="2">
      <t>トリカエ</t>
    </rPh>
    <phoneticPr fontId="1"/>
  </si>
  <si>
    <t>カバー工法</t>
    <rPh sb="3" eb="5">
      <t>コウホウ</t>
    </rPh>
    <phoneticPr fontId="1"/>
  </si>
  <si>
    <t>補助基準額による対象経費
（自動計算）</t>
    <rPh sb="0" eb="2">
      <t>ホジョ</t>
    </rPh>
    <rPh sb="2" eb="4">
      <t>キジュン</t>
    </rPh>
    <rPh sb="4" eb="5">
      <t>ガク</t>
    </rPh>
    <rPh sb="8" eb="10">
      <t>タイショウ</t>
    </rPh>
    <rPh sb="10" eb="12">
      <t>ケイヒ</t>
    </rPh>
    <rPh sb="14" eb="18">
      <t>ジドウケイサン</t>
    </rPh>
    <phoneticPr fontId="1"/>
  </si>
  <si>
    <t>　　　　　　　　いずれか低い額が補助対象経費となります。</t>
    <rPh sb="12" eb="13">
      <t>ヒク</t>
    </rPh>
    <rPh sb="14" eb="15">
      <t>ガク</t>
    </rPh>
    <rPh sb="16" eb="20">
      <t>ホジョタイショウ</t>
    </rPh>
    <rPh sb="20" eb="22">
      <t>ケイヒ</t>
    </rPh>
    <phoneticPr fontId="1"/>
  </si>
  <si>
    <t>工事請負契約金額
（購入契約金額）</t>
    <rPh sb="0" eb="4">
      <t>コウジウケオイ</t>
    </rPh>
    <rPh sb="4" eb="6">
      <t>ケイヤク</t>
    </rPh>
    <rPh sb="6" eb="8">
      <t>キンガク</t>
    </rPh>
    <rPh sb="10" eb="12">
      <t>コウニュウ</t>
    </rPh>
    <rPh sb="12" eb="14">
      <t>ケイヤク</t>
    </rPh>
    <rPh sb="14" eb="16">
      <t>キンガク</t>
    </rPh>
    <phoneticPr fontId="1"/>
  </si>
  <si>
    <t>うち断熱工事費</t>
    <rPh sb="2" eb="4">
      <t>ダンネツ</t>
    </rPh>
    <rPh sb="4" eb="7">
      <t>コウジヒ</t>
    </rPh>
    <phoneticPr fontId="1"/>
  </si>
  <si>
    <t>←①断熱材＋②窓の工事費の合計（③玄関ドアは除く）</t>
    <rPh sb="2" eb="4">
      <t>ダンネツ</t>
    </rPh>
    <rPh sb="4" eb="5">
      <t>ザイ</t>
    </rPh>
    <rPh sb="7" eb="8">
      <t>マド</t>
    </rPh>
    <rPh sb="9" eb="12">
      <t>コウジヒ</t>
    </rPh>
    <rPh sb="13" eb="15">
      <t>ゴウケイ</t>
    </rPh>
    <rPh sb="17" eb="19">
      <t>ゲンカン</t>
    </rPh>
    <rPh sb="22" eb="23">
      <t>ノゾ</t>
    </rPh>
    <phoneticPr fontId="1"/>
  </si>
  <si>
    <r>
      <t xml:space="preserve">断熱工事費
</t>
    </r>
    <r>
      <rPr>
        <sz val="9"/>
        <color theme="1"/>
        <rFont val="ＭＳ Ｐゴシック"/>
        <family val="3"/>
        <charset val="128"/>
      </rPr>
      <t>(玄関ドア補助対象経費を含む）</t>
    </r>
    <rPh sb="0" eb="2">
      <t>ダンネツ</t>
    </rPh>
    <rPh sb="2" eb="5">
      <t>コウジヒ</t>
    </rPh>
    <rPh sb="7" eb="9">
      <t>ゲンカン</t>
    </rPh>
    <rPh sb="11" eb="17">
      <t>ホジョタイショウケイヒ</t>
    </rPh>
    <rPh sb="18" eb="19">
      <t>フク</t>
    </rPh>
    <phoneticPr fontId="1"/>
  </si>
  <si>
    <t>交付申請兼実績報告</t>
    <rPh sb="0" eb="4">
      <t>コウフシンセイ</t>
    </rPh>
    <rPh sb="4" eb="5">
      <t>ケン</t>
    </rPh>
    <rPh sb="5" eb="7">
      <t>ジッセキ</t>
    </rPh>
    <rPh sb="7" eb="9">
      <t>ホウコク</t>
    </rPh>
    <phoneticPr fontId="1"/>
  </si>
  <si>
    <t>※国の子育て世帯等支援補助金利用者にあっては０円となります</t>
    <phoneticPr fontId="1"/>
  </si>
  <si>
    <r>
      <t>５　</t>
    </r>
    <r>
      <rPr>
        <sz val="11"/>
        <rFont val="ＭＳ Ｐ明朝"/>
        <family val="1"/>
        <charset val="128"/>
      </rPr>
      <t>地域建築技能</t>
    </r>
    <r>
      <rPr>
        <sz val="11"/>
        <color theme="1"/>
        <rFont val="ＭＳ Ｐ明朝"/>
        <family val="1"/>
        <charset val="128"/>
      </rPr>
      <t>活用改修　（補助金額：上限15万円）</t>
    </r>
    <rPh sb="2" eb="8">
      <t>チイキケンチクギノウ</t>
    </rPh>
    <rPh sb="8" eb="10">
      <t>カツヨウ</t>
    </rPh>
    <rPh sb="10" eb="12">
      <t>カイシュウ</t>
    </rPh>
    <rPh sb="19" eb="21">
      <t>ジョウゲン</t>
    </rPh>
    <phoneticPr fontId="1"/>
  </si>
  <si>
    <r>
      <t>次の①～③に掲げる</t>
    </r>
    <r>
      <rPr>
        <sz val="11"/>
        <rFont val="ＭＳ Ｐ明朝"/>
        <family val="1"/>
        <charset val="128"/>
      </rPr>
      <t>地域建築技能</t>
    </r>
    <r>
      <rPr>
        <sz val="11"/>
        <color theme="1"/>
        <rFont val="ＭＳ Ｐ明朝"/>
        <family val="1"/>
        <charset val="128"/>
      </rPr>
      <t>のうち、いずれか２以上が使用された場合に最大15万円を支援する。</t>
    </r>
    <rPh sb="0" eb="1">
      <t>ツギ</t>
    </rPh>
    <rPh sb="6" eb="7">
      <t>カカ</t>
    </rPh>
    <rPh sb="9" eb="11">
      <t>チイキ</t>
    </rPh>
    <rPh sb="11" eb="13">
      <t>ケンチク</t>
    </rPh>
    <rPh sb="13" eb="15">
      <t>ギノウ</t>
    </rPh>
    <rPh sb="24" eb="26">
      <t>イジョウ</t>
    </rPh>
    <rPh sb="27" eb="29">
      <t>シヨウ</t>
    </rPh>
    <rPh sb="32" eb="34">
      <t>バアイ</t>
    </rPh>
    <rPh sb="35" eb="37">
      <t>サイダイ</t>
    </rPh>
    <rPh sb="39" eb="41">
      <t>マンエン</t>
    </rPh>
    <rPh sb="42" eb="44">
      <t>シエン</t>
    </rPh>
    <phoneticPr fontId="1"/>
  </si>
  <si>
    <t>＜実績報告時の提出書類＞各地域建築技能に係る面積等の算出過程及び結果並びに使用場所がわかる立面図、展開図等の書類</t>
    <rPh sb="13" eb="15">
      <t>チイキ</t>
    </rPh>
    <rPh sb="15" eb="17">
      <t>ケンチク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</si>
  <si>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</si>
  <si>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</si>
  <si>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→販売住宅を購入した場合は｢はい｣を選択してください。</t>
    <rPh sb="1" eb="3">
      <t>ハンバイ</t>
    </rPh>
    <rPh sb="3" eb="5">
      <t>ジュウタク</t>
    </rPh>
    <rPh sb="6" eb="8">
      <t>コウニュウ</t>
    </rPh>
    <rPh sb="10" eb="12">
      <t>バアイ</t>
    </rPh>
    <rPh sb="18" eb="20">
      <t>センタク</t>
    </rPh>
    <phoneticPr fontId="1"/>
  </si>
  <si>
    <t>とっとり健康省エネ住宅改修支援事業補助金交付申請書兼実績報告書</t>
    <rPh sb="4" eb="7">
      <t>ケンコウショウ</t>
    </rPh>
    <rPh sb="9" eb="11">
      <t>ジュウタク</t>
    </rPh>
    <rPh sb="11" eb="13">
      <t>カイシュウ</t>
    </rPh>
    <rPh sb="13" eb="15">
      <t>シエン</t>
    </rPh>
    <rPh sb="15" eb="17">
      <t>ジギョウ</t>
    </rPh>
    <rPh sb="17" eb="20">
      <t>ホジョキン</t>
    </rPh>
    <rPh sb="20" eb="22">
      <t>コウフ</t>
    </rPh>
    <rPh sb="22" eb="25">
      <t>シンセイショ</t>
    </rPh>
    <rPh sb="25" eb="26">
      <t>ケン</t>
    </rPh>
    <rPh sb="26" eb="28">
      <t>ジッセキ</t>
    </rPh>
    <rPh sb="28" eb="31">
      <t>ホウコクショ</t>
    </rPh>
    <phoneticPr fontId="1"/>
  </si>
  <si>
    <t>健康省エネ改修</t>
    <rPh sb="0" eb="3">
      <t>ケンコウショウ</t>
    </rPh>
    <rPh sb="5" eb="7">
      <t>カイシュウ</t>
    </rPh>
    <phoneticPr fontId="1"/>
  </si>
  <si>
    <t>補助金交付申請書兼実績報告書</t>
    <rPh sb="0" eb="3">
      <t>ホジョキン</t>
    </rPh>
    <rPh sb="3" eb="8">
      <t>コウフシンセイショ</t>
    </rPh>
    <rPh sb="8" eb="9">
      <t>ケン</t>
    </rPh>
    <rPh sb="9" eb="11">
      <t>ジッセキ</t>
    </rPh>
    <rPh sb="11" eb="14">
      <t>ホウコクショ</t>
    </rPh>
    <phoneticPr fontId="1"/>
  </si>
  <si>
    <t>建設等報告書【改修用】</t>
    <rPh sb="0" eb="2">
      <t>ケンセツ</t>
    </rPh>
    <rPh sb="2" eb="3">
      <t>ナド</t>
    </rPh>
    <rPh sb="3" eb="5">
      <t>ホウコク</t>
    </rPh>
    <rPh sb="7" eb="9">
      <t>カイシュウ</t>
    </rPh>
    <phoneticPr fontId="1"/>
  </si>
  <si>
    <t>規則様式第３号（第17条関係）</t>
    <rPh sb="0" eb="2">
      <t>キソク</t>
    </rPh>
    <rPh sb="2" eb="4">
      <t>ヨウシキ</t>
    </rPh>
    <rPh sb="4" eb="5">
      <t>ダイ</t>
    </rPh>
    <rPh sb="6" eb="7">
      <t>ゴウ</t>
    </rPh>
    <rPh sb="8" eb="9">
      <t>ダイ</t>
    </rPh>
    <rPh sb="11" eb="12">
      <t>ジョウ</t>
    </rPh>
    <rPh sb="12" eb="14">
      <t>カンケイ</t>
    </rPh>
    <phoneticPr fontId="1"/>
  </si>
  <si>
    <t>・建設等報告書（様式第６号の２）</t>
    <rPh sb="4" eb="6">
      <t>ホウコク</t>
    </rPh>
    <phoneticPr fontId="1"/>
  </si>
  <si>
    <t>・建設等報告書（様式第６号の２）</t>
    <phoneticPr fontId="1"/>
  </si>
  <si>
    <t>登録住宅を購入しますか。</t>
    <rPh sb="0" eb="2">
      <t>トウロク</t>
    </rPh>
    <rPh sb="2" eb="4">
      <t>ジュウタク</t>
    </rPh>
    <rPh sb="5" eb="7">
      <t>コウニュウ</t>
    </rPh>
    <phoneticPr fontId="1"/>
  </si>
  <si>
    <t>はい</t>
  </si>
  <si>
    <t>次のア、イ、ウのいずれかに該当すること。</t>
    <rPh sb="0" eb="1">
      <t>ツギ</t>
    </rPh>
    <rPh sb="13" eb="15">
      <t>ガイトウ</t>
    </rPh>
    <phoneticPr fontId="1"/>
  </si>
  <si>
    <t>とっとり健康省エネ住宅改修支援事業補助基準額等算定表</t>
    <phoneticPr fontId="1"/>
  </si>
  <si>
    <t>Ver.1.0</t>
    <phoneticPr fontId="1"/>
  </si>
  <si>
    <t>実績報告用　令和8年4月1日改正</t>
    <rPh sb="0" eb="2">
      <t>ジッセキ</t>
    </rPh>
    <rPh sb="2" eb="5">
      <t>ホウコクヨウ</t>
    </rPh>
    <rPh sb="6" eb="8">
      <t>レイワ</t>
    </rPh>
    <rPh sb="9" eb="10">
      <t>ネン</t>
    </rPh>
    <rPh sb="11" eb="12">
      <t>ガツ</t>
    </rPh>
    <rPh sb="13" eb="16">
      <t>ニチカイセイ</t>
    </rPh>
    <phoneticPr fontId="1"/>
  </si>
  <si>
    <t>令和8年4月1日改正様式</t>
    <rPh sb="0" eb="2">
      <t>レイワ</t>
    </rPh>
    <rPh sb="3" eb="4">
      <t>ネン</t>
    </rPh>
    <rPh sb="5" eb="6">
      <t>ガツ</t>
    </rPh>
    <rPh sb="7" eb="8">
      <t>ニチ</t>
    </rPh>
    <rPh sb="8" eb="10">
      <t>カイセイ</t>
    </rPh>
    <rPh sb="10" eb="12">
      <t>ヨウシキ</t>
    </rPh>
    <phoneticPr fontId="1"/>
  </si>
  <si>
    <t>※以前から同居、近居している場合も対象となります。</t>
    <rPh sb="1" eb="3">
      <t>イゼン</t>
    </rPh>
    <rPh sb="5" eb="7">
      <t>ドウキョ</t>
    </rPh>
    <rPh sb="8" eb="10">
      <t>キンキョ</t>
    </rPh>
    <rPh sb="14" eb="16">
      <t>バアイ</t>
    </rPh>
    <rPh sb="17" eb="19">
      <t>タイショウ</t>
    </rPh>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</si>
  <si>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phoneticPr fontId="1"/>
  </si>
  <si>
    <t>イ　 直系尊属の世帯と同居する子育て世帯等（親と同居）</t>
    <rPh sb="24" eb="25">
      <t>ドウ</t>
    </rPh>
    <phoneticPr fontId="1"/>
  </si>
  <si>
    <t>ウ　 直系卑属の子育て世帯等と同居する世帯（子と同居）</t>
    <rPh sb="22" eb="23">
      <t>コ</t>
    </rPh>
    <rPh sb="24" eb="25">
      <t>ドウ</t>
    </rPh>
    <phoneticPr fontId="1"/>
  </si>
  <si>
    <t>申請者世帯</t>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</si>
  <si>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</si>
  <si>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補助対象を同一とする国費又は県費を財源とする他の補助事業を利用していないこと。</t>
    <rPh sb="10" eb="12">
      <t>コクヒ</t>
    </rPh>
    <rPh sb="12" eb="13">
      <t>マタ</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</si>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</sst>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DBNum3][$-411]#,##0"/>
    <numFmt numFmtId="177" formatCode="[DBNum3][$-411]0"/>
    <numFmt numFmtId="178" formatCode="&quot;令和&quot;General"/>
    <numFmt numFmtId="179" formatCode="General&quot;m3&quot;"/>
    <numFmt numFmtId="180" formatCode="General&quot;m2&quot;"/>
    <numFmt numFmtId="181" formatCode="0.0_ "/>
    <numFmt numFmtId="182" formatCode="0.0_);[Red]\(0.0\)"/>
    <numFmt numFmtId="183" formatCode="0.0&quot;m3&quot;"/>
    <numFmt numFmtId="184" formatCode="&quot;金&quot;#,##0"/>
    <numFmt numFmtId="185" formatCode="0.00_ "/>
    <numFmt numFmtId="186" formatCode="[$-411]ge\.m\.d;@"/>
    <numFmt numFmtId="187" formatCode="0_ "/>
    <numFmt numFmtId="188" formatCode="#,##0_ "/>
    <numFmt numFmtId="189" formatCode="0.000"/>
    <numFmt numFmtId="190" formatCode="&quot;¥&quot;#,##0_);[Red]\(&quot;¥&quot;#,##0\)"/>
    <numFmt numFmtId="191" formatCode="0.0"/>
  </numFmts>
  <fonts count="53"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FF0000"/>
      <name val="ＭＳ 明朝"/>
      <family val="1"/>
      <charset val="128"/>
    </font>
    <font>
      <sz val="9"/>
      <color rgb="FF0066FF"/>
      <name val="ＭＳ 明朝"/>
      <family val="1"/>
      <charset val="128"/>
    </font>
    <font>
      <sz val="11"/>
      <name val="ＭＳ Ｐ明朝"/>
      <family val="1"/>
      <charset val="128"/>
    </font>
    <font>
      <u/>
      <sz val="10"/>
      <color rgb="FF0066FF"/>
      <name val="ＭＳ 明朝"/>
      <family val="1"/>
      <charset val="128"/>
    </font>
    <font>
      <sz val="10"/>
      <color theme="1"/>
      <name val="ＭＳ 明朝"/>
      <family val="1"/>
      <charset val="128"/>
    </font>
    <font>
      <b/>
      <sz val="9"/>
      <color indexed="81"/>
      <name val="ＭＳ Ｐゴシック"/>
      <family val="3"/>
      <charset val="128"/>
    </font>
    <font>
      <sz val="12"/>
      <color theme="1"/>
      <name val="ＭＳ Ｐ明朝"/>
      <family val="1"/>
      <charset val="128"/>
    </font>
    <font>
      <sz val="11"/>
      <color theme="1"/>
      <name val="ＭＳ Ｐゴシック"/>
      <family val="2"/>
      <charset val="128"/>
      <scheme val="minor"/>
    </font>
    <font>
      <sz val="11"/>
      <color rgb="FF0000FF"/>
      <name val="ＭＳ Ｐ明朝"/>
      <family val="1"/>
      <charset val="128"/>
    </font>
    <font>
      <sz val="10.5"/>
      <color theme="1"/>
      <name val="ＭＳ Ｐ明朝"/>
      <family val="1"/>
      <charset val="128"/>
    </font>
    <font>
      <sz val="11"/>
      <color rgb="FFFFFF00"/>
      <name val="ＭＳ Ｐ明朝"/>
      <family val="1"/>
      <charset val="128"/>
    </font>
    <font>
      <sz val="11"/>
      <color rgb="FFFF0000"/>
      <name val="ＭＳ 明朝"/>
      <family val="1"/>
      <charset val="128"/>
    </font>
    <font>
      <sz val="11"/>
      <color theme="1"/>
      <name val="ＭＳ 明朝"/>
      <family val="1"/>
      <charset val="128"/>
    </font>
    <font>
      <sz val="11"/>
      <color rgb="FF0000FF"/>
      <name val="ＭＳ 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14"/>
      <name val="ＭＳ Ｐゴシック"/>
      <family val="3"/>
      <charset val="128"/>
    </font>
  </fonts>
  <fills count="17">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7"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517">
    <xf numFmtId="0" fontId="0" fillId="0" borderId="0" xfId="0">
      <alignment vertical="center"/>
    </xf>
    <xf numFmtId="0" fontId="3" fillId="0" borderId="0" xfId="0" applyFont="1">
      <alignment vertical="center"/>
    </xf>
    <xf numFmtId="0" fontId="4" fillId="0" borderId="0" xfId="0" applyFont="1">
      <alignment vertical="center"/>
    </xf>
    <xf numFmtId="0" fontId="3" fillId="3" borderId="0" xfId="0" applyFont="1" applyFill="1">
      <alignment vertical="center"/>
    </xf>
    <xf numFmtId="0" fontId="5" fillId="3" borderId="0" xfId="0" applyFont="1" applyFill="1">
      <alignment vertical="center"/>
    </xf>
    <xf numFmtId="0" fontId="3" fillId="0" borderId="0" xfId="0" applyFont="1" applyAlignment="1">
      <alignment horizontal="righ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 xfId="0" applyFont="1" applyBorder="1">
      <alignment vertical="center"/>
    </xf>
    <xf numFmtId="0" fontId="3" fillId="0" borderId="3" xfId="0" applyFont="1" applyBorder="1">
      <alignment vertical="center"/>
    </xf>
    <xf numFmtId="0" fontId="7" fillId="0" borderId="0" xfId="0" applyFont="1" applyAlignment="1">
      <alignment horizontal="center" vertical="center"/>
    </xf>
    <xf numFmtId="0" fontId="7" fillId="0" borderId="0" xfId="0" applyFont="1">
      <alignment vertical="center"/>
    </xf>
    <xf numFmtId="0" fontId="2" fillId="0" borderId="0" xfId="0" applyFont="1">
      <alignment vertical="center"/>
    </xf>
    <xf numFmtId="0" fontId="8" fillId="3" borderId="0" xfId="0" applyFont="1" applyFill="1">
      <alignment vertical="center"/>
    </xf>
    <xf numFmtId="0" fontId="3" fillId="0" borderId="10" xfId="0" applyFont="1" applyBorder="1">
      <alignment vertical="center"/>
    </xf>
    <xf numFmtId="0" fontId="5" fillId="0" borderId="0" xfId="0" applyFont="1">
      <alignment vertical="center"/>
    </xf>
    <xf numFmtId="0" fontId="9" fillId="0" borderId="0" xfId="0" applyFont="1">
      <alignment vertical="center"/>
    </xf>
    <xf numFmtId="0" fontId="3" fillId="0" borderId="0" xfId="0" applyFont="1" applyAlignment="1">
      <alignment horizontal="left" vertical="center"/>
    </xf>
    <xf numFmtId="0" fontId="2" fillId="3" borderId="0" xfId="0" applyFont="1" applyFill="1" applyAlignment="1">
      <alignment horizontal="right" vertical="center"/>
    </xf>
    <xf numFmtId="0" fontId="2" fillId="3" borderId="0" xfId="0" applyFont="1" applyFill="1">
      <alignment vertical="center"/>
    </xf>
    <xf numFmtId="0" fontId="3" fillId="0" borderId="8" xfId="0" applyFont="1" applyBorder="1">
      <alignment vertical="center"/>
    </xf>
    <xf numFmtId="0" fontId="10" fillId="0" borderId="3" xfId="0" applyFont="1" applyBorder="1">
      <alignment vertical="center"/>
    </xf>
    <xf numFmtId="0" fontId="7"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vertical="top"/>
    </xf>
    <xf numFmtId="0" fontId="7" fillId="0" borderId="10" xfId="0" applyFont="1" applyBorder="1" applyAlignment="1">
      <alignment vertical="center" wrapText="1"/>
    </xf>
    <xf numFmtId="0" fontId="3" fillId="0" borderId="0" xfId="0" applyFont="1" applyAlignment="1">
      <alignment horizontal="left" vertical="center" wrapText="1"/>
    </xf>
    <xf numFmtId="0" fontId="6" fillId="0" borderId="0" xfId="0" applyFont="1">
      <alignment vertical="center"/>
    </xf>
    <xf numFmtId="0" fontId="3" fillId="0" borderId="5" xfId="0" applyFont="1" applyBorder="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2" fillId="0" borderId="0" xfId="0" applyFont="1" applyAlignment="1">
      <alignment vertical="top"/>
    </xf>
    <xf numFmtId="0" fontId="11" fillId="0" borderId="0" xfId="0" applyFont="1" applyAlignment="1">
      <alignment vertical="center" wrapText="1"/>
    </xf>
    <xf numFmtId="0" fontId="5" fillId="0" borderId="0" xfId="0" applyFont="1" applyAlignment="1">
      <alignment horizontal="right" vertical="center"/>
    </xf>
    <xf numFmtId="0" fontId="12" fillId="0" borderId="0" xfId="0" applyFont="1">
      <alignment vertical="center"/>
    </xf>
    <xf numFmtId="0" fontId="13" fillId="0" borderId="0" xfId="0" applyFont="1" applyAlignment="1">
      <alignment vertical="top"/>
    </xf>
    <xf numFmtId="0" fontId="3"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right" vertical="top"/>
    </xf>
    <xf numFmtId="0" fontId="3" fillId="0" borderId="0" xfId="0" applyFont="1" applyAlignment="1">
      <alignment vertical="top"/>
    </xf>
    <xf numFmtId="181" fontId="3" fillId="3" borderId="0" xfId="0" applyNumberFormat="1" applyFont="1" applyFill="1">
      <alignment vertical="center"/>
    </xf>
    <xf numFmtId="0" fontId="3" fillId="0" borderId="12" xfId="0" applyFont="1" applyBorder="1" applyProtection="1">
      <alignment vertical="center"/>
      <protection locked="0"/>
    </xf>
    <xf numFmtId="0" fontId="3" fillId="0" borderId="12" xfId="0"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0" fontId="10" fillId="0" borderId="0" xfId="0" applyFont="1">
      <alignment vertical="center"/>
    </xf>
    <xf numFmtId="0" fontId="22" fillId="3" borderId="0" xfId="0" applyFont="1" applyFill="1">
      <alignment vertical="center"/>
    </xf>
    <xf numFmtId="49" fontId="3" fillId="0" borderId="0" xfId="0" applyNumberFormat="1" applyFont="1" applyAlignment="1">
      <alignment horizontal="right" vertical="center"/>
    </xf>
    <xf numFmtId="176" fontId="3" fillId="0" borderId="3" xfId="0" applyNumberFormat="1" applyFont="1" applyBorder="1">
      <alignment vertical="center"/>
    </xf>
    <xf numFmtId="0" fontId="23" fillId="0" borderId="6" xfId="0" applyFont="1" applyBorder="1">
      <alignment vertical="center"/>
    </xf>
    <xf numFmtId="0" fontId="23" fillId="0" borderId="5" xfId="0" applyFont="1" applyBorder="1">
      <alignment vertical="center"/>
    </xf>
    <xf numFmtId="0" fontId="3" fillId="0" borderId="4" xfId="0" applyFont="1" applyBorder="1">
      <alignment vertical="center"/>
    </xf>
    <xf numFmtId="0" fontId="7" fillId="0" borderId="8" xfId="0" applyFont="1" applyBorder="1">
      <alignment vertical="center"/>
    </xf>
    <xf numFmtId="0" fontId="7" fillId="0" borderId="4" xfId="0" applyFont="1" applyBorder="1">
      <alignment vertical="center"/>
    </xf>
    <xf numFmtId="0" fontId="23" fillId="0" borderId="9" xfId="0" applyFont="1" applyBorder="1">
      <alignment vertical="center"/>
    </xf>
    <xf numFmtId="0" fontId="23" fillId="0" borderId="10" xfId="0" applyFont="1" applyBorder="1">
      <alignment vertical="center"/>
    </xf>
    <xf numFmtId="0" fontId="7" fillId="0" borderId="0" xfId="0" applyFont="1" applyAlignment="1"/>
    <xf numFmtId="0" fontId="7" fillId="0" borderId="0" xfId="0" applyFont="1" applyAlignment="1">
      <alignment vertical="center" wrapText="1"/>
    </xf>
    <xf numFmtId="0" fontId="8" fillId="0" borderId="0" xfId="0" applyFont="1">
      <alignment vertical="center"/>
    </xf>
    <xf numFmtId="0" fontId="7" fillId="0" borderId="6" xfId="0" applyFont="1" applyBorder="1" applyAlignment="1">
      <alignment horizontal="center" vertical="center"/>
    </xf>
    <xf numFmtId="0" fontId="8" fillId="4" borderId="12" xfId="0" applyFont="1" applyFill="1" applyBorder="1">
      <alignment vertical="center"/>
    </xf>
    <xf numFmtId="0" fontId="22" fillId="0" borderId="0" xfId="0" applyFont="1">
      <alignment vertical="center"/>
    </xf>
    <xf numFmtId="0" fontId="24" fillId="0" borderId="0" xfId="0" applyFont="1">
      <alignment vertical="center"/>
    </xf>
    <xf numFmtId="0" fontId="24" fillId="3" borderId="0" xfId="0" applyFont="1" applyFill="1">
      <alignment vertical="center"/>
    </xf>
    <xf numFmtId="0" fontId="26" fillId="0" borderId="0" xfId="0" applyFont="1">
      <alignment vertical="center"/>
    </xf>
    <xf numFmtId="0" fontId="27" fillId="0" borderId="0" xfId="0" applyFont="1">
      <alignment vertical="center"/>
    </xf>
    <xf numFmtId="0" fontId="26" fillId="0" borderId="0" xfId="0" applyFont="1" applyAlignment="1">
      <alignment vertical="center" wrapText="1"/>
    </xf>
    <xf numFmtId="0" fontId="26" fillId="2" borderId="12" xfId="0" applyFont="1" applyFill="1" applyBorder="1">
      <alignment vertical="center"/>
    </xf>
    <xf numFmtId="38" fontId="26" fillId="0" borderId="12" xfId="1" applyFont="1" applyBorder="1" applyProtection="1">
      <alignment vertical="center"/>
      <protection locked="0"/>
    </xf>
    <xf numFmtId="38" fontId="26" fillId="2" borderId="12" xfId="1" applyFont="1" applyFill="1" applyBorder="1">
      <alignment vertical="center"/>
    </xf>
    <xf numFmtId="38" fontId="26" fillId="2" borderId="12" xfId="0" applyNumberFormat="1" applyFont="1" applyFill="1" applyBorder="1">
      <alignment vertical="center"/>
    </xf>
    <xf numFmtId="0" fontId="26" fillId="2" borderId="12" xfId="0" applyFont="1" applyFill="1" applyBorder="1" applyAlignment="1">
      <alignment horizontal="center" vertical="center"/>
    </xf>
    <xf numFmtId="2" fontId="26" fillId="0" borderId="12" xfId="0" applyNumberFormat="1" applyFont="1" applyBorder="1" applyProtection="1">
      <alignment vertical="center"/>
      <protection locked="0"/>
    </xf>
    <xf numFmtId="2" fontId="26" fillId="2" borderId="12" xfId="0" applyNumberFormat="1" applyFont="1" applyFill="1" applyBorder="1">
      <alignment vertical="center"/>
    </xf>
    <xf numFmtId="0" fontId="3" fillId="0" borderId="0" xfId="0" applyFont="1" applyProtection="1">
      <alignment vertical="center"/>
      <protection locked="0"/>
    </xf>
    <xf numFmtId="0" fontId="3" fillId="0" borderId="12" xfId="0" applyFont="1" applyBorder="1" applyAlignment="1">
      <alignment horizontal="center" vertical="center"/>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0" fontId="3" fillId="0" borderId="2" xfId="0" applyFont="1" applyBorder="1">
      <alignment vertical="center"/>
    </xf>
    <xf numFmtId="0" fontId="3" fillId="0" borderId="8"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vertical="center" wrapText="1"/>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16" fillId="0" borderId="0" xfId="0" applyFont="1">
      <alignment vertical="center"/>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6" fontId="29" fillId="0" borderId="0" xfId="0" applyNumberFormat="1" applyFont="1">
      <alignment vertical="center"/>
    </xf>
    <xf numFmtId="0" fontId="30" fillId="0" borderId="0" xfId="0" applyFont="1">
      <alignment vertical="center"/>
    </xf>
    <xf numFmtId="187" fontId="29" fillId="0" borderId="0" xfId="0" applyNumberFormat="1" applyFont="1">
      <alignment vertical="center"/>
    </xf>
    <xf numFmtId="188" fontId="29" fillId="0" borderId="0" xfId="0" applyNumberFormat="1" applyFont="1">
      <alignment vertical="center"/>
    </xf>
    <xf numFmtId="186"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87" fontId="29" fillId="6" borderId="0" xfId="0" applyNumberFormat="1" applyFont="1" applyFill="1">
      <alignment vertical="center"/>
    </xf>
    <xf numFmtId="188" fontId="29" fillId="6" borderId="0" xfId="0" applyNumberFormat="1" applyFont="1" applyFill="1">
      <alignment vertical="center"/>
    </xf>
    <xf numFmtId="187"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0" fontId="34" fillId="0" borderId="13" xfId="0" applyFont="1" applyBorder="1" applyAlignment="1">
      <alignment vertical="top" wrapText="1"/>
    </xf>
    <xf numFmtId="186"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87" fontId="29" fillId="8" borderId="0" xfId="0" applyNumberFormat="1" applyFont="1" applyFill="1" applyAlignment="1">
      <alignment vertical="top"/>
    </xf>
    <xf numFmtId="187" fontId="29" fillId="8" borderId="0" xfId="0" applyNumberFormat="1" applyFont="1" applyFill="1" applyAlignment="1">
      <alignment vertical="top" wrapText="1"/>
    </xf>
    <xf numFmtId="187" fontId="29" fillId="9" borderId="0" xfId="0" applyNumberFormat="1" applyFont="1" applyFill="1" applyAlignment="1">
      <alignment vertical="top" wrapText="1"/>
    </xf>
    <xf numFmtId="186" fontId="29" fillId="0" borderId="6" xfId="0" applyNumberFormat="1" applyFont="1" applyBorder="1" applyAlignment="1">
      <alignment vertical="top" wrapText="1"/>
    </xf>
    <xf numFmtId="186" fontId="29" fillId="0" borderId="5" xfId="0" applyNumberFormat="1" applyFont="1" applyBorder="1" applyAlignment="1">
      <alignment vertical="top" wrapText="1"/>
    </xf>
    <xf numFmtId="186" fontId="29" fillId="0" borderId="6" xfId="0" applyNumberFormat="1" applyFont="1" applyBorder="1" applyAlignment="1">
      <alignment vertical="top"/>
    </xf>
    <xf numFmtId="188"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wrapText="1"/>
    </xf>
    <xf numFmtId="0" fontId="29" fillId="0" borderId="0" xfId="0" applyFont="1" applyAlignment="1">
      <alignment vertical="top" wrapText="1"/>
    </xf>
    <xf numFmtId="187" fontId="29" fillId="8" borderId="0" xfId="0" applyNumberFormat="1" applyFont="1" applyFill="1" applyAlignment="1">
      <alignment horizontal="center" vertical="top" wrapText="1"/>
    </xf>
    <xf numFmtId="187" fontId="29" fillId="9" borderId="1" xfId="0" applyNumberFormat="1" applyFont="1" applyFill="1" applyBorder="1" applyAlignment="1">
      <alignment vertical="top" wrapText="1"/>
    </xf>
    <xf numFmtId="187" fontId="29" fillId="9" borderId="2" xfId="0" applyNumberFormat="1" applyFont="1" applyFill="1" applyBorder="1" applyAlignment="1">
      <alignment vertical="top" wrapText="1"/>
    </xf>
    <xf numFmtId="186" fontId="29" fillId="0" borderId="5" xfId="0" applyNumberFormat="1" applyFont="1" applyBorder="1" applyAlignment="1">
      <alignment vertical="top"/>
    </xf>
    <xf numFmtId="188" fontId="29" fillId="0" borderId="5" xfId="0" applyNumberFormat="1" applyFont="1" applyBorder="1" applyAlignment="1">
      <alignment vertical="top"/>
    </xf>
    <xf numFmtId="0" fontId="35" fillId="0" borderId="18" xfId="0" applyFont="1" applyBorder="1">
      <alignment vertical="center"/>
    </xf>
    <xf numFmtId="0" fontId="32" fillId="0" borderId="18" xfId="0" applyFont="1" applyBorder="1">
      <alignment vertical="center"/>
    </xf>
    <xf numFmtId="0" fontId="29" fillId="0" borderId="18" xfId="0" applyFont="1" applyBorder="1" applyAlignment="1">
      <alignment horizontal="center" vertical="center"/>
    </xf>
    <xf numFmtId="0" fontId="29" fillId="0" borderId="18" xfId="0" applyFont="1" applyBorder="1">
      <alignment vertical="center"/>
    </xf>
    <xf numFmtId="186" fontId="29" fillId="0" borderId="18"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87" fontId="29" fillId="0" borderId="13" xfId="0" applyNumberFormat="1" applyFont="1" applyBorder="1">
      <alignment vertical="center"/>
    </xf>
    <xf numFmtId="187" fontId="29" fillId="4" borderId="1" xfId="0" applyNumberFormat="1" applyFont="1" applyFill="1" applyBorder="1">
      <alignment vertical="center"/>
    </xf>
    <xf numFmtId="187" fontId="29" fillId="4" borderId="3" xfId="0" applyNumberFormat="1" applyFont="1" applyFill="1" applyBorder="1">
      <alignment vertical="center"/>
    </xf>
    <xf numFmtId="187" fontId="29" fillId="2" borderId="1" xfId="0" applyNumberFormat="1" applyFont="1" applyFill="1" applyBorder="1">
      <alignment vertical="center"/>
    </xf>
    <xf numFmtId="187" fontId="29" fillId="2" borderId="2" xfId="0" applyNumberFormat="1" applyFont="1" applyFill="1" applyBorder="1">
      <alignment vertical="center"/>
    </xf>
    <xf numFmtId="187" fontId="29" fillId="2" borderId="3" xfId="0" applyNumberFormat="1" applyFont="1" applyFill="1" applyBorder="1">
      <alignment vertical="center"/>
    </xf>
    <xf numFmtId="187" fontId="29" fillId="10" borderId="1" xfId="0" applyNumberFormat="1" applyFont="1" applyFill="1" applyBorder="1">
      <alignment vertical="center"/>
    </xf>
    <xf numFmtId="187" fontId="29" fillId="10" borderId="2" xfId="0" applyNumberFormat="1" applyFont="1" applyFill="1" applyBorder="1">
      <alignment vertical="center"/>
    </xf>
    <xf numFmtId="187" fontId="29" fillId="10" borderId="3" xfId="0" applyNumberFormat="1" applyFont="1" applyFill="1" applyBorder="1">
      <alignment vertical="center"/>
    </xf>
    <xf numFmtId="187" fontId="36" fillId="6" borderId="3" xfId="0" applyNumberFormat="1" applyFont="1" applyFill="1" applyBorder="1">
      <alignment vertical="center"/>
    </xf>
    <xf numFmtId="187" fontId="29" fillId="7" borderId="1" xfId="0" applyNumberFormat="1" applyFont="1" applyFill="1" applyBorder="1">
      <alignment vertical="center"/>
    </xf>
    <xf numFmtId="187" fontId="29" fillId="7" borderId="2" xfId="0" applyNumberFormat="1" applyFont="1" applyFill="1" applyBorder="1">
      <alignment vertical="center"/>
    </xf>
    <xf numFmtId="187" fontId="29" fillId="7" borderId="3" xfId="0" applyNumberFormat="1" applyFont="1" applyFill="1" applyBorder="1">
      <alignment vertical="center"/>
    </xf>
    <xf numFmtId="187" fontId="29" fillId="11" borderId="1" xfId="0" applyNumberFormat="1" applyFont="1" applyFill="1" applyBorder="1">
      <alignment vertical="center"/>
    </xf>
    <xf numFmtId="187" fontId="29" fillId="11" borderId="2" xfId="0" applyNumberFormat="1" applyFont="1" applyFill="1" applyBorder="1">
      <alignment vertical="center"/>
    </xf>
    <xf numFmtId="187" fontId="29" fillId="11" borderId="3" xfId="0" applyNumberFormat="1" applyFont="1" applyFill="1" applyBorder="1">
      <alignment vertical="center"/>
    </xf>
    <xf numFmtId="187" fontId="29" fillId="3" borderId="1" xfId="0" applyNumberFormat="1" applyFont="1" applyFill="1" applyBorder="1">
      <alignment vertical="center"/>
    </xf>
    <xf numFmtId="187" fontId="29" fillId="3" borderId="2" xfId="0" applyNumberFormat="1" applyFont="1" applyFill="1" applyBorder="1">
      <alignment vertical="center"/>
    </xf>
    <xf numFmtId="187" fontId="29" fillId="3" borderId="3" xfId="0" applyNumberFormat="1" applyFont="1" applyFill="1" applyBorder="1">
      <alignment vertical="center"/>
    </xf>
    <xf numFmtId="187" fontId="29" fillId="4" borderId="2" xfId="0" applyNumberFormat="1" applyFont="1" applyFill="1" applyBorder="1" applyAlignment="1">
      <alignment vertical="center" wrapText="1"/>
    </xf>
    <xf numFmtId="187" fontId="29" fillId="4" borderId="3" xfId="0" applyNumberFormat="1" applyFont="1" applyFill="1" applyBorder="1" applyAlignment="1">
      <alignment vertical="center" wrapText="1"/>
    </xf>
    <xf numFmtId="187" fontId="29" fillId="9" borderId="0" xfId="0" applyNumberFormat="1" applyFont="1" applyFill="1" applyAlignment="1">
      <alignment vertical="center" wrapText="1"/>
    </xf>
    <xf numFmtId="186" fontId="29" fillId="0" borderId="9" xfId="0" applyNumberFormat="1" applyFont="1" applyBorder="1" applyAlignment="1">
      <alignment vertical="top" wrapText="1"/>
    </xf>
    <xf numFmtId="186" fontId="29" fillId="0" borderId="10" xfId="0" applyNumberFormat="1" applyFont="1" applyBorder="1" applyAlignment="1">
      <alignment vertical="top" wrapText="1"/>
    </xf>
    <xf numFmtId="186" fontId="29" fillId="0" borderId="0" xfId="0" applyNumberFormat="1" applyFont="1" applyAlignment="1">
      <alignment horizontal="center" vertical="top" wrapText="1"/>
    </xf>
    <xf numFmtId="186" fontId="29" fillId="0" borderId="8" xfId="0" applyNumberFormat="1" applyFont="1" applyBorder="1" applyAlignment="1">
      <alignment vertical="top"/>
    </xf>
    <xf numFmtId="188"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9" fontId="29" fillId="0" borderId="18" xfId="0" applyNumberFormat="1" applyFont="1" applyBorder="1">
      <alignment vertical="center"/>
    </xf>
    <xf numFmtId="186" fontId="29" fillId="0" borderId="8" xfId="0" applyNumberFormat="1" applyFont="1" applyBorder="1" applyAlignment="1">
      <alignment vertical="top" wrapText="1"/>
    </xf>
    <xf numFmtId="0" fontId="29" fillId="0" borderId="4" xfId="0" applyFont="1" applyBorder="1" applyAlignment="1">
      <alignment vertical="top" wrapText="1"/>
    </xf>
    <xf numFmtId="187" fontId="29" fillId="4" borderId="2" xfId="0" applyNumberFormat="1" applyFont="1" applyFill="1" applyBorder="1">
      <alignment vertical="center"/>
    </xf>
    <xf numFmtId="187" fontId="36" fillId="6" borderId="1" xfId="0" applyNumberFormat="1" applyFont="1" applyFill="1" applyBorder="1">
      <alignment vertical="center"/>
    </xf>
    <xf numFmtId="187" fontId="29" fillId="8" borderId="13" xfId="0" applyNumberFormat="1" applyFont="1" applyFill="1" applyBorder="1" applyAlignment="1">
      <alignment vertical="center" wrapText="1"/>
    </xf>
    <xf numFmtId="187" fontId="29" fillId="4" borderId="1" xfId="0" applyNumberFormat="1" applyFont="1" applyFill="1" applyBorder="1" applyAlignment="1">
      <alignment vertical="center" wrapText="1"/>
    </xf>
    <xf numFmtId="187" fontId="29" fillId="3" borderId="5" xfId="0" applyNumberFormat="1" applyFont="1" applyFill="1" applyBorder="1">
      <alignment vertical="center"/>
    </xf>
    <xf numFmtId="187" fontId="29" fillId="4" borderId="13" xfId="0" applyNumberFormat="1" applyFont="1" applyFill="1" applyBorder="1" applyAlignment="1">
      <alignment vertical="center" wrapText="1"/>
    </xf>
    <xf numFmtId="0" fontId="29" fillId="0" borderId="9" xfId="0" applyFont="1" applyBorder="1" applyAlignment="1">
      <alignment vertical="top"/>
    </xf>
    <xf numFmtId="186" fontId="29" fillId="0" borderId="10" xfId="0" applyNumberFormat="1" applyFont="1" applyBorder="1" applyAlignment="1">
      <alignment vertical="top"/>
    </xf>
    <xf numFmtId="188" fontId="29" fillId="0" borderId="10" xfId="0" applyNumberFormat="1" applyFont="1" applyBorder="1" applyAlignment="1"/>
    <xf numFmtId="188" fontId="29" fillId="0" borderId="11" xfId="0" applyNumberFormat="1" applyFont="1" applyBorder="1" applyAlignment="1"/>
    <xf numFmtId="0" fontId="35" fillId="5" borderId="14" xfId="0" applyFont="1" applyFill="1" applyBorder="1" applyAlignment="1">
      <alignment vertical="center" wrapText="1"/>
    </xf>
    <xf numFmtId="0" fontId="32" fillId="0" borderId="18" xfId="0" applyFont="1" applyBorder="1" applyAlignment="1">
      <alignment vertical="center" wrapText="1"/>
    </xf>
    <xf numFmtId="0" fontId="30" fillId="0" borderId="18" xfId="0" applyFont="1" applyBorder="1" applyAlignment="1">
      <alignment horizontal="center" vertical="center" wrapText="1"/>
    </xf>
    <xf numFmtId="0" fontId="29" fillId="5" borderId="18" xfId="0" applyFont="1" applyFill="1" applyBorder="1" applyAlignment="1">
      <alignment horizontal="center" vertical="center" wrapText="1"/>
    </xf>
    <xf numFmtId="0" fontId="36" fillId="0" borderId="18" xfId="0" applyFont="1" applyBorder="1" applyAlignment="1">
      <alignment vertical="center" wrapText="1"/>
    </xf>
    <xf numFmtId="186" fontId="29" fillId="0" borderId="18" xfId="0" applyNumberFormat="1" applyFont="1" applyBorder="1" applyAlignment="1">
      <alignment vertical="center" wrapText="1"/>
    </xf>
    <xf numFmtId="0" fontId="29" fillId="0" borderId="18" xfId="0" applyFont="1" applyBorder="1" applyAlignment="1">
      <alignment vertical="center" wrapText="1"/>
    </xf>
    <xf numFmtId="0" fontId="29" fillId="0" borderId="18" xfId="0" applyFont="1" applyBorder="1" applyAlignment="1">
      <alignment horizontal="center" vertical="center" wrapText="1"/>
    </xf>
    <xf numFmtId="187" fontId="29" fillId="0" borderId="18" xfId="0" applyNumberFormat="1" applyFont="1" applyBorder="1" applyAlignment="1">
      <alignment vertical="center" wrapText="1"/>
    </xf>
    <xf numFmtId="187" fontId="29" fillId="0" borderId="13" xfId="0" applyNumberFormat="1" applyFont="1" applyBorder="1" applyAlignment="1">
      <alignment vertical="center" wrapText="1"/>
    </xf>
    <xf numFmtId="187" fontId="29" fillId="5" borderId="13" xfId="0" applyNumberFormat="1" applyFont="1" applyFill="1" applyBorder="1" applyAlignment="1">
      <alignment vertical="center" wrapText="1"/>
    </xf>
    <xf numFmtId="187" fontId="29" fillId="5" borderId="18" xfId="0" applyNumberFormat="1" applyFont="1" applyFill="1" applyBorder="1" applyAlignment="1">
      <alignment vertical="center" wrapText="1"/>
    </xf>
    <xf numFmtId="187" fontId="39" fillId="0" borderId="18" xfId="0" applyNumberFormat="1" applyFont="1" applyBorder="1" applyAlignment="1">
      <alignment vertical="center" wrapText="1"/>
    </xf>
    <xf numFmtId="187" fontId="29" fillId="4" borderId="18" xfId="0" applyNumberFormat="1" applyFont="1" applyFill="1" applyBorder="1" applyAlignment="1">
      <alignment vertical="center" wrapText="1"/>
    </xf>
    <xf numFmtId="187" fontId="40" fillId="0" borderId="13" xfId="0" applyNumberFormat="1" applyFont="1" applyBorder="1" applyAlignment="1">
      <alignment vertical="center" wrapText="1"/>
    </xf>
    <xf numFmtId="187" fontId="29" fillId="0" borderId="14" xfId="0" applyNumberFormat="1" applyFont="1" applyBorder="1" applyAlignment="1">
      <alignment vertical="center" wrapText="1"/>
    </xf>
    <xf numFmtId="187" fontId="41" fillId="8" borderId="0" xfId="0" applyNumberFormat="1" applyFont="1" applyFill="1" applyAlignment="1">
      <alignment vertical="center" wrapText="1"/>
    </xf>
    <xf numFmtId="187" fontId="41" fillId="12" borderId="0" xfId="0" applyNumberFormat="1" applyFont="1" applyFill="1" applyAlignment="1">
      <alignment vertical="center" wrapText="1"/>
    </xf>
    <xf numFmtId="187" fontId="29" fillId="9" borderId="13" xfId="0" applyNumberFormat="1" applyFont="1" applyFill="1" applyBorder="1" applyAlignment="1">
      <alignment vertical="center" wrapText="1"/>
    </xf>
    <xf numFmtId="186" fontId="29" fillId="0" borderId="13" xfId="0" applyNumberFormat="1" applyFont="1" applyBorder="1">
      <alignment vertical="center"/>
    </xf>
    <xf numFmtId="188"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6" fontId="29" fillId="0" borderId="13" xfId="0" applyNumberFormat="1" applyFont="1" applyBorder="1" applyAlignment="1">
      <alignment vertical="center" wrapText="1"/>
    </xf>
    <xf numFmtId="0" fontId="34" fillId="0" borderId="13" xfId="0" applyFont="1" applyBorder="1" applyAlignment="1">
      <alignment vertical="center" wrapText="1"/>
    </xf>
    <xf numFmtId="0" fontId="29" fillId="0" borderId="0" xfId="0" applyFont="1" applyAlignment="1">
      <alignment vertical="center" wrapText="1"/>
    </xf>
    <xf numFmtId="187" fontId="29" fillId="4" borderId="12" xfId="0" applyNumberFormat="1" applyFont="1" applyFill="1" applyBorder="1" applyAlignment="1">
      <alignment vertical="center" wrapText="1"/>
    </xf>
    <xf numFmtId="187" fontId="29" fillId="4" borderId="14" xfId="0" applyNumberFormat="1" applyFont="1" applyFill="1" applyBorder="1" applyAlignment="1">
      <alignment vertical="center" wrapText="1"/>
    </xf>
    <xf numFmtId="187" fontId="44" fillId="0" borderId="18" xfId="0" applyNumberFormat="1" applyFont="1" applyBorder="1" applyAlignment="1">
      <alignment vertical="center" wrapText="1"/>
    </xf>
    <xf numFmtId="187" fontId="29" fillId="8" borderId="14" xfId="0" applyNumberFormat="1" applyFont="1" applyFill="1" applyBorder="1" applyAlignment="1">
      <alignment vertical="center" wrapText="1"/>
    </xf>
    <xf numFmtId="187" fontId="29" fillId="0" borderId="0" xfId="0" applyNumberFormat="1" applyFont="1" applyAlignment="1">
      <alignment vertical="center" wrapText="1"/>
    </xf>
    <xf numFmtId="187" fontId="41" fillId="8" borderId="9" xfId="0" applyNumberFormat="1" applyFont="1" applyFill="1" applyBorder="1" applyAlignment="1">
      <alignment vertical="center" wrapText="1"/>
    </xf>
    <xf numFmtId="187" fontId="41" fillId="8" borderId="10" xfId="0" applyNumberFormat="1" applyFont="1" applyFill="1" applyBorder="1" applyAlignment="1">
      <alignment vertical="center" wrapText="1"/>
    </xf>
    <xf numFmtId="187" fontId="41" fillId="12" borderId="10" xfId="0" applyNumberFormat="1" applyFont="1" applyFill="1" applyBorder="1" applyAlignment="1">
      <alignment vertical="center" wrapText="1"/>
    </xf>
    <xf numFmtId="187" fontId="29" fillId="0" borderId="12" xfId="0" applyNumberFormat="1" applyFont="1" applyBorder="1" applyAlignment="1">
      <alignment vertical="center" wrapText="1"/>
    </xf>
    <xf numFmtId="0" fontId="29" fillId="0" borderId="12" xfId="0" applyFont="1" applyBorder="1" applyAlignment="1">
      <alignment vertical="center" wrapText="1"/>
    </xf>
    <xf numFmtId="186" fontId="29" fillId="0" borderId="12" xfId="0" applyNumberFormat="1" applyFont="1" applyBorder="1" applyAlignment="1">
      <alignment vertical="center" wrapText="1"/>
    </xf>
    <xf numFmtId="188" fontId="29" fillId="4" borderId="12" xfId="0" applyNumberFormat="1" applyFont="1" applyFill="1" applyBorder="1" applyAlignment="1">
      <alignment vertical="center" wrapText="1"/>
    </xf>
    <xf numFmtId="0" fontId="35" fillId="5" borderId="12" xfId="0" applyFont="1" applyFill="1" applyBorder="1">
      <alignment vertical="center"/>
    </xf>
    <xf numFmtId="0" fontId="32"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6"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87" fontId="0" fillId="5" borderId="12" xfId="0" applyNumberFormat="1" applyFill="1" applyBorder="1">
      <alignment vertical="center"/>
    </xf>
    <xf numFmtId="187" fontId="0" fillId="4" borderId="12" xfId="0" applyNumberFormat="1" applyFill="1" applyBorder="1">
      <alignment vertical="center"/>
    </xf>
    <xf numFmtId="187" fontId="32" fillId="4" borderId="12" xfId="0" applyNumberFormat="1" applyFont="1" applyFill="1" applyBorder="1">
      <alignment vertical="center"/>
    </xf>
    <xf numFmtId="187" fontId="0" fillId="0" borderId="12" xfId="0" applyNumberFormat="1" applyBorder="1">
      <alignment vertical="center"/>
    </xf>
    <xf numFmtId="185" fontId="0" fillId="0" borderId="12" xfId="0" applyNumberFormat="1" applyBorder="1">
      <alignment vertical="center"/>
    </xf>
    <xf numFmtId="186" fontId="0" fillId="5" borderId="1" xfId="0" applyNumberFormat="1" applyFill="1" applyBorder="1">
      <alignment vertical="center"/>
    </xf>
    <xf numFmtId="0" fontId="0" fillId="5" borderId="2" xfId="0" applyFill="1" applyBorder="1">
      <alignment vertical="center"/>
    </xf>
    <xf numFmtId="186" fontId="0" fillId="5" borderId="2" xfId="0" applyNumberFormat="1" applyFill="1" applyBorder="1">
      <alignment vertical="center"/>
    </xf>
    <xf numFmtId="0" fontId="0" fillId="5" borderId="3" xfId="0" applyFill="1" applyBorder="1">
      <alignment vertical="center"/>
    </xf>
    <xf numFmtId="188" fontId="0" fillId="4" borderId="12" xfId="0" applyNumberFormat="1" applyFill="1" applyBorder="1">
      <alignment vertical="center"/>
    </xf>
    <xf numFmtId="38" fontId="0" fillId="5" borderId="12" xfId="1" applyFont="1" applyFill="1" applyBorder="1">
      <alignment vertical="center"/>
    </xf>
    <xf numFmtId="181" fontId="0" fillId="0" borderId="12" xfId="0" applyNumberFormat="1" applyBorder="1">
      <alignment vertical="center"/>
    </xf>
    <xf numFmtId="0" fontId="29" fillId="13" borderId="0" xfId="0" applyFont="1" applyFill="1">
      <alignment vertical="center"/>
    </xf>
    <xf numFmtId="0" fontId="35" fillId="14" borderId="12" xfId="0" applyFont="1" applyFill="1" applyBorder="1">
      <alignment vertical="center"/>
    </xf>
    <xf numFmtId="0" fontId="32"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6" fontId="0" fillId="14" borderId="12" xfId="0" applyNumberFormat="1" applyFill="1" applyBorder="1">
      <alignment vertical="center"/>
    </xf>
    <xf numFmtId="187" fontId="0" fillId="14" borderId="12" xfId="0" applyNumberFormat="1" applyFill="1" applyBorder="1">
      <alignment vertical="center"/>
    </xf>
    <xf numFmtId="187" fontId="32" fillId="14" borderId="12" xfId="0" applyNumberFormat="1" applyFont="1" applyFill="1" applyBorder="1">
      <alignment vertical="center"/>
    </xf>
    <xf numFmtId="185" fontId="0" fillId="14" borderId="12" xfId="0" applyNumberFormat="1" applyFill="1" applyBorder="1">
      <alignment vertical="center"/>
    </xf>
    <xf numFmtId="186" fontId="0" fillId="14" borderId="1" xfId="0" applyNumberFormat="1" applyFill="1" applyBorder="1">
      <alignment vertical="center"/>
    </xf>
    <xf numFmtId="186" fontId="0" fillId="14" borderId="2" xfId="0" applyNumberFormat="1" applyFill="1" applyBorder="1">
      <alignment vertical="center"/>
    </xf>
    <xf numFmtId="186" fontId="0" fillId="14" borderId="3" xfId="0" applyNumberFormat="1" applyFill="1" applyBorder="1">
      <alignment vertical="center"/>
    </xf>
    <xf numFmtId="188"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1" fontId="0" fillId="14" borderId="12" xfId="0" applyNumberFormat="1" applyFill="1" applyBorder="1">
      <alignment vertical="center"/>
    </xf>
    <xf numFmtId="0" fontId="46" fillId="0" borderId="12" xfId="0" applyFont="1" applyBorder="1">
      <alignment vertical="center"/>
    </xf>
    <xf numFmtId="178" fontId="0" fillId="5" borderId="1" xfId="0" applyNumberFormat="1" applyFill="1" applyBorder="1">
      <alignment vertical="center"/>
    </xf>
    <xf numFmtId="187" fontId="0" fillId="4" borderId="12" xfId="0" applyNumberFormat="1" applyFill="1" applyBorder="1" applyAlignment="1">
      <alignment horizontal="right" vertical="center"/>
    </xf>
    <xf numFmtId="187" fontId="47" fillId="0" borderId="0" xfId="0" applyNumberFormat="1" applyFont="1">
      <alignment vertical="center"/>
    </xf>
    <xf numFmtId="187" fontId="29" fillId="13" borderId="0" xfId="0" applyNumberFormat="1" applyFont="1" applyFill="1">
      <alignment vertical="center"/>
    </xf>
    <xf numFmtId="0" fontId="32" fillId="13" borderId="0" xfId="0" applyFont="1" applyFill="1">
      <alignment vertical="center"/>
    </xf>
    <xf numFmtId="187" fontId="29" fillId="13" borderId="0" xfId="0" applyNumberFormat="1" applyFont="1" applyFill="1" applyAlignment="1">
      <alignment horizontal="center" vertical="center"/>
    </xf>
    <xf numFmtId="186" fontId="29" fillId="13" borderId="0" xfId="0" applyNumberFormat="1" applyFont="1" applyFill="1">
      <alignment vertical="center"/>
    </xf>
    <xf numFmtId="0" fontId="29" fillId="13" borderId="0" xfId="0" applyFont="1" applyFill="1" applyAlignment="1">
      <alignment horizontal="center" vertical="center"/>
    </xf>
    <xf numFmtId="49" fontId="3" fillId="0" borderId="0" xfId="0" applyNumberFormat="1" applyFont="1" applyProtection="1">
      <alignment vertical="center"/>
      <protection locked="0"/>
    </xf>
    <xf numFmtId="0" fontId="48" fillId="0" borderId="0" xfId="0" applyFont="1" applyProtection="1">
      <alignment vertical="center"/>
      <protection locked="0"/>
    </xf>
    <xf numFmtId="49" fontId="48" fillId="0" borderId="0" xfId="0" applyNumberFormat="1" applyFont="1" applyProtection="1">
      <alignment vertical="center"/>
      <protection locked="0"/>
    </xf>
    <xf numFmtId="0" fontId="8" fillId="0" borderId="0" xfId="0" applyFont="1" applyAlignment="1">
      <alignment horizontal="center" vertical="center"/>
    </xf>
    <xf numFmtId="181" fontId="0" fillId="5" borderId="12" xfId="0" applyNumberFormat="1" applyFill="1" applyBorder="1">
      <alignment vertical="center"/>
    </xf>
    <xf numFmtId="187" fontId="37" fillId="0" borderId="18" xfId="0" applyNumberFormat="1" applyFont="1" applyBorder="1" applyAlignment="1">
      <alignment vertical="center" wrapText="1"/>
    </xf>
    <xf numFmtId="187" fontId="49" fillId="0" borderId="18" xfId="0" applyNumberFormat="1" applyFont="1" applyBorder="1" applyAlignment="1">
      <alignment vertical="center" wrapText="1"/>
    </xf>
    <xf numFmtId="187" fontId="0" fillId="15" borderId="12" xfId="0" applyNumberFormat="1" applyFill="1" applyBorder="1">
      <alignment vertical="center"/>
    </xf>
    <xf numFmtId="187" fontId="32" fillId="15" borderId="12" xfId="0" applyNumberFormat="1" applyFont="1" applyFill="1" applyBorder="1">
      <alignment vertical="center"/>
    </xf>
    <xf numFmtId="187" fontId="0" fillId="15" borderId="12" xfId="0" applyNumberFormat="1" applyFill="1" applyBorder="1" applyAlignment="1">
      <alignment vertical="center" wrapText="1"/>
    </xf>
    <xf numFmtId="187" fontId="0" fillId="15" borderId="12" xfId="0" applyNumberFormat="1" applyFill="1" applyBorder="1" applyAlignment="1">
      <alignment horizontal="right" vertical="center"/>
    </xf>
    <xf numFmtId="187" fontId="29" fillId="0" borderId="12" xfId="0" applyNumberFormat="1" applyFont="1" applyBorder="1">
      <alignment vertical="center"/>
    </xf>
    <xf numFmtId="187" fontId="29" fillId="4" borderId="12" xfId="0" applyNumberFormat="1" applyFont="1" applyFill="1" applyBorder="1">
      <alignment vertical="center"/>
    </xf>
    <xf numFmtId="0" fontId="24" fillId="3" borderId="12" xfId="0" applyFont="1" applyFill="1" applyBorder="1" applyProtection="1">
      <alignment vertical="center"/>
      <protection locked="0"/>
    </xf>
    <xf numFmtId="0" fontId="24" fillId="3" borderId="0" xfId="0" applyFont="1" applyFill="1" applyProtection="1">
      <alignment vertical="center"/>
      <protection locked="0"/>
    </xf>
    <xf numFmtId="0" fontId="24" fillId="3" borderId="5" xfId="0" applyFont="1" applyFill="1" applyBorder="1" applyProtection="1">
      <alignment vertical="center"/>
      <protection locked="0"/>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16" fillId="0" borderId="0" xfId="0" applyFont="1" applyAlignment="1">
      <alignment horizontal="right" vertical="center"/>
    </xf>
    <xf numFmtId="0" fontId="50" fillId="0" borderId="0" xfId="0" applyFont="1">
      <alignment vertical="center"/>
    </xf>
    <xf numFmtId="0" fontId="50" fillId="0" borderId="0" xfId="0" applyFont="1" applyAlignment="1">
      <alignment horizontal="right" vertical="center"/>
    </xf>
    <xf numFmtId="0" fontId="50" fillId="0" borderId="0" xfId="0" applyFont="1" applyProtection="1">
      <alignment vertical="center"/>
      <protection locked="0"/>
    </xf>
    <xf numFmtId="0" fontId="50" fillId="0" borderId="12" xfId="0" applyFont="1" applyBorder="1">
      <alignment vertical="center"/>
    </xf>
    <xf numFmtId="0" fontId="50" fillId="0" borderId="12" xfId="0" applyFont="1" applyBorder="1" applyAlignment="1">
      <alignment horizontal="center" vertical="center"/>
    </xf>
    <xf numFmtId="0" fontId="50" fillId="16" borderId="12" xfId="0" applyFont="1" applyFill="1" applyBorder="1" applyProtection="1">
      <alignment vertical="center"/>
      <protection locked="0"/>
    </xf>
    <xf numFmtId="2" fontId="50" fillId="0" borderId="12" xfId="0" applyNumberFormat="1" applyFont="1" applyBorder="1">
      <alignment vertical="center"/>
    </xf>
    <xf numFmtId="190" fontId="50" fillId="0" borderId="12" xfId="0" applyNumberFormat="1" applyFont="1" applyBorder="1">
      <alignment vertical="center"/>
    </xf>
    <xf numFmtId="190" fontId="50" fillId="0" borderId="12" xfId="1" applyNumberFormat="1" applyFont="1" applyBorder="1" applyAlignment="1" applyProtection="1">
      <alignment vertical="center"/>
    </xf>
    <xf numFmtId="0" fontId="44" fillId="0" borderId="0" xfId="0" applyFont="1">
      <alignment vertical="center"/>
    </xf>
    <xf numFmtId="0" fontId="44" fillId="0" borderId="12" xfId="0" applyFont="1" applyBorder="1" applyAlignment="1">
      <alignment horizontal="center" vertical="center"/>
    </xf>
    <xf numFmtId="190" fontId="50" fillId="16" borderId="12" xfId="0" applyNumberFormat="1" applyFont="1" applyFill="1" applyBorder="1" applyProtection="1">
      <alignment vertical="center"/>
      <protection locked="0"/>
    </xf>
    <xf numFmtId="0" fontId="50" fillId="0" borderId="0" xfId="0" applyFont="1" applyAlignment="1">
      <alignment vertical="center" wrapText="1"/>
    </xf>
    <xf numFmtId="38" fontId="50" fillId="0" borderId="0" xfId="1" applyFont="1" applyProtection="1">
      <alignment vertical="center"/>
    </xf>
    <xf numFmtId="181" fontId="3" fillId="0" borderId="0" xfId="0" applyNumberFormat="1" applyFont="1" applyAlignment="1">
      <alignment horizontal="center" vertical="center"/>
    </xf>
    <xf numFmtId="191" fontId="3" fillId="0" borderId="0" xfId="0" applyNumberFormat="1" applyFont="1" applyAlignment="1">
      <alignment horizontal="right" vertical="center"/>
    </xf>
    <xf numFmtId="0" fontId="26" fillId="0" borderId="12" xfId="0" applyFont="1" applyBorder="1" applyAlignment="1">
      <alignment horizontal="center" vertical="center"/>
    </xf>
    <xf numFmtId="0" fontId="26" fillId="0" borderId="12" xfId="0" applyFont="1" applyBorder="1" applyAlignment="1">
      <alignment vertical="center" shrinkToFit="1"/>
    </xf>
    <xf numFmtId="0" fontId="20" fillId="0" borderId="0" xfId="0" applyFont="1" applyAlignment="1">
      <alignment horizontal="center" vertical="center"/>
    </xf>
    <xf numFmtId="180" fontId="3" fillId="0" borderId="0" xfId="0" applyNumberFormat="1" applyFont="1" applyAlignment="1">
      <alignment horizontal="center" vertical="center"/>
    </xf>
    <xf numFmtId="180" fontId="3" fillId="0" borderId="1" xfId="0" applyNumberFormat="1" applyFont="1" applyBorder="1" applyAlignment="1" applyProtection="1">
      <alignment horizontal="right" vertical="center"/>
      <protection locked="0"/>
    </xf>
    <xf numFmtId="180" fontId="3" fillId="0" borderId="2" xfId="0" applyNumberFormat="1" applyFont="1" applyBorder="1" applyAlignment="1" applyProtection="1">
      <alignment horizontal="right" vertical="center"/>
      <protection locked="0"/>
    </xf>
    <xf numFmtId="180" fontId="3" fillId="0" borderId="3" xfId="0" applyNumberFormat="1" applyFont="1" applyBorder="1" applyAlignment="1" applyProtection="1">
      <alignment horizontal="right"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Alignment="1">
      <alignment horizontal="left" vertical="center" wrapText="1"/>
    </xf>
    <xf numFmtId="0" fontId="3" fillId="0" borderId="8"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center" vertical="center"/>
    </xf>
    <xf numFmtId="177" fontId="3" fillId="0" borderId="0" xfId="0" applyNumberFormat="1" applyFont="1" applyAlignment="1" applyProtection="1">
      <alignment horizontal="center" vertical="center"/>
      <protection locked="0"/>
    </xf>
    <xf numFmtId="49" fontId="3" fillId="0" borderId="1"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1" fillId="0" borderId="0" xfId="0" applyFont="1" applyAlignment="1">
      <alignment horizontal="left" vertical="center" wrapText="1"/>
    </xf>
    <xf numFmtId="0" fontId="9" fillId="0" borderId="0" xfId="0" applyFont="1" applyAlignment="1">
      <alignment horizontal="left" vertical="center" wrapText="1"/>
    </xf>
    <xf numFmtId="0" fontId="7" fillId="0" borderId="12"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81" fontId="3" fillId="2" borderId="1" xfId="0" applyNumberFormat="1" applyFont="1" applyFill="1" applyBorder="1" applyAlignment="1">
      <alignment horizontal="center" vertical="center"/>
    </xf>
    <xf numFmtId="181" fontId="3" fillId="2" borderId="2" xfId="0" applyNumberFormat="1" applyFont="1" applyFill="1" applyBorder="1" applyAlignment="1">
      <alignment horizontal="center" vertical="center"/>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7" fontId="3" fillId="0" borderId="10" xfId="0" applyNumberFormat="1" applyFont="1" applyBorder="1" applyAlignment="1" applyProtection="1">
      <alignment horizontal="center" vertical="center"/>
      <protection locked="0"/>
    </xf>
    <xf numFmtId="185" fontId="3" fillId="0" borderId="1" xfId="0" applyNumberFormat="1" applyFont="1" applyBorder="1" applyAlignment="1" applyProtection="1">
      <alignment horizontal="center" vertical="center"/>
      <protection locked="0"/>
    </xf>
    <xf numFmtId="185" fontId="3" fillId="0" borderId="2" xfId="0" applyNumberFormat="1" applyFont="1" applyBorder="1" applyAlignment="1" applyProtection="1">
      <alignment horizontal="center" vertical="center"/>
      <protection locked="0"/>
    </xf>
    <xf numFmtId="177" fontId="3" fillId="0" borderId="5"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0" fontId="8" fillId="0" borderId="0" xfId="0" applyFont="1" applyAlignment="1">
      <alignment horizontal="center" vertical="center"/>
    </xf>
    <xf numFmtId="0" fontId="3" fillId="0" borderId="0" xfId="0" applyFont="1" applyAlignment="1" applyProtection="1">
      <alignment horizontal="left" vertical="center"/>
      <protection locked="0"/>
    </xf>
    <xf numFmtId="182" fontId="3" fillId="2" borderId="1" xfId="0" applyNumberFormat="1" applyFont="1" applyFill="1" applyBorder="1" applyAlignment="1">
      <alignment horizontal="center" vertical="center"/>
    </xf>
    <xf numFmtId="182" fontId="3" fillId="2" borderId="2"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2" borderId="6" xfId="0" applyFont="1" applyFill="1" applyBorder="1" applyAlignment="1">
      <alignment horizontal="center" vertical="center"/>
    </xf>
    <xf numFmtId="181" fontId="3" fillId="2" borderId="5" xfId="0" applyNumberFormat="1" applyFont="1" applyFill="1" applyBorder="1" applyAlignment="1">
      <alignment horizontal="center" vertical="center"/>
    </xf>
    <xf numFmtId="181" fontId="3" fillId="2" borderId="7" xfId="0" applyNumberFormat="1" applyFont="1" applyFill="1" applyBorder="1" applyAlignment="1">
      <alignment horizontal="center" vertical="center"/>
    </xf>
    <xf numFmtId="181" fontId="3" fillId="2" borderId="9" xfId="0" applyNumberFormat="1" applyFont="1" applyFill="1" applyBorder="1" applyAlignment="1">
      <alignment horizontal="center" vertical="center"/>
    </xf>
    <xf numFmtId="181" fontId="3" fillId="2" borderId="10" xfId="0" applyNumberFormat="1" applyFont="1" applyFill="1" applyBorder="1" applyAlignment="1">
      <alignment horizontal="center" vertical="center"/>
    </xf>
    <xf numFmtId="181" fontId="3" fillId="2" borderId="11" xfId="0" applyNumberFormat="1" applyFont="1" applyFill="1" applyBorder="1" applyAlignment="1">
      <alignment horizontal="center" vertical="center"/>
    </xf>
    <xf numFmtId="0" fontId="3" fillId="0" borderId="0" xfId="0" applyFont="1" applyAlignment="1">
      <alignment horizontal="left" vertical="center"/>
    </xf>
    <xf numFmtId="0" fontId="3" fillId="0" borderId="12" xfId="0" applyFont="1" applyBorder="1" applyAlignment="1">
      <alignment horizontal="left" vertical="center"/>
    </xf>
    <xf numFmtId="49" fontId="3" fillId="0" borderId="9"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11" xfId="0" applyNumberFormat="1" applyFont="1" applyBorder="1" applyAlignment="1" applyProtection="1">
      <alignment horizontal="left" vertical="center"/>
      <protection locked="0"/>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8" fontId="3" fillId="0" borderId="1" xfId="0" applyNumberFormat="1" applyFont="1" applyBorder="1" applyAlignment="1" applyProtection="1">
      <alignment horizontal="right" vertical="center"/>
      <protection locked="0"/>
    </xf>
    <xf numFmtId="178" fontId="3" fillId="0" borderId="2" xfId="0" applyNumberFormat="1" applyFont="1" applyBorder="1" applyAlignment="1" applyProtection="1">
      <alignment horizontal="right" vertical="center"/>
      <protection locked="0"/>
    </xf>
    <xf numFmtId="177" fontId="3" fillId="0" borderId="2" xfId="0" applyNumberFormat="1" applyFont="1" applyBorder="1" applyAlignment="1" applyProtection="1">
      <alignment horizontal="center" vertical="center"/>
      <protection locked="0"/>
    </xf>
    <xf numFmtId="0" fontId="15" fillId="0" borderId="0" xfId="0" applyFont="1" applyAlignment="1">
      <alignment horizontal="left" vertical="center" wrapText="1"/>
    </xf>
    <xf numFmtId="0" fontId="13" fillId="0" borderId="0" xfId="0" applyFont="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0" xfId="0" applyFont="1" applyAlignment="1">
      <alignment horizontal="left" vertical="top" wrapText="1"/>
    </xf>
    <xf numFmtId="183" fontId="3" fillId="0" borderId="1" xfId="0" applyNumberFormat="1" applyFont="1" applyBorder="1" applyAlignment="1" applyProtection="1">
      <alignment horizontal="right" vertical="center"/>
      <protection locked="0"/>
    </xf>
    <xf numFmtId="183" fontId="3" fillId="0" borderId="2" xfId="0" applyNumberFormat="1" applyFont="1" applyBorder="1" applyAlignment="1" applyProtection="1">
      <alignment horizontal="right" vertical="center"/>
      <protection locked="0"/>
    </xf>
    <xf numFmtId="183" fontId="3" fillId="0" borderId="3" xfId="0" applyNumberFormat="1" applyFont="1" applyBorder="1" applyAlignment="1" applyProtection="1">
      <alignment horizontal="right" vertical="center"/>
      <protection locked="0"/>
    </xf>
    <xf numFmtId="178" fontId="3" fillId="0" borderId="10" xfId="0" applyNumberFormat="1" applyFont="1" applyBorder="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9" fontId="3" fillId="0" borderId="0" xfId="0" applyNumberFormat="1" applyFont="1" applyAlignment="1">
      <alignment horizontal="center" vertical="center"/>
    </xf>
    <xf numFmtId="0" fontId="3" fillId="0" borderId="6" xfId="0" applyFont="1" applyBorder="1" applyAlignment="1" applyProtection="1">
      <alignment horizontal="left" vertical="center"/>
      <protection locked="0"/>
    </xf>
    <xf numFmtId="178" fontId="3" fillId="0" borderId="5" xfId="0" applyNumberFormat="1" applyFont="1" applyBorder="1" applyAlignment="1" applyProtection="1">
      <alignment horizontal="right" vertical="center"/>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191" fontId="3" fillId="2" borderId="1" xfId="0" applyNumberFormat="1" applyFont="1" applyFill="1" applyBorder="1" applyAlignment="1">
      <alignment horizontal="right" vertical="center"/>
    </xf>
    <xf numFmtId="191" fontId="3" fillId="2" borderId="2" xfId="0" applyNumberFormat="1" applyFont="1" applyFill="1" applyBorder="1" applyAlignment="1">
      <alignment horizontal="righ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pplyProtection="1">
      <alignment horizontal="center" vertical="center" wrapText="1"/>
      <protection locked="0"/>
    </xf>
    <xf numFmtId="0" fontId="8" fillId="0" borderId="0" xfId="0" applyFont="1" applyAlignment="1">
      <alignment horizontal="left" vertical="center" wrapText="1"/>
    </xf>
    <xf numFmtId="0" fontId="10" fillId="0" borderId="0" xfId="0" applyFont="1" applyAlignment="1">
      <alignment horizontal="left" vertical="center" wrapText="1"/>
    </xf>
    <xf numFmtId="0" fontId="3" fillId="0" borderId="4" xfId="0"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25" fillId="0" borderId="10" xfId="0" applyFont="1" applyBorder="1" applyAlignment="1">
      <alignment horizontal="left" vertical="center" wrapText="1"/>
    </xf>
    <xf numFmtId="0" fontId="26" fillId="0" borderId="0" xfId="0" applyFont="1" applyAlignment="1">
      <alignment horizontal="left" vertical="center" wrapText="1"/>
    </xf>
    <xf numFmtId="0" fontId="50" fillId="0" borderId="12" xfId="0" applyFont="1" applyBorder="1" applyAlignment="1">
      <alignment horizontal="left" vertical="center" wrapText="1"/>
    </xf>
    <xf numFmtId="0" fontId="50" fillId="0" borderId="12" xfId="0" applyFont="1" applyBorder="1" applyAlignment="1">
      <alignment horizontal="left" vertical="center"/>
    </xf>
    <xf numFmtId="38" fontId="50" fillId="0" borderId="12" xfId="1" applyFont="1" applyFill="1" applyBorder="1" applyAlignment="1" applyProtection="1">
      <alignment horizontal="right" vertical="center"/>
    </xf>
    <xf numFmtId="38" fontId="50" fillId="16" borderId="12" xfId="1" applyFont="1" applyFill="1" applyBorder="1" applyAlignment="1" applyProtection="1">
      <alignment horizontal="right" vertical="center"/>
      <protection locked="0"/>
    </xf>
    <xf numFmtId="0" fontId="50" fillId="0" borderId="13" xfId="0" applyFont="1" applyBorder="1" applyAlignment="1">
      <alignment horizontal="center" vertical="center"/>
    </xf>
    <xf numFmtId="0" fontId="50" fillId="0" borderId="14" xfId="0" applyFont="1" applyBorder="1" applyAlignment="1">
      <alignment horizontal="center" vertical="center"/>
    </xf>
    <xf numFmtId="0" fontId="50" fillId="0" borderId="12" xfId="0" applyFont="1" applyBorder="1" applyAlignment="1">
      <alignment horizontal="center" vertical="center"/>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12" xfId="0" applyFont="1" applyBorder="1" applyAlignment="1">
      <alignment horizontal="center" vertical="center"/>
    </xf>
    <xf numFmtId="0" fontId="50" fillId="0" borderId="13"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189" fontId="50" fillId="16" borderId="12" xfId="0" applyNumberFormat="1" applyFont="1" applyFill="1" applyBorder="1" applyAlignment="1" applyProtection="1">
      <alignment horizontal="center" vertical="center"/>
      <protection locked="0"/>
    </xf>
    <xf numFmtId="0" fontId="52" fillId="0" borderId="0" xfId="0" applyFont="1" applyAlignment="1">
      <alignment horizontal="center" vertical="center"/>
    </xf>
    <xf numFmtId="0" fontId="50" fillId="16" borderId="12" xfId="0"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48"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4" fillId="0" borderId="0" xfId="0" applyFont="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184" fontId="3" fillId="0" borderId="1" xfId="0" applyNumberFormat="1" applyFont="1" applyBorder="1" applyAlignment="1">
      <alignment horizontal="right" vertical="center"/>
    </xf>
    <xf numFmtId="184" fontId="3" fillId="0" borderId="2" xfId="0" applyNumberFormat="1" applyFont="1" applyBorder="1" applyAlignment="1">
      <alignment horizontal="right"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23" fillId="0" borderId="8" xfId="0" applyFont="1" applyBorder="1" applyAlignment="1">
      <alignment horizontal="left" vertical="center"/>
    </xf>
    <xf numFmtId="0" fontId="23" fillId="0" borderId="0" xfId="0" applyFont="1" applyAlignment="1">
      <alignment horizontal="left" vertical="center"/>
    </xf>
    <xf numFmtId="0" fontId="23" fillId="0" borderId="4" xfId="0" applyFont="1" applyBorder="1" applyAlignment="1">
      <alignment horizontal="left" vertical="center"/>
    </xf>
    <xf numFmtId="187" fontId="30" fillId="6" borderId="1" xfId="0" applyNumberFormat="1" applyFont="1" applyFill="1" applyBorder="1" applyAlignment="1">
      <alignment horizontal="center" vertical="center"/>
    </xf>
    <xf numFmtId="187" fontId="30" fillId="6" borderId="2" xfId="0" applyNumberFormat="1" applyFont="1" applyFill="1" applyBorder="1" applyAlignment="1">
      <alignment horizontal="center" vertical="center"/>
    </xf>
    <xf numFmtId="187" fontId="30" fillId="6" borderId="3" xfId="0" applyNumberFormat="1" applyFont="1" applyFill="1" applyBorder="1" applyAlignment="1">
      <alignment horizontal="center" vertical="center"/>
    </xf>
    <xf numFmtId="186" fontId="29" fillId="0" borderId="1" xfId="0" applyNumberFormat="1" applyFont="1" applyBorder="1" applyAlignment="1">
      <alignment horizontal="center" vertical="center"/>
    </xf>
    <xf numFmtId="186" fontId="29" fillId="0" borderId="2" xfId="0" applyNumberFormat="1" applyFont="1" applyBorder="1" applyAlignment="1">
      <alignment horizontal="center" vertical="center"/>
    </xf>
    <xf numFmtId="186" fontId="29" fillId="0" borderId="3" xfId="0" applyNumberFormat="1" applyFont="1" applyBorder="1" applyAlignment="1">
      <alignment horizontal="center" vertical="center"/>
    </xf>
    <xf numFmtId="187" fontId="29" fillId="4" borderId="0" xfId="0" applyNumberFormat="1" applyFont="1" applyFill="1" applyAlignment="1">
      <alignment horizontal="center" vertical="top" wrapText="1"/>
    </xf>
    <xf numFmtId="187" fontId="29" fillId="4" borderId="10" xfId="0" applyNumberFormat="1" applyFont="1" applyFill="1" applyBorder="1" applyAlignment="1">
      <alignment horizontal="center" vertical="top" wrapText="1"/>
    </xf>
    <xf numFmtId="0" fontId="33" fillId="0" borderId="6"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 fillId="0" borderId="0" xfId="0" applyFont="1" applyAlignment="1">
      <alignment horizontal="left" vertical="top" wrapText="1"/>
    </xf>
    <xf numFmtId="49" fontId="16" fillId="0" borderId="0" xfId="0" applyNumberFormat="1" applyFont="1">
      <alignment vertical="center"/>
    </xf>
  </cellXfs>
  <cellStyles count="2">
    <cellStyle name="桁区切り" xfId="1" builtinId="6"/>
    <cellStyle name="標準" xfId="0" builtinId="0"/>
  </cellStyles>
  <dxfs count="7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0</xdr:rowOff>
    </xdr:from>
    <xdr:to>
      <xdr:col>26</xdr:col>
      <xdr:colOff>112395</xdr:colOff>
      <xdr:row>5</xdr:row>
      <xdr:rowOff>87629</xdr:rowOff>
    </xdr:to>
    <xdr:sp macro="" textlink="">
      <xdr:nvSpPr>
        <xdr:cNvPr id="2" name="四角形: 角を丸くする 1">
          <a:extLst>
            <a:ext uri="{FF2B5EF4-FFF2-40B4-BE49-F238E27FC236}">
              <a16:creationId xmlns:a16="http://schemas.microsoft.com/office/drawing/2014/main" id="{C4219B21-D4EA-42F9-BA52-1E2AD46831E1}"/>
            </a:ext>
          </a:extLst>
        </xdr:cNvPr>
        <xdr:cNvSpPr/>
      </xdr:nvSpPr>
      <xdr:spPr>
        <a:xfrm>
          <a:off x="85725" y="0"/>
          <a:ext cx="5703570" cy="773429"/>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○はじめに、「要入力　交付決定状況入力シート」に入力ください。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53</xdr:row>
      <xdr:rowOff>200025</xdr:rowOff>
    </xdr:from>
    <xdr:to>
      <xdr:col>6</xdr:col>
      <xdr:colOff>619125</xdr:colOff>
      <xdr:row>53</xdr:row>
      <xdr:rowOff>200025</xdr:rowOff>
    </xdr:to>
    <xdr:cxnSp macro="">
      <xdr:nvCxnSpPr>
        <xdr:cNvPr id="2" name="直線矢印コネクタ 1">
          <a:extLst>
            <a:ext uri="{FF2B5EF4-FFF2-40B4-BE49-F238E27FC236}">
              <a16:creationId xmlns:a16="http://schemas.microsoft.com/office/drawing/2014/main" id="{25FA8E70-5F47-452C-9DF4-A22B4C0B1351}"/>
            </a:ext>
          </a:extLst>
        </xdr:cNvPr>
        <xdr:cNvCxnSpPr/>
      </xdr:nvCxnSpPr>
      <xdr:spPr>
        <a:xfrm flipH="1">
          <a:off x="4511040" y="8511540"/>
          <a:ext cx="3962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619125</xdr:colOff>
      <xdr:row>53</xdr:row>
      <xdr:rowOff>200025</xdr:rowOff>
    </xdr:from>
    <xdr:to>
      <xdr:col>6</xdr:col>
      <xdr:colOff>619125</xdr:colOff>
      <xdr:row>60</xdr:row>
      <xdr:rowOff>152025</xdr:rowOff>
    </xdr:to>
    <xdr:cxnSp macro="">
      <xdr:nvCxnSpPr>
        <xdr:cNvPr id="3" name="直線コネクタ 2">
          <a:extLst>
            <a:ext uri="{FF2B5EF4-FFF2-40B4-BE49-F238E27FC236}">
              <a16:creationId xmlns:a16="http://schemas.microsoft.com/office/drawing/2014/main" id="{80322A42-466A-4202-B917-31887B543D0B}"/>
            </a:ext>
          </a:extLst>
        </xdr:cNvPr>
        <xdr:cNvCxnSpPr/>
      </xdr:nvCxnSpPr>
      <xdr:spPr>
        <a:xfrm>
          <a:off x="4907280" y="8511540"/>
          <a:ext cx="0" cy="14779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211667</xdr:colOff>
      <xdr:row>60</xdr:row>
      <xdr:rowOff>152400</xdr:rowOff>
    </xdr:from>
    <xdr:to>
      <xdr:col>6</xdr:col>
      <xdr:colOff>611717</xdr:colOff>
      <xdr:row>60</xdr:row>
      <xdr:rowOff>152400</xdr:rowOff>
    </xdr:to>
    <xdr:cxnSp macro="">
      <xdr:nvCxnSpPr>
        <xdr:cNvPr id="4" name="直線矢印コネクタ 3">
          <a:extLst>
            <a:ext uri="{FF2B5EF4-FFF2-40B4-BE49-F238E27FC236}">
              <a16:creationId xmlns:a16="http://schemas.microsoft.com/office/drawing/2014/main" id="{C7A982FD-655E-4511-A033-92975D8CF64D}"/>
            </a:ext>
          </a:extLst>
        </xdr:cNvPr>
        <xdr:cNvCxnSpPr/>
      </xdr:nvCxnSpPr>
      <xdr:spPr>
        <a:xfrm flipH="1">
          <a:off x="4505537" y="9989820"/>
          <a:ext cx="3962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7:FI222"/>
  <sheetViews>
    <sheetView showGridLines="0" tabSelected="1" view="pageBreakPreview" zoomScaleNormal="100" zoomScaleSheetLayoutView="100" workbookViewId="0">
      <selection activeCell="O130" sqref="O130:Z130"/>
    </sheetView>
  </sheetViews>
  <sheetFormatPr defaultColWidth="3.109375" defaultRowHeight="13.2" x14ac:dyDescent="0.2"/>
  <cols>
    <col min="1" max="1" width="4.21875" style="1" customWidth="1"/>
    <col min="2" max="2" width="3.6640625" style="1" customWidth="1"/>
    <col min="3" max="3" width="3.44140625" style="1" bestFit="1" customWidth="1"/>
    <col min="4"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77734375" style="1" customWidth="1"/>
    <col min="28" max="28" width="9.109375" style="3" bestFit="1" customWidth="1"/>
    <col min="29" max="29" width="7"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21875" style="1" customWidth="1"/>
    <col min="60" max="16384" width="3.109375" style="1"/>
  </cols>
  <sheetData>
    <row r="7" spans="1:60" ht="13.5" customHeight="1" x14ac:dyDescent="0.2">
      <c r="A7" s="1" t="s">
        <v>111</v>
      </c>
      <c r="K7" s="2"/>
      <c r="L7" s="2"/>
      <c r="M7" s="2"/>
      <c r="N7" s="2"/>
      <c r="O7" s="2"/>
      <c r="P7" s="2"/>
      <c r="Q7" s="2"/>
      <c r="R7" s="2"/>
      <c r="Z7" s="39"/>
      <c r="AA7" s="291" t="s">
        <v>499</v>
      </c>
      <c r="AC7" s="4" t="s">
        <v>64</v>
      </c>
      <c r="BG7" s="1" t="s">
        <v>81</v>
      </c>
      <c r="BH7" s="1" t="s">
        <v>99</v>
      </c>
    </row>
    <row r="8" spans="1:60" ht="13.95" customHeight="1" x14ac:dyDescent="0.2">
      <c r="K8" s="2"/>
      <c r="L8" s="2"/>
      <c r="M8" s="2"/>
      <c r="N8" s="2"/>
      <c r="O8" s="2"/>
      <c r="P8" s="2"/>
      <c r="Q8" s="2"/>
      <c r="R8" s="2"/>
      <c r="Y8" s="1" t="s">
        <v>498</v>
      </c>
      <c r="AC8" s="4" t="s">
        <v>65</v>
      </c>
      <c r="BG8" s="1" t="s">
        <v>82</v>
      </c>
      <c r="BH8" s="1" t="s">
        <v>100</v>
      </c>
    </row>
    <row r="9" spans="1:60" ht="14.4" x14ac:dyDescent="0.2">
      <c r="A9" s="310" t="s">
        <v>418</v>
      </c>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C9" s="4" t="s">
        <v>61</v>
      </c>
      <c r="BG9" s="1" t="s">
        <v>83</v>
      </c>
      <c r="BH9" s="1" t="s">
        <v>101</v>
      </c>
    </row>
    <row r="10" spans="1:60" ht="6" customHeight="1" x14ac:dyDescent="0.2">
      <c r="AC10" s="4"/>
      <c r="BG10" s="1" t="s">
        <v>84</v>
      </c>
      <c r="BH10" s="1" t="s">
        <v>100</v>
      </c>
    </row>
    <row r="11" spans="1:60" x14ac:dyDescent="0.2">
      <c r="A11" s="336" t="s">
        <v>148</v>
      </c>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BG11" s="1" t="s">
        <v>85</v>
      </c>
      <c r="BH11" s="1" t="s">
        <v>99</v>
      </c>
    </row>
    <row r="12" spans="1:60" x14ac:dyDescent="0.2">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BG12" s="1" t="s">
        <v>86</v>
      </c>
      <c r="BH12" s="1" t="s">
        <v>99</v>
      </c>
    </row>
    <row r="13" spans="1:60" ht="7.5" customHeight="1" x14ac:dyDescent="0.2">
      <c r="BG13" s="1" t="s">
        <v>87</v>
      </c>
      <c r="BH13" s="1" t="s">
        <v>99</v>
      </c>
    </row>
    <row r="14" spans="1:60" x14ac:dyDescent="0.2">
      <c r="C14" s="415"/>
      <c r="D14" s="415"/>
      <c r="E14" s="415"/>
      <c r="F14" s="415"/>
      <c r="G14" s="1" t="s">
        <v>8</v>
      </c>
      <c r="H14" s="339"/>
      <c r="I14" s="339"/>
      <c r="J14" s="1" t="s">
        <v>24</v>
      </c>
      <c r="K14" s="339"/>
      <c r="L14" s="339"/>
      <c r="M14" s="1" t="s">
        <v>7</v>
      </c>
      <c r="AB14" s="4" t="str">
        <f>IF(OR(C14="",H14="",K14=""),"←リストから選択してください（和暦年月日）","")</f>
        <v>←リストから選択してください（和暦年月日）</v>
      </c>
      <c r="BG14" s="1" t="s">
        <v>102</v>
      </c>
      <c r="BH14" s="1" t="s">
        <v>99</v>
      </c>
    </row>
    <row r="15" spans="1:60" ht="4.5" customHeight="1" x14ac:dyDescent="0.2">
      <c r="BG15" s="1" t="s">
        <v>88</v>
      </c>
      <c r="BH15" s="1" t="s">
        <v>101</v>
      </c>
    </row>
    <row r="16" spans="1:60" x14ac:dyDescent="0.2">
      <c r="K16" s="5" t="s">
        <v>23</v>
      </c>
      <c r="L16" s="6" t="s">
        <v>13</v>
      </c>
      <c r="M16" s="7"/>
      <c r="N16" s="6" t="s">
        <v>10</v>
      </c>
      <c r="O16" s="346"/>
      <c r="P16" s="346"/>
      <c r="Q16" s="346"/>
      <c r="R16" s="346"/>
      <c r="S16" s="346"/>
      <c r="T16" s="346"/>
      <c r="U16" s="346"/>
      <c r="V16" s="346"/>
      <c r="W16" s="346"/>
      <c r="X16" s="346"/>
      <c r="Y16" s="346"/>
      <c r="Z16" s="347"/>
      <c r="AB16" s="4" t="str">
        <f>IF(O16="","←直接郵便番号を記入してください","")</f>
        <v>←直接郵便番号を記入してください</v>
      </c>
      <c r="BG16" s="1" t="s">
        <v>89</v>
      </c>
      <c r="BH16" s="1" t="s">
        <v>101</v>
      </c>
    </row>
    <row r="17" spans="1:165" ht="22.2" customHeight="1" x14ac:dyDescent="0.2">
      <c r="L17" s="8"/>
      <c r="M17" s="9"/>
      <c r="N17" s="343"/>
      <c r="O17" s="344"/>
      <c r="P17" s="344"/>
      <c r="Q17" s="344"/>
      <c r="R17" s="344"/>
      <c r="S17" s="344"/>
      <c r="T17" s="344"/>
      <c r="U17" s="344"/>
      <c r="V17" s="344"/>
      <c r="W17" s="344"/>
      <c r="X17" s="344"/>
      <c r="Y17" s="344"/>
      <c r="Z17" s="345"/>
      <c r="AB17" s="4" t="str">
        <f>IF(N17="","←直接転居後の住所を記入してください","")</f>
        <v>←直接転居後の住所を記入してください</v>
      </c>
      <c r="BG17" s="1" t="s">
        <v>90</v>
      </c>
      <c r="BH17" s="1" t="s">
        <v>101</v>
      </c>
      <c r="FI17" s="1" t="e">
        <f>IF(【様式第６号の２】事業報告書兼チェックシート!Y103="",IF)</f>
        <v>#NAME?</v>
      </c>
    </row>
    <row r="18" spans="1:165" x14ac:dyDescent="0.2">
      <c r="L18" s="10" t="s">
        <v>6</v>
      </c>
      <c r="M18" s="11"/>
      <c r="N18" s="321"/>
      <c r="O18" s="322"/>
      <c r="P18" s="322"/>
      <c r="Q18" s="322"/>
      <c r="R18" s="322"/>
      <c r="S18" s="322"/>
      <c r="T18" s="322"/>
      <c r="U18" s="322"/>
      <c r="V18" s="322"/>
      <c r="W18" s="322"/>
      <c r="X18" s="322"/>
      <c r="Y18" s="322"/>
      <c r="Z18" s="323"/>
      <c r="AB18" s="4" t="str">
        <f>IF(N18="","←直接建築主の氏名を記入してください","")</f>
        <v>←直接建築主の氏名を記入してください</v>
      </c>
      <c r="BG18" s="1" t="s">
        <v>91</v>
      </c>
      <c r="BH18" s="1" t="s">
        <v>101</v>
      </c>
    </row>
    <row r="19" spans="1:165" x14ac:dyDescent="0.2">
      <c r="L19" s="10" t="s">
        <v>9</v>
      </c>
      <c r="M19" s="11"/>
      <c r="N19" s="340"/>
      <c r="O19" s="341"/>
      <c r="P19" s="341"/>
      <c r="Q19" s="341"/>
      <c r="R19" s="341"/>
      <c r="S19" s="341"/>
      <c r="T19" s="341"/>
      <c r="U19" s="341"/>
      <c r="V19" s="341"/>
      <c r="W19" s="341"/>
      <c r="X19" s="341"/>
      <c r="Y19" s="341"/>
      <c r="Z19" s="342"/>
      <c r="AB19" s="4" t="str">
        <f>IF(N19="","←直接電話番号を記入してください","")</f>
        <v>←直接電話番号を記入してください</v>
      </c>
      <c r="BG19" s="1" t="s">
        <v>92</v>
      </c>
      <c r="BH19" s="1" t="s">
        <v>100</v>
      </c>
    </row>
    <row r="20" spans="1:165" x14ac:dyDescent="0.2">
      <c r="A20" s="1" t="s">
        <v>39</v>
      </c>
      <c r="BG20" s="1" t="s">
        <v>93</v>
      </c>
      <c r="BH20" s="1" t="s">
        <v>100</v>
      </c>
    </row>
    <row r="21" spans="1:165" x14ac:dyDescent="0.2">
      <c r="A21" s="1" t="s">
        <v>38</v>
      </c>
      <c r="AA21" s="12"/>
      <c r="BG21" s="1" t="s">
        <v>94</v>
      </c>
      <c r="BH21" s="1" t="s">
        <v>100</v>
      </c>
    </row>
    <row r="22" spans="1:165" ht="27" customHeight="1" x14ac:dyDescent="0.2">
      <c r="A22" s="336" t="s">
        <v>147</v>
      </c>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BG22" s="1" t="s">
        <v>95</v>
      </c>
      <c r="BH22" s="1" t="s">
        <v>100</v>
      </c>
    </row>
    <row r="23" spans="1:165" ht="3" customHeight="1" x14ac:dyDescent="0.2">
      <c r="AA23" s="12"/>
      <c r="BG23" s="1" t="s">
        <v>96</v>
      </c>
      <c r="BH23" s="1" t="s">
        <v>100</v>
      </c>
    </row>
    <row r="24" spans="1:165" x14ac:dyDescent="0.2">
      <c r="A24" s="1" t="s">
        <v>28</v>
      </c>
      <c r="BG24" s="1" t="s">
        <v>97</v>
      </c>
      <c r="BH24" s="1" t="s">
        <v>100</v>
      </c>
    </row>
    <row r="25" spans="1:165" ht="5.7" customHeight="1" x14ac:dyDescent="0.2">
      <c r="AA25" s="12"/>
      <c r="BG25" s="1" t="s">
        <v>98</v>
      </c>
      <c r="BH25" s="1" t="s">
        <v>100</v>
      </c>
    </row>
    <row r="26" spans="1:165" ht="13.5" customHeight="1" x14ac:dyDescent="0.2">
      <c r="B26" s="51"/>
      <c r="C26" s="336" t="s">
        <v>109</v>
      </c>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165" x14ac:dyDescent="0.2">
      <c r="B27" s="29"/>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165" ht="15.75" customHeight="1" x14ac:dyDescent="0.2">
      <c r="B28" s="29"/>
      <c r="C28" s="335" t="s">
        <v>110</v>
      </c>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row>
    <row r="29" spans="1:165" ht="5.7" customHeight="1" x14ac:dyDescent="0.2">
      <c r="AA29" s="12"/>
    </row>
    <row r="30" spans="1:165" ht="13.5" customHeight="1" x14ac:dyDescent="0.2">
      <c r="B30" s="51"/>
      <c r="C30" s="336" t="s">
        <v>402</v>
      </c>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165" x14ac:dyDescent="0.2">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165" ht="5.25" customHeight="1" x14ac:dyDescent="0.2">
      <c r="C32" s="14"/>
      <c r="D32" s="13"/>
    </row>
    <row r="33" spans="2:59" ht="4.5" customHeight="1" x14ac:dyDescent="0.2">
      <c r="C33" s="13"/>
    </row>
    <row r="34" spans="2:59" ht="3.75" customHeight="1" x14ac:dyDescent="0.2">
      <c r="C34" s="13"/>
    </row>
    <row r="35" spans="2:59" x14ac:dyDescent="0.2">
      <c r="D35" s="324" t="s">
        <v>1</v>
      </c>
      <c r="E35" s="325"/>
      <c r="F35" s="325"/>
      <c r="G35" s="325"/>
      <c r="H35" s="326"/>
      <c r="I35" s="315" t="s">
        <v>76</v>
      </c>
      <c r="J35" s="316"/>
      <c r="K35" s="316"/>
      <c r="L35" s="317"/>
      <c r="M35" s="318"/>
      <c r="N35" s="319"/>
      <c r="O35" s="319"/>
      <c r="P35" s="319"/>
      <c r="Q35" s="319"/>
      <c r="R35" s="319"/>
      <c r="S35" s="319"/>
      <c r="T35" s="319"/>
      <c r="U35" s="319"/>
      <c r="V35" s="319"/>
      <c r="W35" s="319"/>
      <c r="X35" s="320"/>
      <c r="AB35" s="4" t="str">
        <f>IF(M35="","←リストから選択してください（市町村名）","")</f>
        <v>←リストから選択してください（市町村名）</v>
      </c>
      <c r="BG35" s="1" t="str">
        <f>IF(M35="","",VLOOKUP(M35,BG7:BH25,2,FALSE))</f>
        <v/>
      </c>
    </row>
    <row r="36" spans="2:59" x14ac:dyDescent="0.2">
      <c r="D36" s="327"/>
      <c r="E36" s="328"/>
      <c r="F36" s="328"/>
      <c r="G36" s="328"/>
      <c r="H36" s="329"/>
      <c r="I36" s="321"/>
      <c r="J36" s="322"/>
      <c r="K36" s="322"/>
      <c r="L36" s="322"/>
      <c r="M36" s="322"/>
      <c r="N36" s="322"/>
      <c r="O36" s="322"/>
      <c r="P36" s="322"/>
      <c r="Q36" s="322"/>
      <c r="R36" s="322"/>
      <c r="S36" s="322"/>
      <c r="T36" s="322"/>
      <c r="U36" s="322"/>
      <c r="V36" s="322"/>
      <c r="W36" s="322"/>
      <c r="X36" s="323"/>
      <c r="AB36" s="4" t="str">
        <f>IF(I36="","←市町村名より後の所在地を直接記入してください","")</f>
        <v>←市町村名より後の所在地を直接記入してください</v>
      </c>
    </row>
    <row r="37" spans="2:59" x14ac:dyDescent="0.2">
      <c r="D37" s="324" t="s">
        <v>112</v>
      </c>
      <c r="E37" s="325"/>
      <c r="F37" s="325"/>
      <c r="G37" s="325"/>
      <c r="H37" s="326"/>
      <c r="I37" s="318"/>
      <c r="J37" s="319"/>
      <c r="K37" s="319"/>
      <c r="L37" s="319"/>
      <c r="M37" s="319"/>
      <c r="N37" s="320"/>
      <c r="O37" s="315" t="s">
        <v>80</v>
      </c>
      <c r="P37" s="316"/>
      <c r="Q37" s="316"/>
      <c r="R37" s="317"/>
      <c r="S37" s="371"/>
      <c r="T37" s="372"/>
      <c r="U37" s="372"/>
      <c r="V37" s="372"/>
      <c r="W37" s="316" t="s">
        <v>69</v>
      </c>
      <c r="X37" s="317"/>
      <c r="AB37" s="4" t="str">
        <f>IF(I37="","←リストから選択してください（増築、改築、修繕、模様替）","")</f>
        <v>←リストから選択してください（増築、改築、修繕、模様替）</v>
      </c>
    </row>
    <row r="38" spans="2:59" x14ac:dyDescent="0.2">
      <c r="D38" s="324" t="s">
        <v>106</v>
      </c>
      <c r="E38" s="325"/>
      <c r="F38" s="325"/>
      <c r="G38" s="325"/>
      <c r="H38" s="326"/>
      <c r="I38" s="331"/>
      <c r="J38" s="332"/>
      <c r="K38" s="332"/>
      <c r="L38" s="326" t="s">
        <v>121</v>
      </c>
      <c r="M38" s="330"/>
      <c r="N38" s="330"/>
      <c r="O38" s="330"/>
      <c r="P38" s="330"/>
      <c r="Q38" s="330"/>
      <c r="R38" s="338"/>
      <c r="S38" s="338"/>
      <c r="T38" s="338"/>
      <c r="U38" s="338"/>
      <c r="V38" s="337"/>
      <c r="W38" s="337"/>
      <c r="X38" s="17"/>
      <c r="AB38" s="15" t="str">
        <f>IF(I38="","←延床面積を入力してください。",IF(AND(I37="併用住宅",V38=""),"←面積を入力してください。",""))</f>
        <v>←延床面積を入力してください。</v>
      </c>
    </row>
    <row r="39" spans="2:59" x14ac:dyDescent="0.2">
      <c r="D39" s="327"/>
      <c r="E39" s="328"/>
      <c r="F39" s="328"/>
      <c r="G39" s="328"/>
      <c r="H39" s="329"/>
      <c r="I39" s="331"/>
      <c r="J39" s="332"/>
      <c r="K39" s="332"/>
      <c r="L39" s="329"/>
      <c r="M39" s="330"/>
      <c r="N39" s="330"/>
      <c r="O39" s="330"/>
      <c r="P39" s="330"/>
      <c r="Q39" s="330"/>
      <c r="R39" s="338"/>
      <c r="S39" s="338"/>
      <c r="T39" s="338"/>
      <c r="U39" s="338"/>
      <c r="V39" s="337"/>
      <c r="W39" s="337"/>
      <c r="X39" s="17"/>
      <c r="AB39" s="15" t="str">
        <f>IF(AND(I37="併用住宅",V39=""),"←面積を入力してください。","")</f>
        <v/>
      </c>
    </row>
    <row r="40" spans="2:59" x14ac:dyDescent="0.2">
      <c r="D40" s="379" t="s">
        <v>26</v>
      </c>
      <c r="E40" s="379"/>
      <c r="F40" s="379"/>
      <c r="G40" s="379"/>
      <c r="H40" s="379"/>
      <c r="I40" s="380"/>
      <c r="J40" s="380"/>
      <c r="K40" s="380"/>
      <c r="L40" s="380"/>
      <c r="M40" s="380"/>
      <c r="N40" s="380"/>
      <c r="O40" s="380"/>
      <c r="P40" s="380"/>
      <c r="Q40" s="380"/>
      <c r="R40" s="380"/>
      <c r="S40" s="380"/>
      <c r="T40" s="380"/>
      <c r="U40" s="380"/>
      <c r="V40" s="380"/>
      <c r="W40" s="380"/>
      <c r="X40" s="380"/>
      <c r="AB40" s="4" t="str">
        <f>IF(I40="","←リストから選択してください（在来軸組工法・その他）","")</f>
        <v>←リストから選択してください（在来軸組工法・その他）</v>
      </c>
    </row>
    <row r="41" spans="2:59" x14ac:dyDescent="0.2">
      <c r="D41" s="324" t="s">
        <v>2</v>
      </c>
      <c r="E41" s="325"/>
      <c r="F41" s="325"/>
      <c r="G41" s="325"/>
      <c r="H41" s="326"/>
      <c r="I41" s="392" t="s">
        <v>107</v>
      </c>
      <c r="J41" s="393"/>
      <c r="K41" s="393"/>
      <c r="L41" s="393"/>
      <c r="M41" s="393"/>
      <c r="N41" s="418"/>
      <c r="O41" s="418"/>
      <c r="P41" s="418"/>
      <c r="Q41" s="418"/>
      <c r="R41" s="31" t="s">
        <v>8</v>
      </c>
      <c r="S41" s="373"/>
      <c r="T41" s="373"/>
      <c r="U41" s="31" t="s">
        <v>24</v>
      </c>
      <c r="V41" s="373"/>
      <c r="W41" s="373"/>
      <c r="X41" s="7" t="s">
        <v>7</v>
      </c>
      <c r="AB41" s="4" t="str">
        <f>IF(OR(N41="",S41="",V41=""),"←リストから選択してください（和暦年月日）","")</f>
        <v>←リストから選択してください（和暦年月日）</v>
      </c>
    </row>
    <row r="42" spans="2:59" x14ac:dyDescent="0.2">
      <c r="D42" s="327"/>
      <c r="E42" s="328"/>
      <c r="F42" s="328"/>
      <c r="G42" s="328"/>
      <c r="H42" s="329"/>
      <c r="I42" s="333" t="s">
        <v>108</v>
      </c>
      <c r="J42" s="334"/>
      <c r="K42" s="334"/>
      <c r="L42" s="334"/>
      <c r="M42" s="334"/>
      <c r="N42" s="414"/>
      <c r="O42" s="414"/>
      <c r="P42" s="414"/>
      <c r="Q42" s="414"/>
      <c r="R42" s="16" t="s">
        <v>8</v>
      </c>
      <c r="S42" s="370"/>
      <c r="T42" s="370"/>
      <c r="U42" s="16" t="s">
        <v>24</v>
      </c>
      <c r="V42" s="370"/>
      <c r="W42" s="370"/>
      <c r="X42" s="9" t="s">
        <v>7</v>
      </c>
      <c r="AB42" s="4" t="str">
        <f>IF(OR(N42="",S42="",V42=""),"←リストから選択してください（和暦年月日）","")</f>
        <v>←リストから選択してください（和暦年月日）</v>
      </c>
    </row>
    <row r="43" spans="2:59" ht="11.1" customHeight="1" x14ac:dyDescent="0.2">
      <c r="D43" s="375" t="str">
        <f>IF(I40="その他","（工法名）","")</f>
        <v/>
      </c>
      <c r="E43" s="375"/>
      <c r="F43" s="375"/>
      <c r="G43" s="375"/>
      <c r="H43" s="375"/>
      <c r="I43" s="376"/>
      <c r="J43" s="376"/>
      <c r="K43" s="376"/>
      <c r="L43" s="376"/>
      <c r="M43" s="376"/>
      <c r="N43" s="376"/>
      <c r="O43" s="376"/>
      <c r="P43" s="376"/>
      <c r="Q43" s="376"/>
      <c r="R43" s="376"/>
      <c r="S43" s="376"/>
      <c r="T43" s="376"/>
      <c r="U43" s="376"/>
      <c r="V43" s="376"/>
      <c r="W43" s="376"/>
      <c r="X43" s="376"/>
      <c r="Y43" s="17" t="str">
        <f>IF(AND($I$40="その他",I43=""),"←工法を直接入力してください","")</f>
        <v/>
      </c>
    </row>
    <row r="44" spans="2:59" ht="2.7" customHeight="1" x14ac:dyDescent="0.2">
      <c r="AA44" s="12"/>
    </row>
    <row r="45" spans="2:59" x14ac:dyDescent="0.2">
      <c r="B45" s="51"/>
      <c r="C45" s="1" t="s">
        <v>104</v>
      </c>
    </row>
    <row r="46" spans="2:59" x14ac:dyDescent="0.2">
      <c r="D46" s="315" t="s">
        <v>3</v>
      </c>
      <c r="E46" s="316"/>
      <c r="F46" s="316"/>
      <c r="G46" s="316"/>
      <c r="H46" s="317"/>
      <c r="I46" s="417"/>
      <c r="J46" s="346"/>
      <c r="K46" s="346"/>
      <c r="L46" s="346"/>
      <c r="M46" s="346"/>
      <c r="N46" s="346"/>
      <c r="O46" s="346"/>
      <c r="P46" s="346"/>
      <c r="Q46" s="346"/>
      <c r="R46" s="346"/>
      <c r="S46" s="346"/>
      <c r="T46" s="346"/>
      <c r="U46" s="346"/>
      <c r="V46" s="346"/>
      <c r="W46" s="346"/>
      <c r="X46" s="347"/>
      <c r="AB46" s="4" t="str">
        <f>IF(I46="","←直接記入してください","")</f>
        <v>←直接記入してください</v>
      </c>
    </row>
    <row r="47" spans="2:59" x14ac:dyDescent="0.2">
      <c r="D47" s="315" t="s">
        <v>4</v>
      </c>
      <c r="E47" s="316"/>
      <c r="F47" s="316"/>
      <c r="G47" s="316"/>
      <c r="H47" s="317"/>
      <c r="I47" s="321"/>
      <c r="J47" s="322"/>
      <c r="K47" s="322"/>
      <c r="L47" s="322"/>
      <c r="M47" s="322"/>
      <c r="N47" s="322"/>
      <c r="O47" s="322"/>
      <c r="P47" s="322"/>
      <c r="Q47" s="322"/>
      <c r="R47" s="322"/>
      <c r="S47" s="322"/>
      <c r="T47" s="322"/>
      <c r="U47" s="322"/>
      <c r="V47" s="322"/>
      <c r="W47" s="322"/>
      <c r="X47" s="323"/>
      <c r="AB47" s="4" t="str">
        <f>IF(I47="","←直接記入してください","")</f>
        <v>←直接記入してください</v>
      </c>
    </row>
    <row r="48" spans="2:59" x14ac:dyDescent="0.2">
      <c r="D48" s="315" t="s">
        <v>25</v>
      </c>
      <c r="E48" s="316"/>
      <c r="F48" s="316"/>
      <c r="G48" s="316"/>
      <c r="H48" s="317"/>
      <c r="I48" s="389"/>
      <c r="J48" s="390"/>
      <c r="K48" s="390"/>
      <c r="L48" s="390"/>
      <c r="M48" s="390"/>
      <c r="N48" s="390"/>
      <c r="O48" s="390"/>
      <c r="P48" s="390"/>
      <c r="Q48" s="390"/>
      <c r="R48" s="390"/>
      <c r="S48" s="390"/>
      <c r="T48" s="390"/>
      <c r="U48" s="390"/>
      <c r="V48" s="390"/>
      <c r="W48" s="390"/>
      <c r="X48" s="391"/>
      <c r="AB48" s="4" t="str">
        <f>IF(I48="","←直接記入してください","")</f>
        <v>←直接記入してください</v>
      </c>
    </row>
    <row r="49" spans="1:28" ht="5.7" customHeight="1" x14ac:dyDescent="0.2"/>
    <row r="50" spans="1:28" x14ac:dyDescent="0.2">
      <c r="B50" s="51"/>
      <c r="C50" s="1" t="s">
        <v>103</v>
      </c>
    </row>
    <row r="51" spans="1:28" x14ac:dyDescent="0.2">
      <c r="D51" s="315" t="s">
        <v>27</v>
      </c>
      <c r="E51" s="316"/>
      <c r="F51" s="316"/>
      <c r="G51" s="316"/>
      <c r="H51" s="317"/>
      <c r="I51" s="318"/>
      <c r="J51" s="319"/>
      <c r="K51" s="319"/>
      <c r="L51" s="319"/>
      <c r="M51" s="319"/>
      <c r="N51" s="320"/>
      <c r="O51" s="315" t="s">
        <v>113</v>
      </c>
      <c r="P51" s="316"/>
      <c r="Q51" s="316"/>
      <c r="R51" s="316"/>
      <c r="S51" s="317"/>
      <c r="T51" s="318"/>
      <c r="U51" s="319"/>
      <c r="V51" s="319"/>
      <c r="W51" s="319"/>
      <c r="X51" s="319"/>
      <c r="Y51" s="320"/>
      <c r="AB51" s="4" t="str">
        <f>IF(OR(I51="",T51=""),"←リストから選択してください（要・不要）","")</f>
        <v>←リストから選択してください（要・不要）</v>
      </c>
    </row>
    <row r="52" spans="1:28" x14ac:dyDescent="0.2">
      <c r="D52" s="315" t="s">
        <v>196</v>
      </c>
      <c r="E52" s="316"/>
      <c r="F52" s="316"/>
      <c r="G52" s="316"/>
      <c r="H52" s="317"/>
      <c r="I52" s="318"/>
      <c r="J52" s="319"/>
      <c r="K52" s="319"/>
      <c r="L52" s="319"/>
      <c r="M52" s="319"/>
      <c r="N52" s="320"/>
      <c r="O52" s="392" t="s">
        <v>197</v>
      </c>
      <c r="P52" s="393"/>
      <c r="Q52" s="393"/>
      <c r="R52" s="393"/>
      <c r="S52" s="394"/>
      <c r="T52" s="395"/>
      <c r="U52" s="396"/>
      <c r="V52" s="396"/>
      <c r="W52" s="396"/>
      <c r="X52" s="396"/>
      <c r="Y52" s="397"/>
      <c r="AB52" s="4" t="str">
        <f>IF(OR(I52="",T52=""),"←リストから選択してください（有・無）","")</f>
        <v>←リストから選択してください（有・無）</v>
      </c>
    </row>
    <row r="53" spans="1:28" x14ac:dyDescent="0.2">
      <c r="D53" s="398" t="s">
        <v>198</v>
      </c>
      <c r="E53" s="399"/>
      <c r="F53" s="399"/>
      <c r="G53" s="399"/>
      <c r="H53" s="399"/>
      <c r="I53" s="399"/>
      <c r="J53" s="399"/>
      <c r="K53" s="399"/>
      <c r="L53" s="399"/>
      <c r="M53" s="399"/>
      <c r="N53" s="400"/>
      <c r="O53" s="401"/>
      <c r="P53" s="402"/>
      <c r="Q53" s="402"/>
      <c r="R53" s="87" t="s">
        <v>8</v>
      </c>
      <c r="S53" s="403"/>
      <c r="T53" s="403"/>
      <c r="U53" s="87" t="s">
        <v>24</v>
      </c>
      <c r="V53" s="403"/>
      <c r="W53" s="403"/>
      <c r="X53" s="87" t="s">
        <v>7</v>
      </c>
      <c r="Y53" s="11"/>
      <c r="AB53" s="4" t="str">
        <f>IF(AND(OR(I51="要",T51="要"),OR(O53="",S53="",V53="")),"←リストから選択してください（和暦年月日）","")</f>
        <v/>
      </c>
    </row>
    <row r="54" spans="1:28" ht="15.75" customHeight="1" x14ac:dyDescent="0.2">
      <c r="E54" s="32" t="str">
        <f>IF(I51="要","＜実績報告時の提出書類＞検査済証の写し",IF(T51="要","＜実績報告時の提出書類＞建築工事届の写し",""))</f>
        <v/>
      </c>
    </row>
    <row r="55" spans="1:28" x14ac:dyDescent="0.2">
      <c r="B55" s="51"/>
      <c r="C55" s="1" t="s">
        <v>142</v>
      </c>
    </row>
    <row r="56" spans="1:28" ht="5.7" customHeight="1" x14ac:dyDescent="0.2"/>
    <row r="57" spans="1:28" s="3" customFormat="1" x14ac:dyDescent="0.2">
      <c r="A57" s="1"/>
      <c r="B57" s="51"/>
      <c r="C57" s="1" t="s">
        <v>419</v>
      </c>
      <c r="D57" s="1"/>
      <c r="E57" s="1"/>
      <c r="F57" s="1"/>
      <c r="G57" s="1"/>
      <c r="H57" s="1"/>
      <c r="I57" s="1"/>
      <c r="J57" s="1"/>
      <c r="K57" s="1"/>
      <c r="L57" s="1"/>
      <c r="M57" s="1"/>
      <c r="N57" s="1"/>
      <c r="O57" s="1"/>
      <c r="P57" s="1"/>
      <c r="Q57" s="1"/>
      <c r="R57" s="1" t="s">
        <v>420</v>
      </c>
      <c r="S57" s="1"/>
      <c r="T57" s="1"/>
      <c r="U57" s="318"/>
      <c r="V57" s="319"/>
      <c r="W57" s="319"/>
      <c r="X57" s="319"/>
      <c r="Y57" s="319"/>
      <c r="Z57" s="320"/>
      <c r="AA57" s="1"/>
      <c r="AB57" s="4" t="str">
        <f>IF(B57="","","←リストから性能区分を選択してください")</f>
        <v/>
      </c>
    </row>
    <row r="58" spans="1:28" s="3" customFormat="1" x14ac:dyDescent="0.2">
      <c r="A58" s="1"/>
      <c r="B58" s="1"/>
      <c r="C58" s="67" t="str">
        <f>IF(B57="✔",IF(U57="","",IF(U57="その他","","　別シートの【様式第６号の３】に必要事項を入力してください。")),"")</f>
        <v/>
      </c>
      <c r="D58" s="1"/>
      <c r="E58" s="1"/>
      <c r="F58" s="1"/>
      <c r="G58" s="1"/>
      <c r="H58" s="1"/>
      <c r="I58" s="1"/>
      <c r="J58" s="1"/>
      <c r="K58" s="1"/>
      <c r="L58" s="1"/>
      <c r="M58" s="1"/>
      <c r="N58" s="1"/>
      <c r="O58" s="1"/>
      <c r="P58" s="1"/>
      <c r="Q58" s="1"/>
      <c r="R58" s="1"/>
      <c r="S58" s="1"/>
      <c r="T58" s="1"/>
      <c r="U58" s="1"/>
      <c r="V58" s="1"/>
      <c r="W58" s="1"/>
      <c r="X58" s="1"/>
      <c r="Y58" s="1"/>
      <c r="Z58" s="1"/>
      <c r="AA58" s="1"/>
    </row>
    <row r="59" spans="1:28" s="3" customFormat="1" ht="15.75" customHeight="1" x14ac:dyDescent="0.2">
      <c r="A59" s="1"/>
      <c r="B59" s="1"/>
      <c r="C59" s="67" t="str">
        <f>IF(B57="✔",IF(U57="","",IF(U57="その他","","　別途、健康省エネ改修の認定申請が必要です。※申請がない場合、補助金が受けられません。")),"")</f>
        <v/>
      </c>
      <c r="D59" s="1"/>
      <c r="E59" s="1"/>
      <c r="F59" s="1"/>
      <c r="G59" s="1"/>
      <c r="H59" s="1"/>
      <c r="I59" s="1"/>
      <c r="J59" s="1"/>
      <c r="K59" s="1"/>
      <c r="L59" s="1"/>
      <c r="M59" s="1"/>
      <c r="N59" s="1"/>
      <c r="O59" s="1"/>
      <c r="P59" s="1"/>
      <c r="Q59" s="1"/>
      <c r="R59" s="1"/>
      <c r="S59" s="1"/>
      <c r="T59" s="1"/>
      <c r="U59" s="1"/>
      <c r="V59" s="1"/>
      <c r="W59" s="1"/>
      <c r="X59" s="1"/>
      <c r="Y59" s="1"/>
      <c r="Z59" s="1"/>
      <c r="AA59" s="1"/>
    </row>
    <row r="60" spans="1:28" ht="5.7" customHeight="1" x14ac:dyDescent="0.2"/>
    <row r="61" spans="1:28" ht="14.25" customHeight="1" x14ac:dyDescent="0.2">
      <c r="B61" s="93" t="s">
        <v>506</v>
      </c>
      <c r="C61" s="17"/>
      <c r="D61" s="276"/>
      <c r="E61" s="276"/>
      <c r="F61" s="276"/>
      <c r="G61" s="276"/>
      <c r="H61" s="276"/>
      <c r="I61" s="19"/>
      <c r="J61" s="19"/>
      <c r="K61" s="19"/>
      <c r="L61" s="19"/>
      <c r="M61" s="19"/>
      <c r="N61" s="19"/>
      <c r="O61" s="19"/>
      <c r="P61" s="19"/>
      <c r="Q61" s="19"/>
      <c r="R61" s="19"/>
      <c r="S61" s="19"/>
      <c r="T61" s="19"/>
      <c r="U61" s="19"/>
      <c r="V61" s="19"/>
      <c r="W61" s="19"/>
      <c r="X61" s="19"/>
      <c r="Y61" s="17"/>
    </row>
    <row r="62" spans="1:28" ht="13.5" customHeight="1" x14ac:dyDescent="0.2">
      <c r="D62" s="367" t="s">
        <v>390</v>
      </c>
      <c r="E62" s="368"/>
      <c r="F62" s="368"/>
      <c r="G62" s="368"/>
      <c r="H62" s="368"/>
      <c r="I62" s="368"/>
      <c r="J62" s="368"/>
      <c r="K62" s="368"/>
      <c r="L62" s="368"/>
      <c r="M62" s="368"/>
      <c r="N62" s="368"/>
      <c r="O62" s="369"/>
      <c r="P62" s="315" t="s">
        <v>5</v>
      </c>
      <c r="Q62" s="316"/>
      <c r="R62" s="316"/>
      <c r="S62" s="316"/>
      <c r="T62" s="317"/>
      <c r="U62" s="315" t="s">
        <v>21</v>
      </c>
      <c r="V62" s="316"/>
      <c r="W62" s="316"/>
      <c r="X62" s="316"/>
      <c r="Y62" s="316"/>
      <c r="Z62" s="317"/>
    </row>
    <row r="63" spans="1:28" x14ac:dyDescent="0.2">
      <c r="D63" s="352"/>
      <c r="E63" s="353"/>
      <c r="F63" s="353"/>
      <c r="G63" s="353"/>
      <c r="H63" s="353"/>
      <c r="I63" s="353"/>
      <c r="J63" s="353"/>
      <c r="K63" s="353"/>
      <c r="L63" s="353"/>
      <c r="M63" s="353"/>
      <c r="N63" s="353"/>
      <c r="O63" s="354"/>
      <c r="P63" s="318"/>
      <c r="Q63" s="319"/>
      <c r="R63" s="319"/>
      <c r="S63" s="319"/>
      <c r="T63" s="320"/>
      <c r="U63" s="318"/>
      <c r="V63" s="319"/>
      <c r="W63" s="319"/>
      <c r="X63" s="319"/>
      <c r="Y63" s="319"/>
      <c r="Z63" s="320"/>
    </row>
    <row r="64" spans="1:28" x14ac:dyDescent="0.2">
      <c r="D64" s="352"/>
      <c r="E64" s="353"/>
      <c r="F64" s="353"/>
      <c r="G64" s="353"/>
      <c r="H64" s="353"/>
      <c r="I64" s="353"/>
      <c r="J64" s="353"/>
      <c r="K64" s="353"/>
      <c r="L64" s="353"/>
      <c r="M64" s="353"/>
      <c r="N64" s="353"/>
      <c r="O64" s="354"/>
      <c r="P64" s="318"/>
      <c r="Q64" s="319"/>
      <c r="R64" s="319"/>
      <c r="S64" s="319"/>
      <c r="T64" s="320"/>
      <c r="U64" s="318"/>
      <c r="V64" s="319"/>
      <c r="W64" s="319"/>
      <c r="X64" s="319"/>
      <c r="Y64" s="319"/>
      <c r="Z64" s="320"/>
    </row>
    <row r="65" spans="1:28" x14ac:dyDescent="0.2">
      <c r="D65" s="352"/>
      <c r="E65" s="353"/>
      <c r="F65" s="353"/>
      <c r="G65" s="353"/>
      <c r="H65" s="353"/>
      <c r="I65" s="353"/>
      <c r="J65" s="353"/>
      <c r="K65" s="353"/>
      <c r="L65" s="353"/>
      <c r="M65" s="353"/>
      <c r="N65" s="353"/>
      <c r="O65" s="354"/>
      <c r="P65" s="318"/>
      <c r="Q65" s="319"/>
      <c r="R65" s="319"/>
      <c r="S65" s="319"/>
      <c r="T65" s="320"/>
      <c r="U65" s="318"/>
      <c r="V65" s="319"/>
      <c r="W65" s="319"/>
      <c r="X65" s="319"/>
      <c r="Y65" s="319"/>
      <c r="Z65" s="320"/>
    </row>
    <row r="66" spans="1:28" x14ac:dyDescent="0.2">
      <c r="D66" s="352"/>
      <c r="E66" s="353"/>
      <c r="F66" s="353"/>
      <c r="G66" s="353"/>
      <c r="H66" s="353"/>
      <c r="I66" s="353"/>
      <c r="J66" s="353"/>
      <c r="K66" s="353"/>
      <c r="L66" s="353"/>
      <c r="M66" s="353"/>
      <c r="N66" s="353"/>
      <c r="O66" s="354"/>
      <c r="P66" s="318"/>
      <c r="Q66" s="319"/>
      <c r="R66" s="319"/>
      <c r="S66" s="319"/>
      <c r="T66" s="320"/>
      <c r="U66" s="318"/>
      <c r="V66" s="319"/>
      <c r="W66" s="319"/>
      <c r="X66" s="319"/>
      <c r="Y66" s="319"/>
      <c r="Z66" s="320"/>
    </row>
    <row r="67" spans="1:28" x14ac:dyDescent="0.2">
      <c r="D67" s="352"/>
      <c r="E67" s="353"/>
      <c r="F67" s="353"/>
      <c r="G67" s="353"/>
      <c r="H67" s="353"/>
      <c r="I67" s="353"/>
      <c r="J67" s="353"/>
      <c r="K67" s="353"/>
      <c r="L67" s="353"/>
      <c r="M67" s="353"/>
      <c r="N67" s="353"/>
      <c r="O67" s="354"/>
      <c r="P67" s="318"/>
      <c r="Q67" s="319"/>
      <c r="R67" s="319"/>
      <c r="S67" s="319"/>
      <c r="T67" s="320"/>
      <c r="U67" s="318"/>
      <c r="V67" s="319"/>
      <c r="W67" s="319"/>
      <c r="X67" s="319"/>
      <c r="Y67" s="319"/>
      <c r="Z67" s="320"/>
    </row>
    <row r="68" spans="1:28" ht="7.5" customHeight="1" x14ac:dyDescent="0.2">
      <c r="E68" s="13"/>
      <c r="P68" s="18"/>
    </row>
    <row r="69" spans="1:28" ht="13.5" customHeight="1" x14ac:dyDescent="0.2">
      <c r="B69" s="51"/>
      <c r="C69" s="93" t="s">
        <v>401</v>
      </c>
      <c r="D69" s="67"/>
    </row>
    <row r="70" spans="1:28" ht="6" customHeight="1" x14ac:dyDescent="0.2">
      <c r="D70" s="67"/>
    </row>
    <row r="71" spans="1:28" x14ac:dyDescent="0.2">
      <c r="B71" s="51"/>
      <c r="C71" s="1" t="s">
        <v>507</v>
      </c>
    </row>
    <row r="72" spans="1:28" ht="7.5" customHeight="1" x14ac:dyDescent="0.2">
      <c r="E72" s="13"/>
      <c r="P72" s="18"/>
    </row>
    <row r="73" spans="1:28" x14ac:dyDescent="0.2">
      <c r="B73" s="51"/>
      <c r="C73" s="1" t="s">
        <v>199</v>
      </c>
      <c r="E73" s="13"/>
      <c r="P73" s="18"/>
    </row>
    <row r="74" spans="1:28" x14ac:dyDescent="0.2">
      <c r="B74" s="13"/>
      <c r="E74" s="40" t="str">
        <f>IF(B73="","",IF(OR(I50="有",T50="有"),"＜実績報告時の提出書類&gt;変更後の改修部分の図面に改修内容を記載したもの、配置図","＜実績報告時の提出書類＞変更後の改修部分の図面に改修内容を記載したもの"))</f>
        <v/>
      </c>
      <c r="P74" s="18"/>
    </row>
    <row r="75" spans="1:28" x14ac:dyDescent="0.2">
      <c r="A75" s="1" t="s">
        <v>32</v>
      </c>
    </row>
    <row r="76" spans="1:28" x14ac:dyDescent="0.2">
      <c r="B76" s="51"/>
      <c r="C76" s="336" t="s">
        <v>114</v>
      </c>
      <c r="D76" s="336"/>
      <c r="E76" s="336"/>
      <c r="F76" s="336"/>
      <c r="G76" s="336"/>
      <c r="H76" s="336"/>
      <c r="I76" s="336"/>
      <c r="J76" s="336"/>
      <c r="K76" s="336"/>
      <c r="L76" s="336"/>
      <c r="M76" s="336"/>
      <c r="N76" s="336"/>
      <c r="O76" s="336"/>
      <c r="P76" s="336"/>
      <c r="Q76" s="336"/>
      <c r="R76" s="336"/>
      <c r="S76" s="336"/>
      <c r="T76" s="336"/>
      <c r="U76" s="336"/>
      <c r="V76" s="336"/>
      <c r="W76" s="336"/>
      <c r="X76" s="336"/>
      <c r="Y76" s="336"/>
      <c r="Z76" s="336"/>
      <c r="AA76" s="336"/>
    </row>
    <row r="77" spans="1:28" x14ac:dyDescent="0.2">
      <c r="C77" s="336"/>
      <c r="D77" s="336"/>
      <c r="E77" s="336"/>
      <c r="F77" s="336"/>
      <c r="G77" s="336"/>
      <c r="H77" s="336"/>
      <c r="I77" s="336"/>
      <c r="J77" s="336"/>
      <c r="K77" s="336"/>
      <c r="L77" s="336"/>
      <c r="M77" s="336"/>
      <c r="N77" s="336"/>
      <c r="O77" s="336"/>
      <c r="P77" s="336"/>
      <c r="Q77" s="336"/>
      <c r="R77" s="336"/>
      <c r="S77" s="336"/>
      <c r="T77" s="336"/>
      <c r="U77" s="336"/>
      <c r="V77" s="336"/>
      <c r="W77" s="336"/>
      <c r="X77" s="336"/>
      <c r="Y77" s="336"/>
      <c r="Z77" s="336"/>
      <c r="AA77" s="336"/>
    </row>
    <row r="79" spans="1:28" x14ac:dyDescent="0.2">
      <c r="B79" s="51"/>
      <c r="C79" s="1" t="s">
        <v>77</v>
      </c>
    </row>
    <row r="80" spans="1:28" x14ac:dyDescent="0.2">
      <c r="D80" s="315" t="s">
        <v>70</v>
      </c>
      <c r="E80" s="316"/>
      <c r="F80" s="316"/>
      <c r="G80" s="316"/>
      <c r="H80" s="317"/>
      <c r="I80" s="318"/>
      <c r="J80" s="319"/>
      <c r="K80" s="319"/>
      <c r="L80" s="319"/>
      <c r="M80" s="319"/>
      <c r="N80" s="319"/>
      <c r="O80" s="319"/>
      <c r="P80" s="319"/>
      <c r="Q80" s="319"/>
      <c r="R80" s="319"/>
      <c r="S80" s="319"/>
      <c r="T80" s="319"/>
      <c r="U80" s="319"/>
      <c r="V80" s="319"/>
      <c r="W80" s="319"/>
      <c r="X80" s="320"/>
      <c r="AB80" s="4" t="str">
        <f>IF(AND(B79="✔",I80=""),"←直接入力してください","")</f>
        <v/>
      </c>
    </row>
    <row r="81" spans="1:39" x14ac:dyDescent="0.2">
      <c r="D81" s="32" t="s">
        <v>141</v>
      </c>
      <c r="E81" s="42"/>
      <c r="F81" s="42"/>
      <c r="G81" s="42"/>
      <c r="H81" s="42"/>
      <c r="I81" s="42"/>
      <c r="J81" s="42"/>
      <c r="K81" s="42"/>
      <c r="L81" s="42"/>
      <c r="M81" s="42"/>
      <c r="N81" s="42"/>
      <c r="O81" s="42"/>
      <c r="P81" s="42"/>
      <c r="Q81" s="42"/>
      <c r="R81" s="42"/>
      <c r="S81" s="42"/>
      <c r="T81" s="42"/>
      <c r="U81" s="42"/>
      <c r="V81" s="42"/>
      <c r="W81" s="42"/>
      <c r="X81" s="42"/>
      <c r="Y81" s="42"/>
      <c r="AB81" s="4"/>
    </row>
    <row r="82" spans="1:39" x14ac:dyDescent="0.2">
      <c r="B82" s="34" t="s">
        <v>400</v>
      </c>
      <c r="F82" s="43"/>
    </row>
    <row r="83" spans="1:39" x14ac:dyDescent="0.2">
      <c r="B83" s="51"/>
      <c r="C83" s="1" t="s">
        <v>78</v>
      </c>
    </row>
    <row r="84" spans="1:39" ht="21.6" customHeight="1" x14ac:dyDescent="0.2">
      <c r="B84" s="330" t="str">
        <f>IF(AND(B79="✔",B83="✔"),"「プレカットを行う場合は、県内のプレカット工場で加工すること。」と「プレカットを一切使用しない。」のどちらかを✔してください。","")</f>
        <v/>
      </c>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row>
    <row r="85" spans="1:39" x14ac:dyDescent="0.2">
      <c r="AA85" s="5" t="s">
        <v>63</v>
      </c>
    </row>
    <row r="86" spans="1:39" x14ac:dyDescent="0.2">
      <c r="T86" s="19"/>
    </row>
    <row r="87" spans="1:39" ht="18" customHeight="1" x14ac:dyDescent="0.2">
      <c r="D87" s="315" t="s">
        <v>46</v>
      </c>
      <c r="E87" s="316"/>
      <c r="F87" s="316"/>
      <c r="G87" s="316"/>
      <c r="H87" s="316"/>
      <c r="I87" s="316"/>
      <c r="J87" s="316"/>
      <c r="K87" s="316"/>
      <c r="L87" s="316"/>
      <c r="M87" s="316"/>
      <c r="N87" s="316"/>
      <c r="O87" s="316"/>
      <c r="P87" s="317"/>
      <c r="Q87" s="315" t="s">
        <v>45</v>
      </c>
      <c r="R87" s="316"/>
      <c r="S87" s="316"/>
      <c r="T87" s="317"/>
      <c r="U87" s="430" t="str">
        <f>IF(I37="併用住宅","併用住宅の場合、住宅部分の使用量","")</f>
        <v/>
      </c>
      <c r="V87" s="430"/>
      <c r="W87" s="430"/>
      <c r="X87" s="430"/>
      <c r="Y87" s="350" t="s">
        <v>72</v>
      </c>
      <c r="Z87" s="350"/>
      <c r="AA87" s="350"/>
    </row>
    <row r="88" spans="1:39" ht="18" customHeight="1" x14ac:dyDescent="0.2">
      <c r="D88" s="392" t="s">
        <v>73</v>
      </c>
      <c r="E88" s="393"/>
      <c r="F88" s="393"/>
      <c r="G88" s="393"/>
      <c r="H88" s="393"/>
      <c r="I88" s="393"/>
      <c r="J88" s="393"/>
      <c r="K88" s="393"/>
      <c r="L88" s="393"/>
      <c r="M88" s="393"/>
      <c r="N88" s="393"/>
      <c r="O88" s="393"/>
      <c r="P88" s="394"/>
      <c r="Q88" s="411"/>
      <c r="R88" s="412"/>
      <c r="S88" s="412"/>
      <c r="T88" s="413"/>
      <c r="U88" s="430"/>
      <c r="V88" s="430"/>
      <c r="W88" s="430"/>
      <c r="X88" s="430"/>
      <c r="Y88" s="408"/>
      <c r="Z88" s="408"/>
      <c r="AA88" s="408"/>
      <c r="AE88" s="1"/>
      <c r="AF88" s="1"/>
      <c r="AG88" s="1"/>
      <c r="AH88" s="20"/>
      <c r="AI88" s="21"/>
      <c r="AJ88" s="21"/>
      <c r="AK88" s="21"/>
      <c r="AL88" s="21"/>
      <c r="AM88" s="21"/>
    </row>
    <row r="89" spans="1:39" ht="18" customHeight="1" x14ac:dyDescent="0.2">
      <c r="D89" s="22"/>
      <c r="E89" s="360" t="s">
        <v>117</v>
      </c>
      <c r="F89" s="361"/>
      <c r="G89" s="361"/>
      <c r="H89" s="361"/>
      <c r="I89" s="361"/>
      <c r="J89" s="361"/>
      <c r="K89" s="361"/>
      <c r="L89" s="361"/>
      <c r="M89" s="361"/>
      <c r="N89" s="361"/>
      <c r="O89" s="361"/>
      <c r="P89" s="362"/>
      <c r="Q89" s="411"/>
      <c r="R89" s="412"/>
      <c r="S89" s="412"/>
      <c r="T89" s="413"/>
      <c r="U89" s="416"/>
      <c r="V89" s="416"/>
      <c r="W89" s="416"/>
      <c r="X89" s="416"/>
      <c r="Y89" s="377" t="str">
        <f>IF(OR(Q89="",Q88=""),"",ROUNDDOWN(Q89,1)*2)</f>
        <v/>
      </c>
      <c r="Z89" s="378"/>
      <c r="AA89" s="23" t="s">
        <v>52</v>
      </c>
      <c r="AE89" s="1"/>
      <c r="AF89" s="1"/>
      <c r="AG89" s="1"/>
      <c r="AH89" s="20"/>
      <c r="AI89" s="21"/>
      <c r="AJ89" s="21"/>
      <c r="AK89" s="21"/>
      <c r="AL89" s="21"/>
      <c r="AM89" s="21"/>
    </row>
    <row r="90" spans="1:39" ht="18" customHeight="1" x14ac:dyDescent="0.2">
      <c r="D90" s="8"/>
      <c r="E90" s="357" t="s">
        <v>118</v>
      </c>
      <c r="F90" s="358"/>
      <c r="G90" s="358"/>
      <c r="H90" s="358"/>
      <c r="I90" s="358"/>
      <c r="J90" s="358"/>
      <c r="K90" s="358"/>
      <c r="L90" s="358"/>
      <c r="M90" s="358"/>
      <c r="N90" s="358"/>
      <c r="O90" s="358"/>
      <c r="P90" s="359"/>
      <c r="Q90" s="312"/>
      <c r="R90" s="313"/>
      <c r="S90" s="313"/>
      <c r="T90" s="314"/>
      <c r="U90" s="311"/>
      <c r="V90" s="311"/>
      <c r="W90" s="311"/>
      <c r="X90" s="311"/>
      <c r="Y90" s="377" t="str">
        <f>IF(Q90="","",INT(Q90)*0.2)</f>
        <v/>
      </c>
      <c r="Z90" s="378"/>
      <c r="AA90" s="23" t="s">
        <v>52</v>
      </c>
      <c r="AE90" s="1"/>
      <c r="AF90" s="1"/>
      <c r="AG90" s="1"/>
      <c r="AH90" s="20"/>
      <c r="AI90" s="21"/>
      <c r="AJ90" s="21"/>
      <c r="AK90" s="21"/>
      <c r="AL90" s="21"/>
      <c r="AM90" s="21"/>
    </row>
    <row r="91" spans="1:39" ht="18" customHeight="1" x14ac:dyDescent="0.2">
      <c r="E91" s="13"/>
      <c r="X91" s="24" t="s">
        <v>62</v>
      </c>
      <c r="Y91" s="377" t="str">
        <f>IF(OR(SUM(Y89:Z90)=0,Q88=""),"",IF(AND(B26="✔",B30="✔",B45="✔",B50="✔",B55="✔",B71="✔",B76="✔",OR(B79="✔",B83="✔"),B84=""),MIN(25,SUM(Y89:Z90)),0))</f>
        <v/>
      </c>
      <c r="Z91" s="378"/>
      <c r="AA91" s="23" t="s">
        <v>0</v>
      </c>
      <c r="AB91" s="4" t="str">
        <f>IF(AND(Y91=0),"←合計金額が算出されない場合は、前のページにチェック漏れ等がありますので御確認ください。","")</f>
        <v/>
      </c>
    </row>
    <row r="92" spans="1:39" x14ac:dyDescent="0.2">
      <c r="A92" s="14" t="s">
        <v>398</v>
      </c>
    </row>
    <row r="93" spans="1:39" x14ac:dyDescent="0.2">
      <c r="A93" s="13"/>
      <c r="B93" s="33" t="s">
        <v>395</v>
      </c>
    </row>
    <row r="94" spans="1:39" x14ac:dyDescent="0.2">
      <c r="A94" s="14" t="s">
        <v>399</v>
      </c>
    </row>
    <row r="95" spans="1:39" x14ac:dyDescent="0.2">
      <c r="A95" s="13"/>
      <c r="B95" s="33" t="s">
        <v>395</v>
      </c>
    </row>
    <row r="96" spans="1:39" x14ac:dyDescent="0.2">
      <c r="A96" s="13"/>
      <c r="B96" s="33"/>
      <c r="C96" s="40" t="s">
        <v>115</v>
      </c>
    </row>
    <row r="97" spans="1:55" s="3" customFormat="1" x14ac:dyDescent="0.2">
      <c r="A97" s="1"/>
      <c r="B97" s="1"/>
      <c r="C97" s="404" t="s">
        <v>397</v>
      </c>
      <c r="D97" s="404"/>
      <c r="E97" s="404"/>
      <c r="F97" s="404"/>
      <c r="G97" s="404"/>
      <c r="H97" s="404"/>
      <c r="I97" s="404"/>
      <c r="J97" s="404"/>
      <c r="K97" s="404"/>
      <c r="L97" s="404"/>
      <c r="M97" s="404"/>
      <c r="N97" s="404"/>
      <c r="O97" s="404"/>
      <c r="P97" s="404"/>
      <c r="Q97" s="404"/>
      <c r="R97" s="404"/>
      <c r="S97" s="404"/>
      <c r="T97" s="404"/>
      <c r="U97" s="404"/>
      <c r="V97" s="404"/>
      <c r="W97" s="404"/>
      <c r="X97" s="404"/>
      <c r="Y97" s="404"/>
      <c r="Z97" s="404"/>
      <c r="AA97" s="404"/>
    </row>
    <row r="98" spans="1:55" s="3" customFormat="1" x14ac:dyDescent="0.2">
      <c r="A98" s="1"/>
      <c r="B98" s="1"/>
      <c r="C98" s="404"/>
      <c r="D98" s="404"/>
      <c r="E98" s="404"/>
      <c r="F98" s="404"/>
      <c r="G98" s="404"/>
      <c r="H98" s="404"/>
      <c r="I98" s="404"/>
      <c r="J98" s="404"/>
      <c r="K98" s="404"/>
      <c r="L98" s="404"/>
      <c r="M98" s="404"/>
      <c r="N98" s="404"/>
      <c r="O98" s="404"/>
      <c r="P98" s="404"/>
      <c r="Q98" s="404"/>
      <c r="R98" s="404"/>
      <c r="S98" s="404"/>
      <c r="T98" s="404"/>
      <c r="U98" s="404"/>
      <c r="V98" s="404"/>
      <c r="W98" s="404"/>
      <c r="X98" s="404"/>
      <c r="Y98" s="404"/>
      <c r="Z98" s="404"/>
      <c r="AA98" s="404"/>
    </row>
    <row r="99" spans="1:55" x14ac:dyDescent="0.2">
      <c r="A99" s="13" t="s">
        <v>116</v>
      </c>
    </row>
    <row r="100" spans="1:55" x14ac:dyDescent="0.2">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x14ac:dyDescent="0.2">
      <c r="A101" s="1" t="s">
        <v>53</v>
      </c>
      <c r="Y101" s="350" t="s">
        <v>72</v>
      </c>
      <c r="Z101" s="350"/>
      <c r="AA101" s="350"/>
    </row>
    <row r="102" spans="1:55" ht="14.25" customHeight="1" x14ac:dyDescent="0.2">
      <c r="B102" s="1" t="s">
        <v>51</v>
      </c>
      <c r="Y102" s="408"/>
      <c r="Z102" s="408"/>
      <c r="AA102" s="408"/>
    </row>
    <row r="103" spans="1:55" x14ac:dyDescent="0.2">
      <c r="B103" s="93" t="s">
        <v>480</v>
      </c>
      <c r="Y103" s="406" t="str">
        <f>IF(AND(Y91&lt;&gt;"",Y91&gt;=0.2,OR(B105="✔",P105="✔")),IF(B69="✔",0,10),"")</f>
        <v/>
      </c>
      <c r="Z103" s="407"/>
      <c r="AA103" s="23" t="s">
        <v>0</v>
      </c>
      <c r="AD103" s="3" t="s">
        <v>66</v>
      </c>
    </row>
    <row r="104" spans="1:55" ht="7.2" customHeight="1" x14ac:dyDescent="0.2"/>
    <row r="105" spans="1:55" x14ac:dyDescent="0.2">
      <c r="B105" s="51"/>
      <c r="C105" s="1" t="s">
        <v>48</v>
      </c>
      <c r="P105" s="51"/>
      <c r="Q105" s="1" t="s">
        <v>50</v>
      </c>
    </row>
    <row r="106" spans="1:55" ht="13.5" customHeight="1" x14ac:dyDescent="0.2">
      <c r="C106" s="1" t="s">
        <v>49</v>
      </c>
      <c r="Q106" s="431" t="s">
        <v>129</v>
      </c>
      <c r="R106" s="431"/>
      <c r="S106" s="431"/>
      <c r="T106" s="431"/>
      <c r="U106" s="431"/>
      <c r="V106" s="431"/>
      <c r="W106" s="431"/>
      <c r="X106" s="431"/>
      <c r="Y106" s="431"/>
      <c r="Z106" s="431"/>
      <c r="AA106" s="431"/>
    </row>
    <row r="107" spans="1:55" x14ac:dyDescent="0.2">
      <c r="Q107" s="431"/>
      <c r="R107" s="431"/>
      <c r="S107" s="431"/>
      <c r="T107" s="431"/>
      <c r="U107" s="431"/>
      <c r="V107" s="431"/>
      <c r="W107" s="431"/>
      <c r="X107" s="431"/>
      <c r="Y107" s="431"/>
      <c r="Z107" s="431"/>
      <c r="AA107" s="431"/>
    </row>
    <row r="108" spans="1:55" x14ac:dyDescent="0.2">
      <c r="C108" s="13" t="s">
        <v>43</v>
      </c>
      <c r="Q108" s="13" t="s">
        <v>43</v>
      </c>
    </row>
    <row r="109" spans="1:55" ht="13.5" customHeight="1" x14ac:dyDescent="0.2">
      <c r="C109" s="349" t="s">
        <v>47</v>
      </c>
      <c r="D109" s="335"/>
      <c r="E109" s="335"/>
      <c r="F109" s="335"/>
      <c r="G109" s="335"/>
      <c r="H109" s="335"/>
      <c r="I109" s="335"/>
      <c r="J109" s="335"/>
      <c r="K109" s="335"/>
      <c r="L109" s="335"/>
      <c r="M109" s="335"/>
      <c r="N109" s="335"/>
      <c r="Q109" s="349" t="s">
        <v>44</v>
      </c>
      <c r="R109" s="349"/>
      <c r="S109" s="349"/>
      <c r="T109" s="349"/>
      <c r="U109" s="349"/>
      <c r="V109" s="349"/>
      <c r="W109" s="349"/>
      <c r="X109" s="349"/>
      <c r="Y109" s="349"/>
      <c r="Z109" s="349"/>
      <c r="AA109" s="349"/>
    </row>
    <row r="110" spans="1:55" x14ac:dyDescent="0.2">
      <c r="C110" s="335"/>
      <c r="D110" s="335"/>
      <c r="E110" s="335"/>
      <c r="F110" s="335"/>
      <c r="G110" s="335"/>
      <c r="H110" s="335"/>
      <c r="I110" s="335"/>
      <c r="J110" s="335"/>
      <c r="K110" s="335"/>
      <c r="L110" s="335"/>
      <c r="M110" s="335"/>
      <c r="N110" s="335"/>
      <c r="Q110" s="349"/>
      <c r="R110" s="349"/>
      <c r="S110" s="349"/>
      <c r="T110" s="349"/>
      <c r="U110" s="349"/>
      <c r="V110" s="349"/>
      <c r="W110" s="349"/>
      <c r="X110" s="349"/>
      <c r="Y110" s="349"/>
      <c r="Z110" s="349"/>
      <c r="AA110" s="349"/>
    </row>
    <row r="111" spans="1:55" x14ac:dyDescent="0.2">
      <c r="C111" s="35" t="s">
        <v>79</v>
      </c>
      <c r="D111" s="36"/>
      <c r="E111" s="36"/>
      <c r="F111" s="36"/>
      <c r="G111" s="36"/>
      <c r="H111" s="36"/>
      <c r="I111" s="36"/>
      <c r="J111" s="36"/>
      <c r="K111" s="36"/>
      <c r="L111" s="36"/>
      <c r="M111" s="36"/>
      <c r="N111" s="36"/>
      <c r="Q111" s="35" t="s">
        <v>79</v>
      </c>
      <c r="R111" s="36"/>
      <c r="S111" s="36"/>
      <c r="T111" s="36"/>
      <c r="U111" s="36"/>
      <c r="V111" s="36"/>
      <c r="W111" s="36"/>
      <c r="X111" s="36"/>
      <c r="Y111" s="36"/>
      <c r="Z111" s="36"/>
      <c r="AA111" s="36"/>
    </row>
    <row r="112" spans="1:55" ht="13.5" customHeight="1" x14ac:dyDescent="0.2">
      <c r="C112" s="405" t="s">
        <v>191</v>
      </c>
      <c r="D112" s="405"/>
      <c r="E112" s="405"/>
      <c r="F112" s="405"/>
      <c r="G112" s="405"/>
      <c r="H112" s="405"/>
      <c r="I112" s="405"/>
      <c r="J112" s="405"/>
      <c r="K112" s="405"/>
      <c r="L112" s="405"/>
      <c r="M112" s="405"/>
      <c r="N112" s="405"/>
      <c r="Q112" s="405" t="s">
        <v>192</v>
      </c>
      <c r="R112" s="405"/>
      <c r="S112" s="405"/>
      <c r="T112" s="405"/>
      <c r="U112" s="405"/>
      <c r="V112" s="405"/>
      <c r="W112" s="405"/>
      <c r="X112" s="405"/>
      <c r="Y112" s="405"/>
      <c r="Z112" s="405"/>
      <c r="AA112" s="405"/>
    </row>
    <row r="113" spans="1:30" x14ac:dyDescent="0.2">
      <c r="C113" s="405"/>
      <c r="D113" s="405"/>
      <c r="E113" s="405"/>
      <c r="F113" s="405"/>
      <c r="G113" s="405"/>
      <c r="H113" s="405"/>
      <c r="I113" s="405"/>
      <c r="J113" s="405"/>
      <c r="K113" s="405"/>
      <c r="L113" s="405"/>
      <c r="M113" s="405"/>
      <c r="N113" s="405"/>
      <c r="Q113" s="405"/>
      <c r="R113" s="405"/>
      <c r="S113" s="405"/>
      <c r="T113" s="405"/>
      <c r="U113" s="405"/>
      <c r="V113" s="405"/>
      <c r="W113" s="405"/>
      <c r="X113" s="405"/>
      <c r="Y113" s="405"/>
      <c r="Z113" s="405"/>
      <c r="AA113" s="405"/>
    </row>
    <row r="114" spans="1:30" ht="13.5" customHeight="1" x14ac:dyDescent="0.2">
      <c r="D114" s="26"/>
      <c r="E114" s="26"/>
      <c r="F114" s="26"/>
      <c r="G114" s="26"/>
      <c r="H114" s="26"/>
      <c r="I114" s="26"/>
      <c r="J114" s="26"/>
      <c r="K114" s="26"/>
      <c r="L114" s="26"/>
      <c r="M114" s="26"/>
      <c r="N114" s="26"/>
      <c r="Q114" s="41" t="s">
        <v>193</v>
      </c>
      <c r="R114" s="27"/>
      <c r="S114" s="27"/>
      <c r="T114" s="27"/>
      <c r="U114" s="27"/>
      <c r="V114" s="27"/>
      <c r="W114" s="27"/>
      <c r="X114" s="27"/>
      <c r="Y114" s="27"/>
      <c r="Z114" s="27"/>
      <c r="AA114" s="27"/>
    </row>
    <row r="115" spans="1:30" ht="7.2" customHeight="1" x14ac:dyDescent="0.2"/>
    <row r="116" spans="1:30" x14ac:dyDescent="0.2">
      <c r="C116" s="410" t="s">
        <v>67</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27"/>
    </row>
    <row r="117" spans="1:30" x14ac:dyDescent="0.2">
      <c r="C117" s="410"/>
      <c r="D117" s="410"/>
      <c r="E117" s="410"/>
      <c r="F117" s="410"/>
      <c r="G117" s="410"/>
      <c r="H117" s="410"/>
      <c r="I117" s="410"/>
      <c r="J117" s="410"/>
      <c r="K117" s="410"/>
      <c r="L117" s="410"/>
      <c r="M117" s="410"/>
      <c r="N117" s="410"/>
      <c r="O117" s="410"/>
      <c r="P117" s="410"/>
      <c r="Q117" s="410"/>
      <c r="R117" s="410"/>
      <c r="S117" s="410"/>
      <c r="T117" s="410"/>
      <c r="U117" s="410"/>
      <c r="V117" s="410"/>
      <c r="W117" s="410"/>
      <c r="X117" s="410"/>
      <c r="Y117" s="410"/>
      <c r="Z117" s="410"/>
      <c r="AA117" s="27"/>
    </row>
    <row r="118" spans="1:30" ht="13.5" customHeight="1" x14ac:dyDescent="0.2">
      <c r="Y118" s="28"/>
      <c r="Z118" s="28"/>
      <c r="AA118" s="28"/>
    </row>
    <row r="119" spans="1:30" x14ac:dyDescent="0.2">
      <c r="A119" s="1" t="s">
        <v>54</v>
      </c>
      <c r="Y119" s="409" t="s">
        <v>72</v>
      </c>
      <c r="Z119" s="409"/>
      <c r="AA119" s="409"/>
    </row>
    <row r="120" spans="1:30" ht="13.5" customHeight="1" x14ac:dyDescent="0.2">
      <c r="B120" s="93" t="s">
        <v>496</v>
      </c>
      <c r="Y120" s="408"/>
      <c r="Z120" s="408"/>
      <c r="AA120" s="408"/>
    </row>
    <row r="121" spans="1:30" ht="13.5" customHeight="1" x14ac:dyDescent="0.2">
      <c r="B121" s="17" t="s">
        <v>501</v>
      </c>
      <c r="Y121" s="406" t="str">
        <f>IF(OR(B122="✔",B125="✔",B127="✔",B122="✔"),10,"")</f>
        <v/>
      </c>
      <c r="Z121" s="407"/>
      <c r="AA121" s="23" t="s">
        <v>0</v>
      </c>
    </row>
    <row r="122" spans="1:30" x14ac:dyDescent="0.2">
      <c r="B122" s="51"/>
      <c r="C122" s="516" t="s">
        <v>502</v>
      </c>
      <c r="AD122" s="3" t="s">
        <v>66</v>
      </c>
    </row>
    <row r="123" spans="1:30" x14ac:dyDescent="0.2">
      <c r="C123" s="13" t="s">
        <v>508</v>
      </c>
    </row>
    <row r="124" spans="1:30" ht="7.2" customHeight="1" x14ac:dyDescent="0.2">
      <c r="C124" s="13"/>
    </row>
    <row r="125" spans="1:30" x14ac:dyDescent="0.2">
      <c r="B125" s="51"/>
      <c r="C125" s="516" t="s">
        <v>503</v>
      </c>
      <c r="Y125" s="42"/>
      <c r="Z125" s="42"/>
      <c r="AA125" s="54"/>
    </row>
    <row r="126" spans="1:30" ht="7.2" customHeight="1" x14ac:dyDescent="0.2"/>
    <row r="127" spans="1:30" x14ac:dyDescent="0.2">
      <c r="B127" s="51"/>
      <c r="C127" s="516" t="s">
        <v>504</v>
      </c>
      <c r="Y127" s="42"/>
      <c r="Z127" s="42"/>
      <c r="AA127" s="54"/>
    </row>
    <row r="128" spans="1:30" x14ac:dyDescent="0.2">
      <c r="C128" s="13" t="s">
        <v>509</v>
      </c>
      <c r="D128" s="93"/>
    </row>
    <row r="129" spans="1:30" ht="7.2" customHeight="1" x14ac:dyDescent="0.2"/>
    <row r="130" spans="1:30" ht="15" customHeight="1" x14ac:dyDescent="0.2">
      <c r="B130" s="388" t="s">
        <v>505</v>
      </c>
      <c r="C130" s="388"/>
      <c r="D130" s="388"/>
      <c r="E130" s="388"/>
      <c r="F130" s="388"/>
      <c r="G130" s="388"/>
      <c r="H130" s="379" t="s">
        <v>136</v>
      </c>
      <c r="I130" s="379"/>
      <c r="J130" s="379"/>
      <c r="K130" s="379"/>
      <c r="L130" s="379"/>
      <c r="M130" s="379"/>
      <c r="N130" s="379"/>
      <c r="O130" s="419"/>
      <c r="P130" s="419"/>
      <c r="Q130" s="419"/>
      <c r="R130" s="419"/>
      <c r="S130" s="419"/>
      <c r="T130" s="419"/>
      <c r="U130" s="419"/>
      <c r="V130" s="419"/>
      <c r="W130" s="419"/>
      <c r="X130" s="419"/>
      <c r="Y130" s="419"/>
      <c r="Z130" s="419"/>
      <c r="AB130" s="4" t="str">
        <f>IF(AND(O130="",B122="✔"),"→申請者の住宅建設地の小学校区を記載してください。","")</f>
        <v/>
      </c>
    </row>
    <row r="131" spans="1:30" ht="15" customHeight="1" x14ac:dyDescent="0.2">
      <c r="A131" s="60"/>
      <c r="B131" s="360" t="s">
        <v>137</v>
      </c>
      <c r="C131" s="361"/>
      <c r="D131" s="361"/>
      <c r="E131" s="361"/>
      <c r="F131" s="361"/>
      <c r="G131" s="362"/>
      <c r="H131" s="379" t="s">
        <v>13</v>
      </c>
      <c r="I131" s="379"/>
      <c r="J131" s="379"/>
      <c r="K131" s="379"/>
      <c r="L131" s="379"/>
      <c r="M131" s="379"/>
      <c r="N131" s="379"/>
      <c r="O131" s="419"/>
      <c r="P131" s="419"/>
      <c r="Q131" s="419"/>
      <c r="R131" s="419"/>
      <c r="S131" s="419"/>
      <c r="T131" s="419"/>
      <c r="U131" s="419"/>
      <c r="V131" s="419"/>
      <c r="W131" s="419"/>
      <c r="X131" s="419"/>
      <c r="Y131" s="419"/>
      <c r="Z131" s="419"/>
      <c r="AB131" s="4" t="str">
        <f>IF(AND(O131="",B122="✔"),"→近居対象の親族世帯の住所を記載してください。","")</f>
        <v/>
      </c>
    </row>
    <row r="132" spans="1:30" ht="15" customHeight="1" x14ac:dyDescent="0.2">
      <c r="A132" s="60"/>
      <c r="B132" s="363"/>
      <c r="C132" s="364"/>
      <c r="D132" s="364"/>
      <c r="E132" s="364"/>
      <c r="F132" s="364"/>
      <c r="G132" s="365"/>
      <c r="H132" s="379" t="s">
        <v>138</v>
      </c>
      <c r="I132" s="379"/>
      <c r="J132" s="379"/>
      <c r="K132" s="379"/>
      <c r="L132" s="379"/>
      <c r="M132" s="379"/>
      <c r="N132" s="379"/>
      <c r="O132" s="419"/>
      <c r="P132" s="419"/>
      <c r="Q132" s="419"/>
      <c r="R132" s="419"/>
      <c r="S132" s="419"/>
      <c r="T132" s="419"/>
      <c r="U132" s="419"/>
      <c r="V132" s="419"/>
      <c r="W132" s="419"/>
      <c r="X132" s="419"/>
      <c r="Y132" s="419"/>
      <c r="Z132" s="419"/>
      <c r="AB132" s="4" t="str">
        <f>IF(AND(O132="",B122="✔"),"→近居対象の親族世帯の小学校区を記載してください。","")</f>
        <v/>
      </c>
    </row>
    <row r="133" spans="1:30" ht="12.75" customHeight="1" x14ac:dyDescent="0.2">
      <c r="C133" s="33" t="s">
        <v>79</v>
      </c>
    </row>
    <row r="134" spans="1:30" ht="12" customHeight="1" x14ac:dyDescent="0.2">
      <c r="C134" s="37" t="s">
        <v>194</v>
      </c>
    </row>
    <row r="135" spans="1:30" x14ac:dyDescent="0.2">
      <c r="C135" s="37" t="s">
        <v>195</v>
      </c>
      <c r="D135" s="25"/>
      <c r="E135" s="25"/>
      <c r="F135" s="25"/>
      <c r="G135" s="25"/>
      <c r="H135" s="25"/>
      <c r="I135" s="25"/>
      <c r="J135" s="25"/>
      <c r="K135" s="25"/>
      <c r="L135" s="25"/>
      <c r="M135" s="25"/>
      <c r="N135" s="25"/>
    </row>
    <row r="136" spans="1:30" ht="13.5" customHeight="1" x14ac:dyDescent="0.2">
      <c r="C136" s="37"/>
      <c r="D136" s="27"/>
      <c r="E136" s="27"/>
      <c r="F136" s="27"/>
      <c r="G136" s="27"/>
      <c r="H136" s="27"/>
      <c r="I136" s="27"/>
      <c r="J136" s="27"/>
      <c r="K136" s="27"/>
      <c r="L136" s="27"/>
      <c r="M136" s="27"/>
      <c r="N136" s="27"/>
    </row>
    <row r="137" spans="1:30" x14ac:dyDescent="0.2">
      <c r="AA137" s="5" t="s">
        <v>63</v>
      </c>
    </row>
    <row r="138" spans="1:30" x14ac:dyDescent="0.2">
      <c r="A138" s="1" t="s">
        <v>481</v>
      </c>
      <c r="Y138" s="350" t="s">
        <v>72</v>
      </c>
      <c r="Z138" s="350"/>
      <c r="AA138" s="350"/>
    </row>
    <row r="139" spans="1:30" ht="12.75" customHeight="1" x14ac:dyDescent="0.2">
      <c r="B139" s="336" t="s">
        <v>482</v>
      </c>
      <c r="C139" s="336"/>
      <c r="D139" s="336"/>
      <c r="E139" s="336"/>
      <c r="F139" s="336"/>
      <c r="G139" s="336"/>
      <c r="H139" s="336"/>
      <c r="I139" s="336"/>
      <c r="J139" s="336"/>
      <c r="K139" s="336"/>
      <c r="L139" s="336"/>
      <c r="M139" s="336"/>
      <c r="N139" s="336"/>
      <c r="O139" s="336"/>
      <c r="P139" s="336"/>
      <c r="Q139" s="336"/>
      <c r="R139" s="336"/>
      <c r="S139" s="336"/>
      <c r="T139" s="336"/>
      <c r="U139" s="336"/>
      <c r="V139" s="336"/>
      <c r="W139" s="336"/>
      <c r="X139" s="351"/>
      <c r="Y139" s="350"/>
      <c r="Z139" s="350"/>
      <c r="AA139" s="350"/>
    </row>
    <row r="140" spans="1:30" x14ac:dyDescent="0.2">
      <c r="B140" s="336"/>
      <c r="C140" s="336"/>
      <c r="D140" s="336"/>
      <c r="E140" s="336"/>
      <c r="F140" s="336"/>
      <c r="G140" s="336"/>
      <c r="H140" s="336"/>
      <c r="I140" s="336"/>
      <c r="J140" s="336"/>
      <c r="K140" s="336"/>
      <c r="L140" s="336"/>
      <c r="M140" s="336"/>
      <c r="N140" s="336"/>
      <c r="O140" s="336"/>
      <c r="P140" s="336"/>
      <c r="Q140" s="336"/>
      <c r="R140" s="336"/>
      <c r="S140" s="336"/>
      <c r="T140" s="336"/>
      <c r="U140" s="336"/>
      <c r="V140" s="336"/>
      <c r="W140" s="336"/>
      <c r="X140" s="351"/>
      <c r="Y140" s="355" t="str">
        <f>IF(AND(Y91&lt;&gt;"",Y91&gt;=0.2,B144="✔",(AC147+AC155+AC164)&gt;=2),MIN(15,SUM(Y153,Y163,Y170)),"")</f>
        <v/>
      </c>
      <c r="Z140" s="356"/>
      <c r="AA140" s="23" t="s">
        <v>0</v>
      </c>
    </row>
    <row r="141" spans="1:30" x14ac:dyDescent="0.2">
      <c r="B141" s="29"/>
      <c r="C141" s="348" t="s">
        <v>483</v>
      </c>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row>
    <row r="142" spans="1:30" ht="13.5" customHeight="1" x14ac:dyDescent="0.2">
      <c r="B142" s="29"/>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row>
    <row r="143" spans="1:30" ht="7.2" customHeight="1" x14ac:dyDescent="0.2"/>
    <row r="144" spans="1:30" x14ac:dyDescent="0.2">
      <c r="B144" s="51"/>
      <c r="C144" s="1" t="s">
        <v>22</v>
      </c>
      <c r="H144" s="1" t="s">
        <v>149</v>
      </c>
      <c r="AD144" s="3" t="s">
        <v>66</v>
      </c>
    </row>
    <row r="146" spans="2:29" ht="7.2" customHeight="1" x14ac:dyDescent="0.2"/>
    <row r="147" spans="2:29" ht="13.5" customHeight="1" x14ac:dyDescent="0.2">
      <c r="B147" s="51"/>
      <c r="C147" s="1" t="s">
        <v>119</v>
      </c>
      <c r="H147" s="336" t="s">
        <v>124</v>
      </c>
      <c r="I147" s="336"/>
      <c r="J147" s="336"/>
      <c r="K147" s="336"/>
      <c r="L147" s="336"/>
      <c r="M147" s="336"/>
      <c r="N147" s="336"/>
      <c r="O147" s="336"/>
      <c r="P147" s="336"/>
      <c r="Q147" s="336"/>
      <c r="R147" s="336"/>
      <c r="S147" s="336"/>
      <c r="T147" s="336"/>
      <c r="U147" s="336"/>
      <c r="V147" s="336"/>
      <c r="W147" s="336"/>
      <c r="X147" s="336"/>
      <c r="Y147" s="336"/>
      <c r="Z147" s="336"/>
      <c r="AA147" s="336"/>
      <c r="AC147" s="3">
        <f>IF(AND(B147="✔",N152&gt;=7),1,0)</f>
        <v>0</v>
      </c>
    </row>
    <row r="148" spans="2:29" x14ac:dyDescent="0.2">
      <c r="H148" s="336"/>
      <c r="I148" s="336"/>
      <c r="J148" s="336"/>
      <c r="K148" s="336"/>
      <c r="L148" s="336"/>
      <c r="M148" s="336"/>
      <c r="N148" s="336"/>
      <c r="O148" s="336"/>
      <c r="P148" s="336"/>
      <c r="Q148" s="336"/>
      <c r="R148" s="336"/>
      <c r="S148" s="336"/>
      <c r="T148" s="336"/>
      <c r="U148" s="336"/>
      <c r="V148" s="336"/>
      <c r="W148" s="336"/>
      <c r="X148" s="336"/>
      <c r="Y148" s="336"/>
      <c r="Z148" s="336"/>
      <c r="AA148" s="336"/>
    </row>
    <row r="149" spans="2:29" x14ac:dyDescent="0.2">
      <c r="H149" s="336"/>
      <c r="I149" s="336"/>
      <c r="J149" s="336"/>
      <c r="K149" s="336"/>
      <c r="L149" s="336"/>
      <c r="M149" s="336"/>
      <c r="N149" s="336"/>
      <c r="O149" s="336"/>
      <c r="P149" s="336"/>
      <c r="Q149" s="336"/>
      <c r="R149" s="336"/>
      <c r="S149" s="336"/>
      <c r="T149" s="336"/>
      <c r="U149" s="336"/>
      <c r="V149" s="336"/>
      <c r="W149" s="336"/>
      <c r="X149" s="336"/>
      <c r="Y149" s="336"/>
      <c r="Z149" s="336"/>
      <c r="AA149" s="336"/>
    </row>
    <row r="150" spans="2:29" x14ac:dyDescent="0.2">
      <c r="H150" s="336"/>
      <c r="I150" s="336"/>
      <c r="J150" s="336"/>
      <c r="K150" s="336"/>
      <c r="L150" s="336"/>
      <c r="M150" s="336"/>
      <c r="N150" s="336"/>
      <c r="O150" s="336"/>
      <c r="P150" s="336"/>
      <c r="Q150" s="336"/>
      <c r="R150" s="336"/>
      <c r="S150" s="336"/>
      <c r="T150" s="336"/>
      <c r="U150" s="336"/>
      <c r="V150" s="336"/>
      <c r="W150" s="336"/>
      <c r="X150" s="336"/>
      <c r="Y150" s="336"/>
      <c r="Z150" s="336"/>
      <c r="AA150" s="336"/>
    </row>
    <row r="151" spans="2:29" x14ac:dyDescent="0.2">
      <c r="H151" s="330" t="s">
        <v>122</v>
      </c>
      <c r="I151" s="330"/>
      <c r="J151" s="330"/>
      <c r="K151" s="330"/>
      <c r="L151" s="330"/>
      <c r="M151" s="330"/>
      <c r="N151" s="330"/>
      <c r="O151" s="330"/>
      <c r="P151" s="330"/>
      <c r="Q151" s="330"/>
      <c r="R151" s="330"/>
      <c r="S151" s="330"/>
      <c r="T151" s="330"/>
      <c r="U151" s="330"/>
      <c r="V151" s="330"/>
      <c r="W151" s="330"/>
      <c r="X151" s="421"/>
      <c r="Y151" s="350" t="s">
        <v>72</v>
      </c>
      <c r="Z151" s="350"/>
      <c r="AA151" s="350"/>
    </row>
    <row r="152" spans="2:29" ht="13.5" customHeight="1" x14ac:dyDescent="0.2">
      <c r="D152" s="1" t="s">
        <v>120</v>
      </c>
      <c r="N152" s="318"/>
      <c r="O152" s="319"/>
      <c r="P152" s="320"/>
      <c r="Q152" s="1" t="s">
        <v>71</v>
      </c>
      <c r="Y152" s="350"/>
      <c r="Z152" s="350"/>
      <c r="AA152" s="350"/>
      <c r="AB152" s="4" t="str">
        <f>IF(AND(B147="✔",N152=""),"←建築大工技能を活用した見付面積を入力してください。","")</f>
        <v/>
      </c>
    </row>
    <row r="153" spans="2:29" x14ac:dyDescent="0.2">
      <c r="C153" s="34" t="s">
        <v>146</v>
      </c>
      <c r="H153" s="29"/>
      <c r="I153" s="29"/>
      <c r="J153" s="29"/>
      <c r="K153" s="29"/>
      <c r="L153" s="29"/>
      <c r="M153" s="29"/>
      <c r="N153" s="29"/>
      <c r="O153" s="29"/>
      <c r="P153" s="29"/>
      <c r="Q153" s="29"/>
      <c r="R153" s="29"/>
      <c r="S153" s="29"/>
      <c r="T153" s="29"/>
      <c r="U153" s="29"/>
      <c r="V153" s="29"/>
      <c r="W153" s="29"/>
      <c r="X153" s="29"/>
      <c r="Y153" s="355" t="str">
        <f>IF(AND(N152&gt;=7,B147="✔"),INT(N152)*1.1,"")</f>
        <v/>
      </c>
      <c r="Z153" s="356"/>
      <c r="AA153" s="23" t="s">
        <v>0</v>
      </c>
    </row>
    <row r="155" spans="2:29" x14ac:dyDescent="0.2">
      <c r="B155" s="51"/>
      <c r="C155" s="1" t="s">
        <v>126</v>
      </c>
      <c r="H155" s="44" t="s">
        <v>143</v>
      </c>
      <c r="AC155" s="3">
        <f>IF(AND(B155="✔",N159&gt;=7),1,0)</f>
        <v>0</v>
      </c>
    </row>
    <row r="156" spans="2:29" x14ac:dyDescent="0.2">
      <c r="H156" s="44" t="s">
        <v>144</v>
      </c>
    </row>
    <row r="157" spans="2:29" x14ac:dyDescent="0.2">
      <c r="H157" s="1" t="s">
        <v>150</v>
      </c>
    </row>
    <row r="158" spans="2:29" ht="13.5" customHeight="1" x14ac:dyDescent="0.2">
      <c r="H158" s="330" t="s">
        <v>151</v>
      </c>
      <c r="I158" s="330"/>
      <c r="J158" s="330"/>
      <c r="K158" s="330"/>
      <c r="L158" s="330"/>
      <c r="M158" s="330"/>
      <c r="N158" s="330"/>
      <c r="O158" s="330"/>
      <c r="P158" s="330"/>
      <c r="Q158" s="330"/>
      <c r="R158" s="330"/>
      <c r="S158" s="330"/>
      <c r="T158" s="330"/>
      <c r="U158" s="330"/>
      <c r="V158" s="330"/>
      <c r="W158" s="330"/>
      <c r="X158" s="330"/>
      <c r="AB158" s="17" t="str">
        <f>IF(AND(N159&gt;0,R159=""),"←こて塗り仕上げの材料を選択してください。",IF(AND(R159="その他のこて塗り",V159=""),"←こて塗りの材料を記載してください。",""))</f>
        <v/>
      </c>
    </row>
    <row r="159" spans="2:29" x14ac:dyDescent="0.2">
      <c r="D159" s="1" t="s">
        <v>140</v>
      </c>
      <c r="N159" s="318"/>
      <c r="O159" s="319"/>
      <c r="P159" s="320"/>
      <c r="Q159" s="1" t="s">
        <v>71</v>
      </c>
      <c r="R159" s="420"/>
      <c r="S159" s="420"/>
      <c r="T159" s="420"/>
      <c r="U159" s="420"/>
      <c r="V159" s="366"/>
      <c r="W159" s="337"/>
      <c r="X159" s="337"/>
      <c r="Y159" s="337"/>
      <c r="Z159" s="337"/>
      <c r="AB159" s="4" t="str">
        <f>IF(AND(B155="✔",N159=""),"←こて塗りの面積を入力してください。","")</f>
        <v/>
      </c>
      <c r="AC159" s="17"/>
    </row>
    <row r="160" spans="2:29" x14ac:dyDescent="0.2">
      <c r="C160" s="34" t="s">
        <v>145</v>
      </c>
      <c r="Y160" s="42"/>
      <c r="Z160" s="42"/>
      <c r="AB160" s="4"/>
      <c r="AC160" s="17"/>
    </row>
    <row r="161" spans="2:29" x14ac:dyDescent="0.2">
      <c r="Y161" s="350" t="s">
        <v>72</v>
      </c>
      <c r="Z161" s="350"/>
      <c r="AA161" s="350"/>
    </row>
    <row r="162" spans="2:29" x14ac:dyDescent="0.2">
      <c r="Y162" s="350"/>
      <c r="Z162" s="350"/>
      <c r="AA162" s="350"/>
    </row>
    <row r="163" spans="2:29" x14ac:dyDescent="0.2">
      <c r="Y163" s="355" t="str">
        <f>IF(AND(N159&gt;=7,B155="✔"),INT(N159)*1.3,"")</f>
        <v/>
      </c>
      <c r="Z163" s="356"/>
      <c r="AA163" s="23" t="s">
        <v>0</v>
      </c>
    </row>
    <row r="164" spans="2:29" x14ac:dyDescent="0.2">
      <c r="B164" s="51"/>
      <c r="C164" s="1" t="s">
        <v>127</v>
      </c>
      <c r="H164" s="336" t="s">
        <v>125</v>
      </c>
      <c r="I164" s="336"/>
      <c r="J164" s="336"/>
      <c r="K164" s="336"/>
      <c r="L164" s="336"/>
      <c r="M164" s="336"/>
      <c r="N164" s="336"/>
      <c r="O164" s="336"/>
      <c r="P164" s="336"/>
      <c r="Q164" s="336"/>
      <c r="R164" s="336"/>
      <c r="S164" s="336"/>
      <c r="T164" s="336"/>
      <c r="U164" s="336"/>
      <c r="V164" s="336"/>
      <c r="W164" s="336"/>
      <c r="X164" s="336"/>
      <c r="Y164" s="336"/>
      <c r="Z164" s="336"/>
      <c r="AA164" s="336"/>
      <c r="AC164" s="3">
        <f>IF(AND(B164="✔",N170&gt;=3),1,0)</f>
        <v>0</v>
      </c>
    </row>
    <row r="165" spans="2:29" x14ac:dyDescent="0.2">
      <c r="H165" s="336"/>
      <c r="I165" s="336"/>
      <c r="J165" s="336"/>
      <c r="K165" s="336"/>
      <c r="L165" s="336"/>
      <c r="M165" s="336"/>
      <c r="N165" s="336"/>
      <c r="O165" s="336"/>
      <c r="P165" s="336"/>
      <c r="Q165" s="336"/>
      <c r="R165" s="336"/>
      <c r="S165" s="336"/>
      <c r="T165" s="336"/>
      <c r="U165" s="336"/>
      <c r="V165" s="336"/>
      <c r="W165" s="336"/>
      <c r="X165" s="336"/>
      <c r="Y165" s="336"/>
      <c r="Z165" s="336"/>
      <c r="AA165" s="336"/>
    </row>
    <row r="166" spans="2:29" x14ac:dyDescent="0.2">
      <c r="H166" s="336"/>
      <c r="I166" s="336"/>
      <c r="J166" s="336"/>
      <c r="K166" s="336"/>
      <c r="L166" s="336"/>
      <c r="M166" s="336"/>
      <c r="N166" s="336"/>
      <c r="O166" s="336"/>
      <c r="P166" s="336"/>
      <c r="Q166" s="336"/>
      <c r="R166" s="336"/>
      <c r="S166" s="336"/>
      <c r="T166" s="336"/>
      <c r="U166" s="336"/>
      <c r="V166" s="336"/>
      <c r="W166" s="336"/>
      <c r="X166" s="336"/>
      <c r="Y166" s="336"/>
      <c r="Z166" s="336"/>
      <c r="AA166" s="336"/>
    </row>
    <row r="167" spans="2:29" ht="13.5" customHeight="1" x14ac:dyDescent="0.2">
      <c r="H167" s="387"/>
      <c r="I167" s="387"/>
      <c r="J167" s="387"/>
      <c r="K167" s="387"/>
      <c r="L167" s="387"/>
      <c r="M167" s="387"/>
      <c r="N167" s="387"/>
      <c r="O167" s="387"/>
      <c r="P167" s="336"/>
      <c r="Q167" s="336"/>
      <c r="R167" s="336"/>
      <c r="S167" s="336"/>
      <c r="T167" s="336"/>
      <c r="U167" s="336"/>
      <c r="V167" s="336"/>
      <c r="W167" s="336"/>
      <c r="X167" s="336"/>
      <c r="Y167" s="336"/>
      <c r="Z167" s="336"/>
      <c r="AA167" s="336"/>
    </row>
    <row r="168" spans="2:29" x14ac:dyDescent="0.2">
      <c r="H168" s="387"/>
      <c r="I168" s="387"/>
      <c r="J168" s="387"/>
      <c r="K168" s="387"/>
      <c r="L168" s="387"/>
      <c r="M168" s="387"/>
      <c r="N168" s="387"/>
      <c r="O168" s="387"/>
      <c r="Y168" s="350" t="s">
        <v>72</v>
      </c>
      <c r="Z168" s="350"/>
      <c r="AA168" s="350"/>
    </row>
    <row r="169" spans="2:29" x14ac:dyDescent="0.2">
      <c r="H169" s="330" t="s">
        <v>123</v>
      </c>
      <c r="I169" s="330"/>
      <c r="J169" s="330"/>
      <c r="K169" s="330"/>
      <c r="L169" s="330"/>
      <c r="M169" s="330"/>
      <c r="N169" s="330"/>
      <c r="O169" s="330"/>
      <c r="P169" s="330"/>
      <c r="Q169" s="330"/>
      <c r="R169" s="330"/>
      <c r="S169" s="330"/>
      <c r="T169" s="330"/>
      <c r="U169" s="330"/>
      <c r="V169" s="330"/>
      <c r="W169" s="330"/>
      <c r="X169" s="421"/>
      <c r="Y169" s="350"/>
      <c r="Z169" s="350"/>
      <c r="AA169" s="350"/>
    </row>
    <row r="170" spans="2:29" x14ac:dyDescent="0.2">
      <c r="G170" s="1" t="s">
        <v>74</v>
      </c>
      <c r="N170" s="318"/>
      <c r="O170" s="319"/>
      <c r="P170" s="320"/>
      <c r="Q170" s="1" t="s">
        <v>71</v>
      </c>
      <c r="Y170" s="355" t="str">
        <f>IF(AND(N170&gt;=3,B164="✔"),INT(N170)*1.9,"")</f>
        <v/>
      </c>
      <c r="Z170" s="356"/>
      <c r="AA170" s="23" t="s">
        <v>0</v>
      </c>
      <c r="AB170" s="4" t="str">
        <f>IF(AND(B164="✔",N170=""),"←木製建具の見付面積を入力してください。","")</f>
        <v/>
      </c>
    </row>
    <row r="171" spans="2:29" x14ac:dyDescent="0.2">
      <c r="C171" s="348" t="s">
        <v>156</v>
      </c>
      <c r="D171" s="348"/>
      <c r="E171" s="348"/>
      <c r="F171" s="348"/>
      <c r="G171" s="348"/>
      <c r="H171" s="348"/>
      <c r="I171" s="348"/>
      <c r="J171" s="348"/>
      <c r="K171" s="348"/>
      <c r="L171" s="348"/>
      <c r="M171" s="348"/>
      <c r="N171" s="348"/>
      <c r="O171" s="348"/>
      <c r="P171" s="348"/>
      <c r="Q171" s="348"/>
      <c r="R171" s="348"/>
      <c r="S171" s="348"/>
      <c r="T171" s="348"/>
      <c r="U171" s="348"/>
      <c r="V171" s="348"/>
      <c r="W171" s="348"/>
      <c r="X171" s="348"/>
      <c r="Y171" s="348"/>
      <c r="Z171" s="348"/>
      <c r="AA171" s="348"/>
    </row>
    <row r="172" spans="2:29" x14ac:dyDescent="0.2">
      <c r="C172" s="348"/>
      <c r="D172" s="348"/>
      <c r="E172" s="348"/>
      <c r="F172" s="348"/>
      <c r="G172" s="348"/>
      <c r="H172" s="348"/>
      <c r="I172" s="348"/>
      <c r="J172" s="348"/>
      <c r="K172" s="348"/>
      <c r="L172" s="348"/>
      <c r="M172" s="348"/>
      <c r="N172" s="348"/>
      <c r="O172" s="348"/>
      <c r="P172" s="348"/>
      <c r="Q172" s="348"/>
      <c r="R172" s="348"/>
      <c r="S172" s="348"/>
      <c r="T172" s="348"/>
      <c r="U172" s="348"/>
      <c r="V172" s="348"/>
      <c r="W172" s="348"/>
      <c r="X172" s="348"/>
      <c r="Y172" s="348"/>
      <c r="Z172" s="348"/>
      <c r="AA172" s="348"/>
    </row>
    <row r="173" spans="2:29" x14ac:dyDescent="0.2">
      <c r="C173" s="348"/>
      <c r="D173" s="348"/>
      <c r="E173" s="348"/>
      <c r="F173" s="348"/>
      <c r="G173" s="348"/>
      <c r="H173" s="348"/>
      <c r="I173" s="348"/>
      <c r="J173" s="348"/>
      <c r="K173" s="348"/>
      <c r="L173" s="348"/>
      <c r="M173" s="348"/>
      <c r="N173" s="348"/>
      <c r="O173" s="348"/>
      <c r="P173" s="348"/>
      <c r="Q173" s="348"/>
      <c r="R173" s="348"/>
      <c r="S173" s="348"/>
      <c r="T173" s="348"/>
      <c r="U173" s="348"/>
      <c r="V173" s="348"/>
      <c r="W173" s="348"/>
      <c r="X173" s="348"/>
      <c r="Y173" s="348"/>
      <c r="Z173" s="348"/>
      <c r="AA173" s="348"/>
    </row>
    <row r="174" spans="2:29" x14ac:dyDescent="0.2">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2:29" x14ac:dyDescent="0.2">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5" t="s">
        <v>63</v>
      </c>
    </row>
    <row r="176" spans="2:29" x14ac:dyDescent="0.2">
      <c r="K176" s="381">
        <f>T180+T181</f>
        <v>0</v>
      </c>
      <c r="L176" s="382"/>
      <c r="M176" s="383"/>
      <c r="AB176" s="50">
        <f>SUM(Y140,Y16,Y103,Y91,Y121)</f>
        <v>0</v>
      </c>
    </row>
    <row r="177" spans="1:28" x14ac:dyDescent="0.2">
      <c r="C177" s="1" t="s">
        <v>55</v>
      </c>
      <c r="K177" s="384"/>
      <c r="L177" s="385"/>
      <c r="M177" s="386"/>
      <c r="N177" s="1" t="s">
        <v>56</v>
      </c>
    </row>
    <row r="178" spans="1:28" x14ac:dyDescent="0.2">
      <c r="K178" s="306"/>
      <c r="L178" s="306"/>
      <c r="M178" s="306"/>
    </row>
    <row r="179" spans="1:28" x14ac:dyDescent="0.2">
      <c r="D179" s="1" t="s">
        <v>484</v>
      </c>
    </row>
    <row r="180" spans="1:28" ht="27" customHeight="1" x14ac:dyDescent="0.2">
      <c r="D180" s="422" t="s">
        <v>485</v>
      </c>
      <c r="E180" s="423"/>
      <c r="F180" s="423"/>
      <c r="G180" s="423"/>
      <c r="H180" s="423"/>
      <c r="I180" s="423"/>
      <c r="J180" s="423"/>
      <c r="K180" s="423"/>
      <c r="L180" s="423"/>
      <c r="M180" s="423"/>
      <c r="N180" s="423"/>
      <c r="O180" s="423"/>
      <c r="P180" s="423"/>
      <c r="Q180" s="423"/>
      <c r="R180" s="423"/>
      <c r="S180" s="424"/>
      <c r="T180" s="425">
        <f>IF(Y91="",0,MIN(SUM(Y91,Y103,Y121,Y140),50,ROUNDDOWN(S37/2,1)))</f>
        <v>0</v>
      </c>
      <c r="U180" s="426"/>
      <c r="V180" s="426"/>
      <c r="W180" s="10" t="s">
        <v>0</v>
      </c>
      <c r="X180" s="11"/>
    </row>
    <row r="181" spans="1:28" ht="28.5" customHeight="1" x14ac:dyDescent="0.2">
      <c r="D181" s="427" t="s">
        <v>203</v>
      </c>
      <c r="E181" s="428"/>
      <c r="F181" s="428"/>
      <c r="G181" s="428"/>
      <c r="H181" s="428"/>
      <c r="I181" s="428"/>
      <c r="J181" s="428"/>
      <c r="K181" s="428"/>
      <c r="L181" s="428"/>
      <c r="M181" s="428"/>
      <c r="N181" s="428"/>
      <c r="O181" s="428"/>
      <c r="P181" s="428"/>
      <c r="Q181" s="428"/>
      <c r="R181" s="428"/>
      <c r="S181" s="428"/>
      <c r="T181" s="425">
        <f>IF(B57="✔",IF(U57="",0,IF(U57="その他",0,【様式第６号の３】補助基準額等算定表!D66/10000)),0)</f>
        <v>0</v>
      </c>
      <c r="U181" s="426"/>
      <c r="V181" s="426"/>
      <c r="W181" s="10" t="s">
        <v>0</v>
      </c>
      <c r="X181" s="11"/>
      <c r="AB181" s="3" t="str">
        <f>IF(U11="","",IF(AND(B17="",B20=""),"",IF(AND(B17="✔",B20="✔"),"error",IF(B29="✔",IF(U11="T-G1",5,IF(U11="T-G2",15,IF(U11="T-G3",25,0))),(IF(U11="T-G1",10,IF(U11="T-G2",30,IF(U11="T-G3",50,0)))))))+IF(B25="",IF(B27="",IF(B29="",IF(B31="",(IF(U17="『ZEH』",50,IF(U17="Nearly ZEH（多雪地域に限る）",50,0))))))))</f>
        <v/>
      </c>
    </row>
    <row r="182" spans="1:28" ht="20.25" customHeight="1" x14ac:dyDescent="0.2">
      <c r="D182" s="19"/>
      <c r="E182" s="19"/>
      <c r="F182" s="19"/>
      <c r="G182" s="19"/>
      <c r="H182" s="19"/>
      <c r="I182" s="19"/>
      <c r="J182" s="19"/>
      <c r="K182" s="19"/>
      <c r="L182" s="19"/>
      <c r="M182" s="19"/>
      <c r="N182" s="19"/>
      <c r="O182" s="19"/>
      <c r="P182" s="19"/>
      <c r="Q182" s="19"/>
      <c r="R182" s="19"/>
      <c r="S182" s="19"/>
      <c r="T182" s="307"/>
      <c r="U182" s="307"/>
      <c r="V182" s="307"/>
    </row>
    <row r="183" spans="1:28" x14ac:dyDescent="0.2">
      <c r="A183" s="13" t="s">
        <v>68</v>
      </c>
    </row>
    <row r="184" spans="1:28" x14ac:dyDescent="0.2">
      <c r="A184" s="17" t="s">
        <v>139</v>
      </c>
    </row>
    <row r="185" spans="1:28" ht="16.2" x14ac:dyDescent="0.2">
      <c r="A185" s="30" t="s">
        <v>60</v>
      </c>
    </row>
    <row r="188" spans="1:28" x14ac:dyDescent="0.2">
      <c r="C188" s="1" t="s">
        <v>155</v>
      </c>
    </row>
    <row r="189" spans="1:28" x14ac:dyDescent="0.2">
      <c r="C189" s="17" t="s">
        <v>75</v>
      </c>
    </row>
    <row r="191" spans="1:28" x14ac:dyDescent="0.2">
      <c r="C191" s="1" t="s">
        <v>489</v>
      </c>
    </row>
    <row r="192" spans="1:28" x14ac:dyDescent="0.2">
      <c r="C192" s="1" t="s">
        <v>490</v>
      </c>
    </row>
    <row r="193" spans="3:37" x14ac:dyDescent="0.2">
      <c r="C193" s="1" t="str">
        <f>IF(AND(I51="",I51=""),"",IF(I51="要","検査済証の写し",""))</f>
        <v/>
      </c>
    </row>
    <row r="194" spans="3:37" x14ac:dyDescent="0.2">
      <c r="C194" s="1" t="str">
        <f>IF(AND(T51="",T51=""),"",IF(T51="要","建築工事届の写し（検査済み証がある場合は不要）",""))</f>
        <v/>
      </c>
    </row>
    <row r="195" spans="3:37" x14ac:dyDescent="0.2">
      <c r="C195" s="1" t="str">
        <f>IF(B73="✔","変更後の改修部分の図面に改修内容を記載したもの）","")</f>
        <v/>
      </c>
    </row>
    <row r="196" spans="3:37" x14ac:dyDescent="0.2">
      <c r="C196" s="1" t="s">
        <v>154</v>
      </c>
    </row>
    <row r="197" spans="3:37" x14ac:dyDescent="0.2">
      <c r="C197" s="1" t="s">
        <v>396</v>
      </c>
    </row>
    <row r="198" spans="3:37" ht="25.5" customHeight="1" x14ac:dyDescent="0.2">
      <c r="C198" s="374" t="str">
        <f>IF(B79="","","県内プレカット加工証明書（様式第９号）の原本若しくはその写し又はプレカット工場が記載された県産材の産地証明書写し")</f>
        <v/>
      </c>
      <c r="D198" s="374"/>
      <c r="E198" s="374"/>
      <c r="F198" s="374"/>
      <c r="G198" s="374"/>
      <c r="H198" s="374"/>
      <c r="I198" s="374"/>
      <c r="J198" s="374"/>
      <c r="K198" s="374"/>
      <c r="L198" s="374"/>
      <c r="M198" s="374"/>
      <c r="N198" s="374"/>
      <c r="O198" s="374"/>
      <c r="P198" s="374"/>
      <c r="Q198" s="374"/>
      <c r="R198" s="374"/>
      <c r="S198" s="374"/>
      <c r="T198" s="374"/>
      <c r="U198" s="374"/>
      <c r="V198" s="374"/>
      <c r="W198" s="374"/>
      <c r="X198" s="374"/>
      <c r="Y198" s="374"/>
      <c r="Z198" s="374"/>
      <c r="AA198" s="374"/>
    </row>
    <row r="199" spans="3:37" ht="37.5" customHeight="1" x14ac:dyDescent="0.2">
      <c r="C199" s="374" t="str">
        <f>IF(Q90="","","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f>
        <v/>
      </c>
      <c r="D199" s="374"/>
      <c r="E199" s="374"/>
      <c r="F199" s="374"/>
      <c r="G199" s="374"/>
      <c r="H199" s="374"/>
      <c r="I199" s="374"/>
      <c r="J199" s="374"/>
      <c r="K199" s="374"/>
      <c r="L199" s="374"/>
      <c r="M199" s="374"/>
      <c r="N199" s="374"/>
      <c r="O199" s="374"/>
      <c r="P199" s="374"/>
      <c r="Q199" s="374"/>
      <c r="R199" s="374"/>
      <c r="S199" s="374"/>
      <c r="T199" s="374"/>
      <c r="U199" s="374"/>
      <c r="V199" s="374"/>
      <c r="W199" s="374"/>
      <c r="X199" s="374"/>
      <c r="Y199" s="374"/>
      <c r="Z199" s="374"/>
      <c r="AA199" s="374"/>
    </row>
    <row r="200" spans="3:37" x14ac:dyDescent="0.2">
      <c r="C200" s="374" t="str">
        <f>IF(OR(Y103=0,Y103=""),"","補助対象住宅に転居後の世帯全員の住民票")</f>
        <v/>
      </c>
      <c r="D200" s="374"/>
      <c r="E200" s="374"/>
      <c r="F200" s="374"/>
      <c r="G200" s="374"/>
      <c r="H200" s="374"/>
      <c r="I200" s="374"/>
      <c r="J200" s="374"/>
      <c r="K200" s="374"/>
      <c r="L200" s="374"/>
      <c r="M200" s="374"/>
      <c r="N200" s="374"/>
      <c r="O200" s="374"/>
      <c r="P200" s="374"/>
      <c r="Q200" s="374"/>
      <c r="R200" s="374"/>
      <c r="S200" s="374"/>
      <c r="T200" s="374"/>
      <c r="U200" s="374"/>
      <c r="V200" s="374"/>
      <c r="W200" s="374"/>
      <c r="X200" s="374"/>
      <c r="Y200" s="374"/>
      <c r="Z200" s="374"/>
      <c r="AA200" s="374"/>
    </row>
    <row r="201" spans="3:37" x14ac:dyDescent="0.2">
      <c r="C201" s="374" t="str">
        <f>IF(AND(Y103=10,B105="",P105="✔"),"申請者の戸籍抄本、申請者の戸籍謄本","")</f>
        <v/>
      </c>
      <c r="D201" s="374"/>
      <c r="E201" s="374"/>
      <c r="F201" s="374"/>
      <c r="G201" s="374"/>
      <c r="H201" s="374"/>
      <c r="I201" s="374"/>
      <c r="J201" s="374"/>
      <c r="K201" s="374"/>
      <c r="L201" s="374"/>
      <c r="M201" s="374"/>
      <c r="N201" s="374"/>
      <c r="O201" s="374"/>
      <c r="P201" s="374"/>
      <c r="Q201" s="374"/>
      <c r="R201" s="374"/>
      <c r="S201" s="374"/>
      <c r="T201" s="374"/>
      <c r="U201" s="374"/>
      <c r="V201" s="374"/>
      <c r="W201" s="374"/>
      <c r="X201" s="374"/>
      <c r="Y201" s="374"/>
      <c r="Z201" s="374"/>
      <c r="AA201" s="374"/>
      <c r="AB201" s="55" t="str">
        <f>IF(C201="","","戸籍謄本、戸籍抄本、誓約書いづれか一つを添付してください。")</f>
        <v/>
      </c>
    </row>
    <row r="202" spans="3:37" ht="13.2" customHeight="1" x14ac:dyDescent="0.2">
      <c r="C202" s="336" t="str">
        <f>IF(Y121="","","補助対象住宅に転居後の同居又は近居の対象となる直系親族世帯全員の住民票")</f>
        <v/>
      </c>
      <c r="D202" s="336"/>
      <c r="E202" s="336"/>
      <c r="F202" s="336"/>
      <c r="G202" s="336"/>
      <c r="H202" s="336"/>
      <c r="I202" s="336"/>
      <c r="J202" s="336"/>
      <c r="K202" s="336"/>
      <c r="L202" s="336"/>
      <c r="M202" s="336"/>
      <c r="N202" s="336"/>
      <c r="O202" s="336"/>
      <c r="P202" s="336"/>
      <c r="Q202" s="336"/>
      <c r="R202" s="336"/>
      <c r="S202" s="336"/>
      <c r="T202" s="336"/>
      <c r="U202" s="336"/>
      <c r="V202" s="336"/>
      <c r="W202" s="336"/>
      <c r="X202" s="336"/>
      <c r="Y202" s="336"/>
      <c r="Z202" s="336"/>
      <c r="AA202" s="336"/>
      <c r="AB202" s="55"/>
    </row>
    <row r="203" spans="3:37" x14ac:dyDescent="0.2">
      <c r="C203" s="336" t="str">
        <f>IF(Y121="","","同居又は近居する直系親族と姓が異なる場合は、申請者の戸籍謄本等直系親族とわかる書類")</f>
        <v/>
      </c>
      <c r="D203" s="336"/>
      <c r="E203" s="336"/>
      <c r="F203" s="336"/>
      <c r="G203" s="336"/>
      <c r="H203" s="336"/>
      <c r="I203" s="336"/>
      <c r="J203" s="336"/>
      <c r="K203" s="336"/>
      <c r="L203" s="336"/>
      <c r="M203" s="336"/>
      <c r="N203" s="336"/>
      <c r="O203" s="336"/>
      <c r="P203" s="336"/>
      <c r="Q203" s="336"/>
      <c r="R203" s="336"/>
      <c r="S203" s="336"/>
      <c r="T203" s="336"/>
      <c r="U203" s="336"/>
      <c r="V203" s="336"/>
      <c r="W203" s="336"/>
      <c r="X203" s="336"/>
      <c r="Y203" s="336"/>
      <c r="Z203" s="336"/>
      <c r="AA203" s="336"/>
    </row>
    <row r="204" spans="3:37" ht="15.75" customHeight="1" x14ac:dyDescent="0.2">
      <c r="C204" s="336" t="str">
        <f>IF(B144="","","各地域建築技能の施工面積及び施工箇所を図示した立面図、展開図等の図面")</f>
        <v/>
      </c>
      <c r="D204" s="336"/>
      <c r="E204" s="336"/>
      <c r="F204" s="336"/>
      <c r="G204" s="336"/>
      <c r="H204" s="336"/>
      <c r="I204" s="336"/>
      <c r="J204" s="336"/>
      <c r="K204" s="336"/>
      <c r="L204" s="336"/>
      <c r="M204" s="336"/>
      <c r="N204" s="336"/>
      <c r="O204" s="336"/>
      <c r="P204" s="336"/>
      <c r="Q204" s="336"/>
      <c r="R204" s="336"/>
      <c r="S204" s="336"/>
      <c r="T204" s="336"/>
      <c r="U204" s="336"/>
      <c r="V204" s="336"/>
      <c r="W204" s="336"/>
      <c r="X204" s="336"/>
      <c r="Y204" s="336"/>
      <c r="Z204" s="336"/>
      <c r="AA204" s="336"/>
    </row>
    <row r="205" spans="3:37" x14ac:dyDescent="0.2">
      <c r="C205" s="1" t="str">
        <f>IF(B147="✔","建築大工技能に係る施工状況写真（建築主名を記載した工事看板を写し込んだもの）","")</f>
        <v/>
      </c>
    </row>
    <row r="206" spans="3:37" ht="29.25" customHeight="1" x14ac:dyDescent="0.2">
      <c r="C206" s="336" t="str">
        <f>IF(B155="✔","左官仕上げのこて塗りが確認できる施工状況写真（建築主名を記載した工事看板を写し込んだもの）","")</f>
        <v/>
      </c>
      <c r="D206" s="336"/>
      <c r="E206" s="336"/>
      <c r="F206" s="336"/>
      <c r="G206" s="336"/>
      <c r="H206" s="336"/>
      <c r="I206" s="336"/>
      <c r="J206" s="336"/>
      <c r="K206" s="336"/>
      <c r="L206" s="336"/>
      <c r="M206" s="336"/>
      <c r="N206" s="336"/>
      <c r="O206" s="336"/>
      <c r="P206" s="336"/>
      <c r="Q206" s="336"/>
      <c r="R206" s="336"/>
      <c r="S206" s="336"/>
      <c r="T206" s="336"/>
      <c r="U206" s="336"/>
      <c r="V206" s="336"/>
      <c r="W206" s="336"/>
      <c r="X206" s="336"/>
      <c r="Y206" s="336"/>
      <c r="Z206" s="336"/>
      <c r="AA206" s="336"/>
      <c r="AB206" s="55" t="str">
        <f>IF(C206="","","こて塗りで実際施工中の写真を添付してください（建築主名記載の工事看板入り）。")</f>
        <v/>
      </c>
    </row>
    <row r="207" spans="3:37" ht="44.25" customHeight="1" x14ac:dyDescent="0.2">
      <c r="C207" s="336" t="str">
        <f>IF(B164="✔","木製建具の種類及び見付面積が確認できる資料、設置完了後の写真（建具の種類ごとに建築主名、建具業者名及び建具の名称を記載した工事看板を写し込んだもの）及び当該木製建具に係る納品書の写し","")</f>
        <v/>
      </c>
      <c r="D207" s="336"/>
      <c r="E207" s="336"/>
      <c r="F207" s="336"/>
      <c r="G207" s="336"/>
      <c r="H207" s="336"/>
      <c r="I207" s="336"/>
      <c r="J207" s="336"/>
      <c r="K207" s="336"/>
      <c r="L207" s="336"/>
      <c r="M207" s="336"/>
      <c r="N207" s="336"/>
      <c r="O207" s="336"/>
      <c r="P207" s="336"/>
      <c r="Q207" s="336"/>
      <c r="R207" s="336"/>
      <c r="S207" s="336"/>
      <c r="T207" s="336"/>
      <c r="U207" s="336"/>
      <c r="V207" s="336"/>
      <c r="W207" s="336"/>
      <c r="X207" s="336"/>
      <c r="Y207" s="336"/>
      <c r="Z207" s="336"/>
      <c r="AA207" s="336"/>
      <c r="AB207" s="72" t="s">
        <v>494</v>
      </c>
      <c r="AC207" s="72"/>
      <c r="AD207" s="72"/>
      <c r="AE207" s="72"/>
      <c r="AF207" s="72"/>
    </row>
    <row r="208" spans="3:37" x14ac:dyDescent="0.2">
      <c r="C208" s="1" t="str">
        <f>IF(AC208="はい","登録された販売住宅（登録住宅）を購入した場合は、その購入契約書の写し","")</f>
        <v>登録された販売住宅（登録住宅）を購入した場合は、その購入契約書の写し</v>
      </c>
      <c r="AB208" s="72" t="s">
        <v>164</v>
      </c>
      <c r="AC208" s="286" t="s">
        <v>495</v>
      </c>
      <c r="AE208" s="72" t="s">
        <v>486</v>
      </c>
      <c r="AG208" s="72"/>
      <c r="AH208" s="72"/>
      <c r="AI208" s="72"/>
      <c r="AJ208" s="72"/>
      <c r="AK208" s="72"/>
    </row>
    <row r="209" spans="1:38" x14ac:dyDescent="0.2">
      <c r="C209" s="1" t="str">
        <f>IF(B57="✔",IF(U57="","",IF(U57="その他","","とっとり健康省エネ住宅改修支援事業補助基準額等算定表")),"")</f>
        <v/>
      </c>
      <c r="AB209" s="72"/>
      <c r="AC209" s="288"/>
      <c r="AD209" s="287"/>
      <c r="AE209" s="287"/>
      <c r="AF209" s="287"/>
      <c r="AG209" s="287"/>
      <c r="AH209" s="287"/>
      <c r="AI209" s="287"/>
      <c r="AJ209" s="287"/>
      <c r="AK209" s="287"/>
      <c r="AL209" s="72"/>
    </row>
    <row r="210" spans="1:38" x14ac:dyDescent="0.2">
      <c r="C210" s="1" t="str">
        <f>IF(B57="✔",IF(U57="","",IF(U57="その他","","認定要綱第10条第１項のとっとり健康省エネ改修住宅等認定証の写し")),"")</f>
        <v/>
      </c>
    </row>
    <row r="213" spans="1:38" x14ac:dyDescent="0.2">
      <c r="A213" s="336" t="s">
        <v>391</v>
      </c>
      <c r="B213" s="336"/>
      <c r="C213" s="336"/>
      <c r="D213" s="336"/>
      <c r="E213" s="336"/>
      <c r="F213" s="336"/>
      <c r="G213" s="336"/>
      <c r="H213" s="336"/>
      <c r="I213" s="336"/>
      <c r="J213" s="336"/>
      <c r="K213" s="336"/>
      <c r="L213" s="336"/>
      <c r="M213" s="336"/>
      <c r="N213" s="336"/>
      <c r="O213" s="336"/>
      <c r="P213" s="336"/>
      <c r="Q213" s="336"/>
      <c r="R213" s="336"/>
      <c r="S213" s="336"/>
      <c r="T213" s="336"/>
      <c r="U213" s="336"/>
      <c r="V213" s="336"/>
      <c r="W213" s="336"/>
      <c r="X213" s="336"/>
      <c r="Y213" s="336"/>
      <c r="Z213" s="336"/>
      <c r="AA213" s="336"/>
    </row>
    <row r="214" spans="1:38" x14ac:dyDescent="0.2">
      <c r="A214" s="336"/>
      <c r="B214" s="336"/>
      <c r="C214" s="336"/>
      <c r="D214" s="336"/>
      <c r="E214" s="336"/>
      <c r="F214" s="336"/>
      <c r="G214" s="336"/>
      <c r="H214" s="336"/>
      <c r="I214" s="336"/>
      <c r="J214" s="336"/>
      <c r="K214" s="336"/>
      <c r="L214" s="336"/>
      <c r="M214" s="336"/>
      <c r="N214" s="336"/>
      <c r="O214" s="336"/>
      <c r="P214" s="336"/>
      <c r="Q214" s="336"/>
      <c r="R214" s="336"/>
      <c r="S214" s="336"/>
      <c r="T214" s="336"/>
      <c r="U214" s="336"/>
      <c r="V214" s="336"/>
      <c r="W214" s="336"/>
      <c r="X214" s="336"/>
      <c r="Y214" s="336"/>
      <c r="Z214" s="336"/>
      <c r="AA214" s="336"/>
    </row>
    <row r="216" spans="1:38" ht="17.25" customHeight="1" x14ac:dyDescent="0.2">
      <c r="J216" s="429" t="s">
        <v>153</v>
      </c>
      <c r="K216" s="419"/>
      <c r="L216" s="419"/>
      <c r="M216" s="419"/>
      <c r="N216" s="419"/>
      <c r="O216" s="419"/>
      <c r="P216" s="419"/>
      <c r="Q216" s="419"/>
      <c r="R216" s="419"/>
      <c r="S216" s="419"/>
      <c r="T216" s="419"/>
      <c r="U216" s="419"/>
      <c r="V216" s="419"/>
      <c r="W216" s="419"/>
      <c r="X216" s="419"/>
      <c r="Y216" s="419"/>
      <c r="Z216" s="419"/>
      <c r="AA216" s="419"/>
      <c r="AB216" s="4" t="str">
        <f>IF(P216="","←工事監理者氏名（工事監理者が不要な場合は工事施工者氏名を選択し、当該内容）を入力してください。","")</f>
        <v>←工事監理者氏名（工事監理者が不要な場合は工事施工者氏名を選択し、当該内容）を入力してください。</v>
      </c>
    </row>
    <row r="217" spans="1:38" ht="17.25" customHeight="1" x14ac:dyDescent="0.2">
      <c r="J217" s="379" t="s">
        <v>130</v>
      </c>
      <c r="K217" s="379"/>
      <c r="L217" s="379"/>
      <c r="M217" s="379"/>
      <c r="N217" s="379"/>
      <c r="O217" s="379"/>
      <c r="P217" s="419"/>
      <c r="Q217" s="419"/>
      <c r="R217" s="419"/>
      <c r="S217" s="419"/>
      <c r="T217" s="419"/>
      <c r="U217" s="419"/>
      <c r="V217" s="419"/>
      <c r="W217" s="419"/>
      <c r="X217" s="419"/>
      <c r="Y217" s="419"/>
      <c r="Z217" s="419"/>
      <c r="AA217" s="419"/>
      <c r="AB217" s="4" t="str">
        <f>IF(P217="","←建築士事務所名を入力してください。","")</f>
        <v>←建築士事務所名を入力してください。</v>
      </c>
    </row>
    <row r="218" spans="1:38" ht="17.25" customHeight="1" x14ac:dyDescent="0.2">
      <c r="J218" s="324" t="s">
        <v>131</v>
      </c>
      <c r="K218" s="325"/>
      <c r="L218" s="325"/>
      <c r="M218" s="325"/>
      <c r="N218" s="325"/>
      <c r="O218" s="326"/>
      <c r="P218" s="315" t="s">
        <v>46</v>
      </c>
      <c r="Q218" s="316"/>
      <c r="R218" s="316"/>
      <c r="S218" s="316"/>
      <c r="T218" s="319"/>
      <c r="U218" s="319"/>
      <c r="V218" s="319"/>
      <c r="W218" s="319"/>
      <c r="X218" s="319"/>
      <c r="Y218" s="319"/>
      <c r="Z218" s="319"/>
      <c r="AA218" s="320"/>
      <c r="AB218" s="4" t="str">
        <f>IF(T218="","←建築士事務所の登録区分を選択（１級、２級、木造）してください。","")</f>
        <v>←建築士事務所の登録区分を選択（１級、２級、木造）してください。</v>
      </c>
    </row>
    <row r="219" spans="1:38" ht="17.25" customHeight="1" x14ac:dyDescent="0.2">
      <c r="J219" s="366"/>
      <c r="K219" s="337"/>
      <c r="L219" s="337"/>
      <c r="M219" s="337"/>
      <c r="N219" s="337"/>
      <c r="O219" s="432"/>
      <c r="P219" s="315" t="s">
        <v>132</v>
      </c>
      <c r="Q219" s="316"/>
      <c r="R219" s="316"/>
      <c r="S219" s="316"/>
      <c r="T219" s="319"/>
      <c r="U219" s="319"/>
      <c r="V219" s="319"/>
      <c r="W219" s="319"/>
      <c r="X219" s="319"/>
      <c r="Y219" s="319"/>
      <c r="Z219" s="316" t="s">
        <v>133</v>
      </c>
      <c r="AA219" s="317"/>
      <c r="AB219" s="4" t="str">
        <f>IF(T219="","←建築士事務所の登録を受けた都道府県名入力してください。","")</f>
        <v>←建築士事務所の登録を受けた都道府県名入力してください。</v>
      </c>
    </row>
    <row r="220" spans="1:38" ht="17.25" customHeight="1" x14ac:dyDescent="0.2">
      <c r="J220" s="327"/>
      <c r="K220" s="328"/>
      <c r="L220" s="328"/>
      <c r="M220" s="328"/>
      <c r="N220" s="328"/>
      <c r="O220" s="329"/>
      <c r="P220" s="315" t="s">
        <v>134</v>
      </c>
      <c r="Q220" s="316"/>
      <c r="R220" s="316"/>
      <c r="S220" s="316"/>
      <c r="T220" s="433"/>
      <c r="U220" s="433"/>
      <c r="V220" s="433"/>
      <c r="W220" s="433"/>
      <c r="X220" s="433"/>
      <c r="Y220" s="433"/>
      <c r="Z220" s="433"/>
      <c r="AA220" s="434"/>
      <c r="AB220" s="4" t="str">
        <f>IF(T220="","←建築士事務所の登録番号を入力してください。","")</f>
        <v>←建築士事務所の登録番号を入力してください。</v>
      </c>
    </row>
    <row r="221" spans="1:38" x14ac:dyDescent="0.2">
      <c r="A221" s="1" t="s">
        <v>135</v>
      </c>
    </row>
    <row r="222" spans="1:38" ht="26.25" customHeight="1" x14ac:dyDescent="0.2">
      <c r="A222" s="336" t="s">
        <v>152</v>
      </c>
      <c r="B222" s="336"/>
      <c r="C222" s="336"/>
      <c r="D222" s="336"/>
      <c r="E222" s="336"/>
      <c r="F222" s="336"/>
      <c r="G222" s="336"/>
      <c r="H222" s="336"/>
      <c r="I222" s="336"/>
      <c r="J222" s="336"/>
      <c r="K222" s="336"/>
      <c r="L222" s="336"/>
      <c r="M222" s="336"/>
      <c r="N222" s="336"/>
      <c r="O222" s="336"/>
      <c r="P222" s="336"/>
      <c r="Q222" s="336"/>
      <c r="R222" s="336"/>
      <c r="S222" s="336"/>
      <c r="T222" s="336"/>
      <c r="U222" s="336"/>
      <c r="V222" s="336"/>
      <c r="W222" s="336"/>
      <c r="X222" s="336"/>
      <c r="Y222" s="336"/>
      <c r="Z222" s="336"/>
      <c r="AA222" s="336"/>
    </row>
  </sheetData>
  <sheetProtection algorithmName="SHA-512" hashValue="C/4hRHXEG67octgwvzioZgDqtP4wOKEHDUwcT59CqdLlWu/fb8LsOJAaQFkO1cTiOQ4gPr7cDwN+pumEmVAYNA==" saltValue="CS1jROHpRa0mlqIzS172Yw==" spinCount="100000" sheet="1" selectLockedCells="1"/>
  <mergeCells count="170">
    <mergeCell ref="U87:X88"/>
    <mergeCell ref="Y87:AA88"/>
    <mergeCell ref="D63:O63"/>
    <mergeCell ref="Q87:T87"/>
    <mergeCell ref="D88:P88"/>
    <mergeCell ref="D87:P87"/>
    <mergeCell ref="Q88:T88"/>
    <mergeCell ref="A222:AA222"/>
    <mergeCell ref="Y168:AA169"/>
    <mergeCell ref="Y170:Z170"/>
    <mergeCell ref="H151:X151"/>
    <mergeCell ref="Q106:AA107"/>
    <mergeCell ref="J218:O220"/>
    <mergeCell ref="P218:S218"/>
    <mergeCell ref="T218:AA218"/>
    <mergeCell ref="P219:S219"/>
    <mergeCell ref="T219:Y219"/>
    <mergeCell ref="Z219:AA219"/>
    <mergeCell ref="P220:S220"/>
    <mergeCell ref="T220:AA220"/>
    <mergeCell ref="C204:AA204"/>
    <mergeCell ref="C206:AA206"/>
    <mergeCell ref="C207:AA207"/>
    <mergeCell ref="O131:Z131"/>
    <mergeCell ref="H132:N132"/>
    <mergeCell ref="O132:Z132"/>
    <mergeCell ref="H130:N130"/>
    <mergeCell ref="O130:Z130"/>
    <mergeCell ref="D181:S181"/>
    <mergeCell ref="T181:V181"/>
    <mergeCell ref="Y163:Z163"/>
    <mergeCell ref="J216:O216"/>
    <mergeCell ref="P216:AA216"/>
    <mergeCell ref="J217:O217"/>
    <mergeCell ref="P217:AA217"/>
    <mergeCell ref="N152:P152"/>
    <mergeCell ref="Y151:AA152"/>
    <mergeCell ref="H167:O167"/>
    <mergeCell ref="P167:AA167"/>
    <mergeCell ref="A213:AA214"/>
    <mergeCell ref="H158:X158"/>
    <mergeCell ref="R159:U159"/>
    <mergeCell ref="H164:AA166"/>
    <mergeCell ref="C200:AA200"/>
    <mergeCell ref="N159:P159"/>
    <mergeCell ref="C199:AA199"/>
    <mergeCell ref="C203:AA203"/>
    <mergeCell ref="H169:X169"/>
    <mergeCell ref="D180:S180"/>
    <mergeCell ref="T180:V180"/>
    <mergeCell ref="A11:AA12"/>
    <mergeCell ref="C112:N113"/>
    <mergeCell ref="Q112:AA113"/>
    <mergeCell ref="Y103:Z103"/>
    <mergeCell ref="Y101:AA102"/>
    <mergeCell ref="Y121:Z121"/>
    <mergeCell ref="Y119:AA120"/>
    <mergeCell ref="C116:Z117"/>
    <mergeCell ref="Q89:T89"/>
    <mergeCell ref="Y91:Z91"/>
    <mergeCell ref="N42:Q42"/>
    <mergeCell ref="I41:M41"/>
    <mergeCell ref="D51:H51"/>
    <mergeCell ref="E89:P89"/>
    <mergeCell ref="C14:F14"/>
    <mergeCell ref="H14:I14"/>
    <mergeCell ref="B84:AA84"/>
    <mergeCell ref="U89:X89"/>
    <mergeCell ref="O37:R37"/>
    <mergeCell ref="V39:W39"/>
    <mergeCell ref="R38:U38"/>
    <mergeCell ref="D41:H42"/>
    <mergeCell ref="I46:X46"/>
    <mergeCell ref="N41:Q41"/>
    <mergeCell ref="D37:H37"/>
    <mergeCell ref="P62:T62"/>
    <mergeCell ref="U62:Z62"/>
    <mergeCell ref="B130:G130"/>
    <mergeCell ref="C141:AA142"/>
    <mergeCell ref="H131:N131"/>
    <mergeCell ref="Y89:Z89"/>
    <mergeCell ref="I47:X47"/>
    <mergeCell ref="C76:AA77"/>
    <mergeCell ref="I48:X48"/>
    <mergeCell ref="D52:H52"/>
    <mergeCell ref="I52:N52"/>
    <mergeCell ref="O52:S52"/>
    <mergeCell ref="T52:Y52"/>
    <mergeCell ref="D53:N53"/>
    <mergeCell ref="O53:Q53"/>
    <mergeCell ref="S53:T53"/>
    <mergeCell ref="V53:W53"/>
    <mergeCell ref="P63:T63"/>
    <mergeCell ref="U63:Z63"/>
    <mergeCell ref="D64:O64"/>
    <mergeCell ref="P64:T64"/>
    <mergeCell ref="U64:Z64"/>
    <mergeCell ref="C97:AA98"/>
    <mergeCell ref="V41:W41"/>
    <mergeCell ref="C198:AA198"/>
    <mergeCell ref="D43:H43"/>
    <mergeCell ref="I43:X43"/>
    <mergeCell ref="C202:AA202"/>
    <mergeCell ref="L38:L39"/>
    <mergeCell ref="S41:T41"/>
    <mergeCell ref="O51:S51"/>
    <mergeCell ref="T51:Y51"/>
    <mergeCell ref="S42:T42"/>
    <mergeCell ref="Y90:Z90"/>
    <mergeCell ref="D40:H40"/>
    <mergeCell ref="I40:X40"/>
    <mergeCell ref="C201:AA201"/>
    <mergeCell ref="K176:M177"/>
    <mergeCell ref="N170:P170"/>
    <mergeCell ref="H168:O168"/>
    <mergeCell ref="H147:AA150"/>
    <mergeCell ref="D65:O65"/>
    <mergeCell ref="P65:T65"/>
    <mergeCell ref="U65:Z65"/>
    <mergeCell ref="D66:O66"/>
    <mergeCell ref="P66:T66"/>
    <mergeCell ref="U66:Z66"/>
    <mergeCell ref="N18:Z18"/>
    <mergeCell ref="N19:Z19"/>
    <mergeCell ref="N17:Z17"/>
    <mergeCell ref="O16:Z16"/>
    <mergeCell ref="C26:AA27"/>
    <mergeCell ref="A22:AA22"/>
    <mergeCell ref="C171:AA173"/>
    <mergeCell ref="Q109:AA110"/>
    <mergeCell ref="Y138:AA139"/>
    <mergeCell ref="B139:X140"/>
    <mergeCell ref="D67:O67"/>
    <mergeCell ref="P67:T67"/>
    <mergeCell ref="U67:Z67"/>
    <mergeCell ref="Y140:Z140"/>
    <mergeCell ref="Y153:Z153"/>
    <mergeCell ref="Y161:AA162"/>
    <mergeCell ref="E90:P90"/>
    <mergeCell ref="C109:N110"/>
    <mergeCell ref="B131:G132"/>
    <mergeCell ref="V159:Z159"/>
    <mergeCell ref="D62:O62"/>
    <mergeCell ref="W37:X37"/>
    <mergeCell ref="V42:W42"/>
    <mergeCell ref="S37:V37"/>
    <mergeCell ref="A9:AA9"/>
    <mergeCell ref="U90:X90"/>
    <mergeCell ref="Q90:T90"/>
    <mergeCell ref="D80:H80"/>
    <mergeCell ref="I80:X80"/>
    <mergeCell ref="I36:X36"/>
    <mergeCell ref="D35:H36"/>
    <mergeCell ref="I35:L35"/>
    <mergeCell ref="M35:X35"/>
    <mergeCell ref="I37:N37"/>
    <mergeCell ref="M38:Q39"/>
    <mergeCell ref="D38:H39"/>
    <mergeCell ref="I38:K39"/>
    <mergeCell ref="D48:H48"/>
    <mergeCell ref="D47:H47"/>
    <mergeCell ref="D46:H46"/>
    <mergeCell ref="I51:N51"/>
    <mergeCell ref="I42:M42"/>
    <mergeCell ref="C28:AA28"/>
    <mergeCell ref="C30:AA31"/>
    <mergeCell ref="U57:Z57"/>
    <mergeCell ref="V38:W38"/>
    <mergeCell ref="R39:U39"/>
    <mergeCell ref="K14:L14"/>
  </mergeCells>
  <phoneticPr fontId="1"/>
  <conditionalFormatting sqref="B26">
    <cfRule type="containsBlanks" dxfId="71" priority="187">
      <formula>LEN(TRIM(B26))=0</formula>
    </cfRule>
  </conditionalFormatting>
  <conditionalFormatting sqref="B30">
    <cfRule type="containsBlanks" dxfId="70" priority="47">
      <formula>LEN(TRIM(B30))=0</formula>
    </cfRule>
  </conditionalFormatting>
  <conditionalFormatting sqref="B45">
    <cfRule type="containsBlanks" dxfId="69" priority="46">
      <formula>LEN(TRIM(B45))=0</formula>
    </cfRule>
  </conditionalFormatting>
  <conditionalFormatting sqref="B50">
    <cfRule type="containsBlanks" dxfId="68" priority="24">
      <formula>LEN(TRIM(B50))=0</formula>
    </cfRule>
  </conditionalFormatting>
  <conditionalFormatting sqref="B55">
    <cfRule type="containsBlanks" dxfId="67" priority="44">
      <formula>LEN(TRIM(B55))=0</formula>
    </cfRule>
  </conditionalFormatting>
  <conditionalFormatting sqref="B57">
    <cfRule type="containsBlanks" dxfId="66" priority="5">
      <formula>LEN(TRIM(B57))=0</formula>
    </cfRule>
  </conditionalFormatting>
  <conditionalFormatting sqref="B69">
    <cfRule type="containsBlanks" dxfId="65" priority="17">
      <formula>LEN(TRIM(B69))=0</formula>
    </cfRule>
  </conditionalFormatting>
  <conditionalFormatting sqref="B71">
    <cfRule type="containsBlanks" dxfId="64" priority="43">
      <formula>LEN(TRIM(B71))=0</formula>
    </cfRule>
  </conditionalFormatting>
  <conditionalFormatting sqref="B73">
    <cfRule type="containsBlanks" dxfId="63" priority="19">
      <formula>LEN(TRIM(B73))=0</formula>
    </cfRule>
  </conditionalFormatting>
  <conditionalFormatting sqref="B76">
    <cfRule type="containsBlanks" dxfId="62" priority="42">
      <formula>LEN(TRIM(B76))=0</formula>
    </cfRule>
  </conditionalFormatting>
  <conditionalFormatting sqref="B79">
    <cfRule type="containsBlanks" dxfId="61" priority="41">
      <formula>LEN(TRIM(B79))=0</formula>
    </cfRule>
  </conditionalFormatting>
  <conditionalFormatting sqref="B83">
    <cfRule type="containsBlanks" dxfId="60" priority="40">
      <formula>LEN(TRIM(B83))=0</formula>
    </cfRule>
  </conditionalFormatting>
  <conditionalFormatting sqref="B105">
    <cfRule type="containsBlanks" dxfId="59" priority="39">
      <formula>LEN(TRIM(B105))=0</formula>
    </cfRule>
  </conditionalFormatting>
  <conditionalFormatting sqref="B122">
    <cfRule type="containsBlanks" dxfId="58" priority="34">
      <formula>LEN(TRIM(B122))=0</formula>
    </cfRule>
  </conditionalFormatting>
  <conditionalFormatting sqref="B125">
    <cfRule type="containsBlanks" dxfId="57" priority="33">
      <formula>LEN(TRIM(B125))=0</formula>
    </cfRule>
  </conditionalFormatting>
  <conditionalFormatting sqref="B127">
    <cfRule type="containsBlanks" dxfId="56" priority="32">
      <formula>LEN(TRIM(B127))=0</formula>
    </cfRule>
  </conditionalFormatting>
  <conditionalFormatting sqref="B144">
    <cfRule type="containsBlanks" dxfId="55" priority="31">
      <formula>LEN(TRIM(B144))=0</formula>
    </cfRule>
  </conditionalFormatting>
  <conditionalFormatting sqref="B147">
    <cfRule type="containsBlanks" dxfId="54" priority="30">
      <formula>LEN(TRIM(B147))=0</formula>
    </cfRule>
  </conditionalFormatting>
  <conditionalFormatting sqref="B155">
    <cfRule type="containsBlanks" dxfId="53" priority="27">
      <formula>LEN(TRIM(B155))=0</formula>
    </cfRule>
  </conditionalFormatting>
  <conditionalFormatting sqref="B164">
    <cfRule type="containsBlanks" dxfId="52" priority="28">
      <formula>LEN(TRIM(B164))=0</formula>
    </cfRule>
  </conditionalFormatting>
  <conditionalFormatting sqref="C14:F14">
    <cfRule type="containsBlanks" dxfId="51" priority="96">
      <formula>LEN(TRIM(C14))=0</formula>
    </cfRule>
  </conditionalFormatting>
  <conditionalFormatting sqref="D63:Z67">
    <cfRule type="cellIs" dxfId="50" priority="8" operator="equal">
      <formula>""</formula>
    </cfRule>
  </conditionalFormatting>
  <conditionalFormatting sqref="H14">
    <cfRule type="containsBlanks" dxfId="49" priority="98">
      <formula>LEN(TRIM(H14))=0</formula>
    </cfRule>
  </conditionalFormatting>
  <conditionalFormatting sqref="I51:N52">
    <cfRule type="containsBlanks" dxfId="48" priority="23">
      <formula>LEN(TRIM(I51))=0</formula>
    </cfRule>
  </conditionalFormatting>
  <conditionalFormatting sqref="I43:X43">
    <cfRule type="expression" dxfId="47" priority="56">
      <formula>AND($I$40="その他",$I$43="")</formula>
    </cfRule>
  </conditionalFormatting>
  <conditionalFormatting sqref="I61:X61">
    <cfRule type="expression" dxfId="46" priority="3">
      <formula>AND($I$42="その他",#REF!="")</formula>
    </cfRule>
  </conditionalFormatting>
  <conditionalFormatting sqref="I80:X80">
    <cfRule type="containsBlanks" dxfId="45" priority="49">
      <formula>LEN(TRIM(I80))=0</formula>
    </cfRule>
  </conditionalFormatting>
  <conditionalFormatting sqref="K14">
    <cfRule type="containsBlanks" dxfId="44" priority="97">
      <formula>LEN(TRIM(K14))=0</formula>
    </cfRule>
  </conditionalFormatting>
  <conditionalFormatting sqref="N152:P152">
    <cfRule type="containsBlanks" dxfId="43" priority="188">
      <formula>LEN(TRIM(N152))=0</formula>
    </cfRule>
  </conditionalFormatting>
  <conditionalFormatting sqref="N159:P159">
    <cfRule type="containsBlanks" dxfId="42" priority="189">
      <formula>LEN(TRIM(N159))=0</formula>
    </cfRule>
  </conditionalFormatting>
  <conditionalFormatting sqref="N170:P170">
    <cfRule type="containsBlanks" dxfId="41" priority="190">
      <formula>LEN(TRIM(N170))=0</formula>
    </cfRule>
  </conditionalFormatting>
  <conditionalFormatting sqref="N41:Q42">
    <cfRule type="containsBlanks" dxfId="40" priority="82">
      <formula>LEN(TRIM(N41))=0</formula>
    </cfRule>
  </conditionalFormatting>
  <conditionalFormatting sqref="O53">
    <cfRule type="containsBlanks" dxfId="39" priority="21">
      <formula>LEN(TRIM(O53))=0</formula>
    </cfRule>
  </conditionalFormatting>
  <conditionalFormatting sqref="O16:Z16 N17:Z19 M35 I36:I38 I40:X40 I46:X48">
    <cfRule type="containsBlanks" dxfId="38" priority="182">
      <formula>LEN(TRIM(I16))=0</formula>
    </cfRule>
  </conditionalFormatting>
  <conditionalFormatting sqref="O130:Z132">
    <cfRule type="containsBlanks" dxfId="37" priority="1">
      <formula>LEN(TRIM(O130))=0</formula>
    </cfRule>
  </conditionalFormatting>
  <conditionalFormatting sqref="P62:P67">
    <cfRule type="expression" dxfId="36" priority="9">
      <formula>AND($I$40="その他",#REF!="")</formula>
    </cfRule>
  </conditionalFormatting>
  <conditionalFormatting sqref="P105">
    <cfRule type="containsBlanks" dxfId="35" priority="38">
      <formula>LEN(TRIM(P105))=0</formula>
    </cfRule>
  </conditionalFormatting>
  <conditionalFormatting sqref="P216:AA217">
    <cfRule type="containsBlanks" dxfId="34" priority="59">
      <formula>LEN(TRIM(P216))=0</formula>
    </cfRule>
  </conditionalFormatting>
  <conditionalFormatting sqref="Q88:Q90">
    <cfRule type="containsBlanks" dxfId="33" priority="48">
      <formula>LEN(TRIM(Q88))=0</formula>
    </cfRule>
  </conditionalFormatting>
  <conditionalFormatting sqref="R159:U159">
    <cfRule type="containsBlanks" dxfId="32" priority="54">
      <formula>LEN(TRIM(R159))=0</formula>
    </cfRule>
  </conditionalFormatting>
  <conditionalFormatting sqref="S37">
    <cfRule type="containsBlanks" dxfId="31" priority="106">
      <formula>LEN(TRIM(S37))=0</formula>
    </cfRule>
  </conditionalFormatting>
  <conditionalFormatting sqref="S41:S42 V41:V42">
    <cfRule type="containsBlanks" dxfId="30" priority="83">
      <formula>LEN(TRIM(S41))=0</formula>
    </cfRule>
  </conditionalFormatting>
  <conditionalFormatting sqref="S53 V53">
    <cfRule type="containsBlanks" dxfId="29" priority="20">
      <formula>LEN(TRIM(S53))=0</formula>
    </cfRule>
  </conditionalFormatting>
  <conditionalFormatting sqref="T51:Y52">
    <cfRule type="containsBlanks" dxfId="28" priority="22">
      <formula>LEN(TRIM(T51))=0</formula>
    </cfRule>
  </conditionalFormatting>
  <conditionalFormatting sqref="T218:AA218 T219 Z219 T220:AA220">
    <cfRule type="containsBlanks" dxfId="27" priority="58">
      <formula>LEN(TRIM(T218))=0</formula>
    </cfRule>
  </conditionalFormatting>
  <conditionalFormatting sqref="U62:U67">
    <cfRule type="expression" dxfId="26" priority="10">
      <formula>AND($I$40="その他",#REF!="")</formula>
    </cfRule>
  </conditionalFormatting>
  <conditionalFormatting sqref="U87:X90">
    <cfRule type="expression" dxfId="25" priority="159">
      <formula>$I$37="併用住宅"</formula>
    </cfRule>
  </conditionalFormatting>
  <conditionalFormatting sqref="U89:X89">
    <cfRule type="expression" dxfId="24" priority="163">
      <formula>AND($I$37="併用住宅",$U$89="")</formula>
    </cfRule>
  </conditionalFormatting>
  <conditionalFormatting sqref="U90:X90">
    <cfRule type="expression" dxfId="23" priority="186">
      <formula>AND($I$37="併用住宅",#REF!="")</formula>
    </cfRule>
  </conditionalFormatting>
  <conditionalFormatting sqref="U57:Z57">
    <cfRule type="cellIs" dxfId="22" priority="4" operator="equal">
      <formula>""</formula>
    </cfRule>
  </conditionalFormatting>
  <conditionalFormatting sqref="V38:W38">
    <cfRule type="expression" dxfId="21" priority="170">
      <formula>AND($I$37="併用住宅",$V$38="")</formula>
    </cfRule>
  </conditionalFormatting>
  <conditionalFormatting sqref="V39:W39">
    <cfRule type="expression" dxfId="20" priority="169">
      <formula>AND($I$37="併用住宅",$V$39="")</formula>
    </cfRule>
  </conditionalFormatting>
  <conditionalFormatting sqref="V159:Z159">
    <cfRule type="expression" dxfId="19" priority="50">
      <formula>AND($R$159="その他のこて塗り",$V$159="")</formula>
    </cfRule>
    <cfRule type="expression" dxfId="18" priority="51">
      <formula>"$R$158=""その他のこて塗り"""</formula>
    </cfRule>
  </conditionalFormatting>
  <dataValidations count="18">
    <dataValidation type="list" allowBlank="1" showInputMessage="1" showErrorMessage="1" sqref="I52:N52 T52:Y52" xr:uid="{00000000-0002-0000-0000-000000000000}">
      <formula1>"有,無,"</formula1>
    </dataValidation>
    <dataValidation type="list" allowBlank="1" showInputMessage="1" showErrorMessage="1" sqref="I40:X40" xr:uid="{00000000-0002-0000-0000-000001000000}">
      <formula1>"在来軸組工法,伝統工法,その他"</formula1>
    </dataValidation>
    <dataValidation type="decimal" operator="greaterThanOrEqual" allowBlank="1" showInputMessage="1" showErrorMessage="1" errorTitle="エラー" error="0.1以上の数値を入力してください。（0.1未満の数値や数値以外の内容は入力できません。）" sqref="Q88:T88" xr:uid="{00000000-0002-0000-0000-000002000000}">
      <formula1>0.1</formula1>
    </dataValidation>
    <dataValidation type="decimal" allowBlank="1" showInputMessage="1" showErrorMessage="1" errorTitle="エラー" error="0.3以上の数値を入力してください。（0.3未満は補助対象外です。_x000a_また数値以外の内容は入力できません。）" sqref="Q89:T89" xr:uid="{00000000-0002-0000-0000-000003000000}">
      <formula1>0.3</formula1>
      <formula2>Q88</formula2>
    </dataValidation>
    <dataValidation type="list" allowBlank="1" showInputMessage="1" showErrorMessage="1" sqref="M35:X35" xr:uid="{00000000-0002-0000-0000-000004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4:I14 S41:T42 S53:T53" xr:uid="{00000000-0002-0000-0000-000005000000}">
      <formula1>"1,2,3,4,5,6,7,8,9,10,11,12,"</formula1>
    </dataValidation>
    <dataValidation type="list" allowBlank="1" showInputMessage="1" showErrorMessage="1" sqref="K14:L14" xr:uid="{00000000-0002-0000-0000-000006000000}">
      <formula1>"1,2,3,4,5,6,7,8,9,10,11,12,13,14,15,16,17,18,19,20,21,22,23,24,25,26,27,28,29,30,31, "</formula1>
    </dataValidation>
    <dataValidation type="list" allowBlank="1" showInputMessage="1" showErrorMessage="1" sqref="C14:F14 N41:Q42 O53" xr:uid="{00000000-0002-0000-0000-000007000000}">
      <formula1>"2,3,4,5,6,7,8,9,10,"</formula1>
    </dataValidation>
    <dataValidation type="list" allowBlank="1" showInputMessage="1" showErrorMessage="1" sqref="I51:N51 T51:Y51" xr:uid="{00000000-0002-0000-0000-000008000000}">
      <formula1>"要,不要,"</formula1>
    </dataValidation>
    <dataValidation type="list" allowBlank="1" showInputMessage="1" showErrorMessage="1" sqref="V41:W42 V53:W53" xr:uid="{00000000-0002-0000-0000-000009000000}">
      <formula1>"1,2,3,4,5,6,7,8,9,10,11,12,13,14,15,16,17,18,19,20,21,22,23,24,25,26,27,28,29,30,31,"</formula1>
    </dataValidation>
    <dataValidation type="list" allowBlank="1" showInputMessage="1" showErrorMessage="1" sqref="I37:N37" xr:uid="{00000000-0002-0000-0000-00000A000000}">
      <formula1>"増築,改築,修繕,模様替"</formula1>
    </dataValidation>
    <dataValidation type="list" allowBlank="1" showInputMessage="1" showErrorMessage="1" sqref="B26 B127 B30 B45 B76 B55 B73 B79 B83 B105 P105 B122 B125 B164 B144 B147 B155 B50 B71 B69 B57" xr:uid="{00000000-0002-0000-0000-00000B000000}">
      <formula1>"✔,"</formula1>
    </dataValidation>
    <dataValidation type="list" allowBlank="1" showInputMessage="1" showErrorMessage="1" sqref="T218:AA218" xr:uid="{00000000-0002-0000-0000-00000C000000}">
      <formula1>"一級建築士事務所,二級建築士事務所,木造建築士事務所"</formula1>
    </dataValidation>
    <dataValidation type="list" allowBlank="1" showInputMessage="1" showErrorMessage="1" sqref="R159:U159" xr:uid="{00000000-0002-0000-0000-00000D000000}">
      <formula1>"モルタル塗,漆喰塗,土壁塗,そとん壁,じゅらく塗,珪藻土塗,その他のこて塗り"</formula1>
    </dataValidation>
    <dataValidation type="list" allowBlank="1" showInputMessage="1" showErrorMessage="1" sqref="J216:O216" xr:uid="{00000000-0002-0000-0000-00000E000000}">
      <formula1>"工事監理者氏名,工事施工者氏名"</formula1>
    </dataValidation>
    <dataValidation type="whole" allowBlank="1" showInputMessage="1" showErrorMessage="1" error="1以上が補助対象です。整数値以外入力不可です。" sqref="Q90:T90" xr:uid="{00000000-0002-0000-0000-00000F000000}">
      <formula1>1</formula1>
      <formula2>10000</formula2>
    </dataValidation>
    <dataValidation type="list" allowBlank="1" showInputMessage="1" showErrorMessage="1" sqref="AC208" xr:uid="{00000000-0002-0000-0000-000010000000}">
      <formula1>"はい,いいえ"</formula1>
    </dataValidation>
    <dataValidation type="list" allowBlank="1" showInputMessage="1" showErrorMessage="1" sqref="U57:Z57" xr:uid="{2158611E-1B68-4000-9B32-D62245B7C886}">
      <formula1>"Re NE-ST,ゾーン改修,国省エネ基準改修,その他"</formula1>
    </dataValidation>
  </dataValidations>
  <pageMargins left="0.70866141732283472" right="0.70866141732283472" top="0.35433070866141736" bottom="0.35433070866141736" header="0.31496062992125984" footer="0.31496062992125984"/>
  <pageSetup paperSize="9" orientation="portrait" horizontalDpi="1200" verticalDpi="1200" r:id="rId1"/>
  <rowBreaks count="3" manualBreakCount="3">
    <brk id="74" max="26" man="1"/>
    <brk id="137" max="26" man="1"/>
    <brk id="175" max="16383" man="1"/>
  </rowBreaks>
  <colBreaks count="1" manualBreakCount="1">
    <brk id="27" min="6" max="202"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0FB2-2962-4A73-991E-CE1F5157B363}">
  <sheetPr>
    <tabColor rgb="FFFFFF00"/>
  </sheetPr>
  <dimension ref="B1:J19"/>
  <sheetViews>
    <sheetView workbookViewId="0">
      <selection activeCell="B12" sqref="B12"/>
    </sheetView>
  </sheetViews>
  <sheetFormatPr defaultColWidth="9" defaultRowHeight="13.2" x14ac:dyDescent="0.2"/>
  <cols>
    <col min="1" max="1" width="2" style="73" customWidth="1"/>
    <col min="2" max="2" width="18.6640625" style="73" customWidth="1"/>
    <col min="3" max="4" width="15.44140625" style="73" customWidth="1"/>
    <col min="5" max="5" width="6.77734375" style="73" customWidth="1"/>
    <col min="6" max="6" width="20.109375" style="73" customWidth="1"/>
    <col min="7" max="8" width="15.44140625" style="73" customWidth="1"/>
    <col min="9" max="9" width="5.33203125" style="73" customWidth="1"/>
    <col min="10" max="10" width="19.77734375" style="73" customWidth="1"/>
    <col min="11" max="11" width="1" style="73" customWidth="1"/>
    <col min="12" max="16384" width="9" style="73"/>
  </cols>
  <sheetData>
    <row r="1" spans="2:10" ht="44.25" customHeight="1" x14ac:dyDescent="0.2">
      <c r="B1" s="435" t="s">
        <v>417</v>
      </c>
      <c r="C1" s="435"/>
      <c r="D1" s="435"/>
      <c r="F1" s="74" t="s">
        <v>181</v>
      </c>
      <c r="J1" s="75" t="s">
        <v>178</v>
      </c>
    </row>
    <row r="2" spans="2:10" x14ac:dyDescent="0.2">
      <c r="B2" s="80" t="s">
        <v>46</v>
      </c>
      <c r="C2" s="80" t="s">
        <v>170</v>
      </c>
      <c r="D2" s="80" t="s">
        <v>158</v>
      </c>
      <c r="F2" s="80" t="s">
        <v>46</v>
      </c>
      <c r="G2" s="80" t="s">
        <v>170</v>
      </c>
      <c r="H2" s="80" t="s">
        <v>172</v>
      </c>
      <c r="J2" s="80" t="s">
        <v>173</v>
      </c>
    </row>
    <row r="3" spans="2:10" x14ac:dyDescent="0.2">
      <c r="B3" s="76" t="s">
        <v>166</v>
      </c>
      <c r="C3" s="77"/>
      <c r="D3" s="77"/>
      <c r="F3" s="76" t="s">
        <v>166</v>
      </c>
      <c r="G3" s="78">
        <f>IF(【様式第６号の２】事業報告書兼チェックシート!Y91="",0,【様式第６号の２】事業報告書兼チェックシート!Y91*10000)</f>
        <v>0</v>
      </c>
      <c r="H3" s="78">
        <f>IF(【様式第６号の２】事業報告書兼チェックシート!Y91="",0,【様式第６号の２】事業報告書兼チェックシート!Y91*10000)</f>
        <v>0</v>
      </c>
      <c r="J3" s="79">
        <f>IF(H3="","",MIN(D3,H3))</f>
        <v>0</v>
      </c>
    </row>
    <row r="4" spans="2:10" x14ac:dyDescent="0.2">
      <c r="B4" s="76" t="s">
        <v>403</v>
      </c>
      <c r="C4" s="77"/>
      <c r="D4" s="77"/>
      <c r="F4" s="76" t="s">
        <v>403</v>
      </c>
      <c r="G4" s="78">
        <f>IF(【様式第６号の２】事業報告書兼チェックシート!Y140="",0,【様式第６号の２】事業報告書兼チェックシート!Y140*10000)</f>
        <v>0</v>
      </c>
      <c r="H4" s="78">
        <f>IF(【様式第６号の２】事業報告書兼チェックシート!Y140="",0,【様式第６号の２】事業報告書兼チェックシート!Y140*10000)</f>
        <v>0</v>
      </c>
      <c r="J4" s="79">
        <f>IF(H4="","",MIN(D4,H4))</f>
        <v>0</v>
      </c>
    </row>
    <row r="5" spans="2:10" x14ac:dyDescent="0.2">
      <c r="B5" s="76" t="s">
        <v>168</v>
      </c>
      <c r="C5" s="77"/>
      <c r="D5" s="77"/>
      <c r="F5" s="76" t="s">
        <v>168</v>
      </c>
      <c r="G5" s="78">
        <f>IF(【様式第６号の２】事業報告書兼チェックシート!Y103="",0,【様式第６号の２】事業報告書兼チェックシート!Y103*10000)</f>
        <v>0</v>
      </c>
      <c r="H5" s="78">
        <f>IF(【様式第６号の２】事業報告書兼チェックシート!Y103="",0,【様式第６号の２】事業報告書兼チェックシート!Y103*10000)</f>
        <v>0</v>
      </c>
      <c r="J5" s="79">
        <f t="shared" ref="J5:J6" si="0">IF(H5="","",MIN(D5,H5))</f>
        <v>0</v>
      </c>
    </row>
    <row r="6" spans="2:10" x14ac:dyDescent="0.2">
      <c r="B6" s="76" t="s">
        <v>169</v>
      </c>
      <c r="C6" s="77"/>
      <c r="D6" s="77"/>
      <c r="F6" s="76" t="s">
        <v>169</v>
      </c>
      <c r="G6" s="78">
        <f>IF(【様式第６号の２】事業報告書兼チェックシート!Y121="",0,【様式第６号の２】事業報告書兼チェックシート!Y121*10000)</f>
        <v>0</v>
      </c>
      <c r="H6" s="78">
        <f>IF(【様式第６号の２】事業報告書兼チェックシート!Y121="",0,【様式第６号の２】事業報告書兼チェックシート!Y121*10000)</f>
        <v>0</v>
      </c>
      <c r="J6" s="79">
        <f t="shared" si="0"/>
        <v>0</v>
      </c>
    </row>
    <row r="8" spans="2:10" x14ac:dyDescent="0.2">
      <c r="C8" s="80" t="s">
        <v>174</v>
      </c>
      <c r="D8" s="80" t="s">
        <v>158</v>
      </c>
      <c r="G8" s="80" t="s">
        <v>174</v>
      </c>
      <c r="H8" s="80" t="s">
        <v>158</v>
      </c>
    </row>
    <row r="9" spans="2:10" x14ac:dyDescent="0.2">
      <c r="C9" s="79" t="str">
        <f>IF(C3=0,"",SUM(C3:C6))</f>
        <v/>
      </c>
      <c r="D9" s="79" t="str">
        <f>IF(D3=0,"",MIN(500000,SUM(D3:D6),ROUNDDOWN(B12*10000/2,-3)))</f>
        <v/>
      </c>
      <c r="G9" s="79" t="str">
        <f>IF(G3=0,"",SUM(G3:G6))</f>
        <v/>
      </c>
      <c r="H9" s="79" t="str">
        <f>IF(H3=0,"",MIN(SUM(J3:J6),500000,ROUNDDOWN(F12*10000/2,-3),D9))</f>
        <v/>
      </c>
    </row>
    <row r="11" spans="2:10" x14ac:dyDescent="0.2">
      <c r="B11" s="73" t="s">
        <v>175</v>
      </c>
      <c r="F11" s="73" t="s">
        <v>177</v>
      </c>
    </row>
    <row r="12" spans="2:10" x14ac:dyDescent="0.2">
      <c r="B12" s="81"/>
      <c r="C12" s="73" t="s">
        <v>0</v>
      </c>
      <c r="F12" s="82" t="str">
        <f>IF(【様式第６号の２】事業報告書兼チェックシート!S37="","",【様式第６号の２】事業報告書兼チェックシート!S37)</f>
        <v/>
      </c>
      <c r="G12" s="73" t="s">
        <v>0</v>
      </c>
    </row>
    <row r="13" spans="2:10" x14ac:dyDescent="0.2">
      <c r="B13" s="436" t="s">
        <v>180</v>
      </c>
      <c r="C13" s="436"/>
      <c r="D13" s="436"/>
      <c r="F13" s="73" t="s">
        <v>176</v>
      </c>
    </row>
    <row r="14" spans="2:10" x14ac:dyDescent="0.2">
      <c r="B14" s="436"/>
      <c r="C14" s="436"/>
      <c r="D14" s="436"/>
    </row>
    <row r="15" spans="2:10" x14ac:dyDescent="0.2">
      <c r="B15" s="73" t="s">
        <v>179</v>
      </c>
    </row>
    <row r="18" spans="2:10" x14ac:dyDescent="0.2">
      <c r="B18" s="308" t="s">
        <v>46</v>
      </c>
      <c r="C18" s="308" t="s">
        <v>170</v>
      </c>
      <c r="D18" s="308" t="s">
        <v>158</v>
      </c>
      <c r="F18" s="308" t="s">
        <v>46</v>
      </c>
      <c r="G18" s="308" t="s">
        <v>170</v>
      </c>
      <c r="H18" s="308" t="s">
        <v>172</v>
      </c>
      <c r="J18" s="308" t="s">
        <v>173</v>
      </c>
    </row>
    <row r="19" spans="2:10" x14ac:dyDescent="0.2">
      <c r="B19" s="309" t="s">
        <v>488</v>
      </c>
      <c r="C19" s="77"/>
      <c r="D19" s="77"/>
      <c r="F19" s="309" t="str">
        <f>B19</f>
        <v>健康省エネ改修</v>
      </c>
      <c r="G19" s="78">
        <f>【様式第６号の３】補助基準額等算定表!D63</f>
        <v>0</v>
      </c>
      <c r="H19" s="78">
        <f>【様式第６号の３】補助基準額等算定表!D66</f>
        <v>0</v>
      </c>
      <c r="J19" s="79">
        <f>IF(H19="","",MIN(D19,H19))</f>
        <v>0</v>
      </c>
    </row>
  </sheetData>
  <sheetProtection algorithmName="SHA-512" hashValue="hHBeXEArzYeN+JoyDUHRsfTPAqblIW3tpcYWVYJaueAl/zFomG5hY4qBFUecDOw9ftKx25NawppnuIbMZmFeEw==" saltValue="BoYIGNH3rUkJUWp27P72PQ==" spinCount="100000" sheet="1" formatRows="0" selectLockedCells="1"/>
  <mergeCells count="2">
    <mergeCell ref="B1:D1"/>
    <mergeCell ref="B13:D14"/>
  </mergeCells>
  <phoneticPr fontId="1"/>
  <conditionalFormatting sqref="B12">
    <cfRule type="cellIs" dxfId="17" priority="3" operator="equal">
      <formula>0</formula>
    </cfRule>
  </conditionalFormatting>
  <conditionalFormatting sqref="C3:D6">
    <cfRule type="cellIs" dxfId="16" priority="4" operator="equal">
      <formula>0</formula>
    </cfRule>
  </conditionalFormatting>
  <conditionalFormatting sqref="C19:D19">
    <cfRule type="cellIs" dxfId="15" priority="1" operator="lessThan">
      <formula>1</formula>
    </cfRule>
    <cfRule type="containsBlanks" dxfId="14" priority="2">
      <formula>LEN(TRIM(C19))=0</formula>
    </cfRule>
  </conditionalFormatting>
  <dataValidations count="2">
    <dataValidation type="whole" operator="greaterThanOrEqual" allowBlank="1" showInputMessage="1" showErrorMessage="1" sqref="C3:D6" xr:uid="{F4062B42-AFE2-4712-ABA9-F3C2DAB87552}">
      <formula1>0</formula1>
    </dataValidation>
    <dataValidation type="whole" operator="greaterThanOrEqual" showInputMessage="1" showErrorMessage="1" sqref="C19:D19" xr:uid="{55790487-AE3C-4206-B514-FF9E6458257C}">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FE7C4-C072-4BFD-BB98-26496CB82ED9}">
  <sheetPr>
    <pageSetUpPr fitToPage="1"/>
  </sheetPr>
  <dimension ref="A1:Y67"/>
  <sheetViews>
    <sheetView view="pageBreakPreview" zoomScale="85" zoomScaleNormal="100" zoomScaleSheetLayoutView="85" workbookViewId="0">
      <selection activeCell="Z2" sqref="Z2"/>
    </sheetView>
  </sheetViews>
  <sheetFormatPr defaultColWidth="9" defaultRowHeight="12" x14ac:dyDescent="0.2"/>
  <cols>
    <col min="1" max="1" width="3.6640625" style="294" customWidth="1"/>
    <col min="2" max="2" width="9.77734375" style="294" customWidth="1"/>
    <col min="3" max="3" width="15.33203125" style="294" customWidth="1"/>
    <col min="4" max="4" width="12.77734375" style="294" customWidth="1"/>
    <col min="5" max="5" width="3.33203125" style="294" bestFit="1" customWidth="1"/>
    <col min="6" max="6" width="11.21875" style="294" customWidth="1"/>
    <col min="7" max="7" width="15" style="294" bestFit="1" customWidth="1"/>
    <col min="8" max="8" width="10.6640625" style="294" bestFit="1" customWidth="1"/>
    <col min="9" max="9" width="3.33203125" style="294" bestFit="1" customWidth="1"/>
    <col min="10" max="11" width="13" style="294" bestFit="1" customWidth="1"/>
    <col min="12" max="16" width="9" style="294"/>
    <col min="17" max="17" width="12.33203125" style="294" bestFit="1" customWidth="1"/>
    <col min="18" max="16384" width="9" style="294"/>
  </cols>
  <sheetData>
    <row r="1" spans="1:25" x14ac:dyDescent="0.2">
      <c r="A1" s="301" t="s">
        <v>421</v>
      </c>
      <c r="B1" s="292"/>
      <c r="C1" s="292"/>
      <c r="D1" s="292"/>
      <c r="E1" s="292"/>
      <c r="F1" s="292"/>
      <c r="G1" s="292"/>
      <c r="H1" s="292"/>
      <c r="I1" s="292"/>
      <c r="J1" s="292"/>
      <c r="K1" s="293" t="s">
        <v>500</v>
      </c>
      <c r="L1" s="292"/>
      <c r="M1" s="292"/>
      <c r="N1" s="292"/>
      <c r="O1" s="292"/>
      <c r="P1" s="292"/>
      <c r="Q1" s="292"/>
      <c r="R1" s="292"/>
      <c r="S1" s="292"/>
      <c r="T1" s="292"/>
      <c r="U1" s="292"/>
      <c r="V1" s="292"/>
      <c r="W1" s="292"/>
      <c r="X1" s="292"/>
      <c r="Y1" s="292"/>
    </row>
    <row r="2" spans="1:25" x14ac:dyDescent="0.2">
      <c r="A2" s="292"/>
      <c r="B2" s="292"/>
      <c r="C2" s="292"/>
      <c r="D2" s="292"/>
      <c r="E2" s="292"/>
      <c r="F2" s="292"/>
      <c r="G2" s="292"/>
      <c r="H2" s="292"/>
      <c r="I2" s="292"/>
      <c r="J2" s="292"/>
      <c r="K2" s="292"/>
      <c r="L2" s="292"/>
      <c r="M2" s="292"/>
      <c r="N2" s="292"/>
      <c r="O2" s="292"/>
      <c r="P2" s="292"/>
      <c r="Q2" s="292"/>
      <c r="R2" s="292"/>
      <c r="S2" s="292"/>
      <c r="T2" s="292"/>
      <c r="U2" s="292"/>
      <c r="V2" s="292"/>
      <c r="W2" s="292"/>
      <c r="X2" s="292"/>
      <c r="Y2" s="292"/>
    </row>
    <row r="3" spans="1:25" ht="18.75" customHeight="1" x14ac:dyDescent="0.2">
      <c r="A3" s="458" t="s">
        <v>497</v>
      </c>
      <c r="B3" s="458"/>
      <c r="C3" s="458"/>
      <c r="D3" s="458"/>
      <c r="E3" s="458"/>
      <c r="F3" s="458"/>
      <c r="G3" s="458"/>
      <c r="H3" s="458"/>
      <c r="I3" s="458"/>
      <c r="J3" s="458"/>
      <c r="K3" s="458"/>
      <c r="L3" s="292"/>
      <c r="M3" s="292"/>
      <c r="N3" s="292"/>
      <c r="O3" s="292"/>
      <c r="P3" s="292"/>
      <c r="Q3" s="292"/>
      <c r="R3" s="292"/>
      <c r="S3" s="292"/>
      <c r="T3" s="292"/>
      <c r="U3" s="292"/>
      <c r="V3" s="292"/>
      <c r="W3" s="292"/>
      <c r="X3" s="292"/>
      <c r="Y3" s="292"/>
    </row>
    <row r="4" spans="1:25" x14ac:dyDescent="0.2">
      <c r="A4" s="292"/>
      <c r="B4" s="292"/>
      <c r="C4" s="292"/>
      <c r="D4" s="292"/>
      <c r="E4" s="292"/>
      <c r="F4" s="292"/>
      <c r="G4" s="292"/>
      <c r="H4" s="292"/>
      <c r="I4" s="292"/>
      <c r="J4" s="292"/>
      <c r="K4" s="292"/>
      <c r="L4" s="292"/>
      <c r="M4" s="292"/>
      <c r="N4" s="292"/>
      <c r="O4" s="292"/>
      <c r="P4" s="292"/>
      <c r="Q4" s="292"/>
      <c r="R4" s="292"/>
      <c r="S4" s="292"/>
      <c r="T4" s="292"/>
      <c r="U4" s="292"/>
      <c r="V4" s="292"/>
      <c r="W4" s="292"/>
      <c r="X4" s="292"/>
      <c r="Y4" s="292"/>
    </row>
    <row r="5" spans="1:25" x14ac:dyDescent="0.2">
      <c r="A5" s="292"/>
      <c r="B5" s="292" t="s">
        <v>422</v>
      </c>
      <c r="C5" s="295" t="s">
        <v>479</v>
      </c>
      <c r="D5" s="292"/>
      <c r="E5" s="292"/>
      <c r="F5" s="292"/>
      <c r="G5" s="292"/>
      <c r="H5" s="292"/>
      <c r="I5" s="292"/>
      <c r="J5" s="292"/>
      <c r="K5" s="292"/>
      <c r="L5" s="292"/>
      <c r="M5" s="292"/>
      <c r="N5" s="292"/>
      <c r="O5" s="292"/>
      <c r="P5" s="292"/>
      <c r="Q5" s="292" t="s">
        <v>423</v>
      </c>
      <c r="R5" s="292" t="s">
        <v>424</v>
      </c>
      <c r="S5" s="292"/>
      <c r="T5" s="292"/>
      <c r="U5" s="292"/>
      <c r="V5" s="292"/>
      <c r="W5" s="292"/>
      <c r="X5" s="292"/>
      <c r="Y5" s="292"/>
    </row>
    <row r="6" spans="1:25" x14ac:dyDescent="0.2">
      <c r="A6" s="292"/>
      <c r="B6" s="292" t="s">
        <v>425</v>
      </c>
      <c r="C6" s="295" t="str">
        <f>IF(【様式第６号の２】事業報告書兼チェックシート!U57="","",【様式第６号の２】事業報告書兼チェックシート!U57)</f>
        <v/>
      </c>
      <c r="D6" s="292"/>
      <c r="E6" s="292"/>
      <c r="F6" s="292"/>
      <c r="G6" s="292"/>
      <c r="H6" s="292" t="s">
        <v>426</v>
      </c>
      <c r="I6" s="459" t="str">
        <f>IF(【様式第６号の２】事業報告書兼チェックシート!N18="","",【様式第６号の２】事業報告書兼チェックシート!N18)</f>
        <v/>
      </c>
      <c r="J6" s="459"/>
      <c r="K6" s="459"/>
      <c r="L6" s="292"/>
      <c r="M6" s="292"/>
      <c r="N6" s="292"/>
      <c r="O6" s="292"/>
      <c r="P6" s="292"/>
      <c r="Q6" s="292" t="s">
        <v>427</v>
      </c>
      <c r="R6" s="292" t="s">
        <v>428</v>
      </c>
      <c r="S6" s="292"/>
      <c r="T6" s="292"/>
      <c r="U6" s="292"/>
      <c r="V6" s="292"/>
      <c r="W6" s="292"/>
      <c r="X6" s="292"/>
      <c r="Y6" s="292"/>
    </row>
    <row r="7" spans="1:25" x14ac:dyDescent="0.2">
      <c r="A7" s="292"/>
      <c r="B7" s="292"/>
      <c r="C7" s="292"/>
      <c r="D7" s="292"/>
      <c r="E7" s="292"/>
      <c r="F7" s="292"/>
      <c r="G7" s="292"/>
      <c r="H7" s="292"/>
      <c r="I7" s="292"/>
      <c r="J7" s="292"/>
      <c r="K7" s="292"/>
      <c r="L7" s="292"/>
      <c r="M7" s="292"/>
      <c r="N7" s="292"/>
      <c r="O7" s="292"/>
      <c r="P7" s="292"/>
      <c r="Q7" s="292"/>
      <c r="R7" s="292" t="s">
        <v>429</v>
      </c>
      <c r="S7" s="292"/>
      <c r="T7" s="292"/>
      <c r="U7" s="292"/>
      <c r="V7" s="292"/>
      <c r="W7" s="292"/>
      <c r="X7" s="292"/>
      <c r="Y7" s="292"/>
    </row>
    <row r="8" spans="1:25" x14ac:dyDescent="0.2">
      <c r="A8" s="292"/>
      <c r="B8" s="292" t="s">
        <v>430</v>
      </c>
      <c r="C8" s="292"/>
      <c r="D8" s="292"/>
      <c r="E8" s="292"/>
      <c r="F8" s="292"/>
      <c r="G8" s="292"/>
      <c r="H8" s="292"/>
      <c r="I8" s="292"/>
      <c r="J8" s="292"/>
      <c r="K8" s="292"/>
      <c r="L8" s="292"/>
      <c r="M8" s="292"/>
      <c r="N8" s="292"/>
      <c r="O8" s="292"/>
      <c r="P8" s="292"/>
      <c r="Q8" s="292"/>
      <c r="R8" s="292"/>
      <c r="S8" s="292"/>
      <c r="T8" s="292"/>
      <c r="U8" s="292"/>
      <c r="V8" s="292"/>
      <c r="W8" s="292"/>
      <c r="X8" s="292"/>
      <c r="Y8" s="292"/>
    </row>
    <row r="9" spans="1:25" x14ac:dyDescent="0.2">
      <c r="A9" s="292"/>
      <c r="B9" s="292" t="s">
        <v>431</v>
      </c>
      <c r="C9" s="292"/>
      <c r="D9" s="292"/>
      <c r="E9" s="292"/>
      <c r="F9" s="292"/>
      <c r="G9" s="292"/>
      <c r="H9" s="292"/>
      <c r="I9" s="292"/>
      <c r="J9" s="292"/>
      <c r="K9" s="292"/>
      <c r="L9" s="292"/>
      <c r="M9" s="292"/>
      <c r="N9" s="292"/>
      <c r="O9" s="292"/>
      <c r="P9" s="292"/>
      <c r="Q9" s="292"/>
      <c r="R9" s="292"/>
      <c r="S9" s="292"/>
      <c r="T9" s="292"/>
      <c r="U9" s="292"/>
      <c r="V9" s="292"/>
      <c r="W9" s="292"/>
      <c r="X9" s="292"/>
      <c r="Y9" s="292"/>
    </row>
    <row r="10" spans="1:25" ht="24" customHeight="1" x14ac:dyDescent="0.2">
      <c r="A10" s="292"/>
      <c r="B10" s="296" t="s">
        <v>432</v>
      </c>
      <c r="C10" s="296" t="s">
        <v>433</v>
      </c>
      <c r="D10" s="443" t="s">
        <v>434</v>
      </c>
      <c r="E10" s="443"/>
      <c r="F10" s="296" t="s">
        <v>435</v>
      </c>
      <c r="G10" s="296" t="s">
        <v>436</v>
      </c>
      <c r="H10" s="296" t="s">
        <v>437</v>
      </c>
      <c r="I10" s="296" t="s">
        <v>438</v>
      </c>
      <c r="J10" s="296" t="s">
        <v>439</v>
      </c>
      <c r="K10" s="296" t="s">
        <v>440</v>
      </c>
      <c r="L10" s="292"/>
      <c r="M10" s="292"/>
      <c r="N10" s="292"/>
      <c r="O10" s="292"/>
      <c r="P10" s="292"/>
      <c r="Q10" s="292"/>
      <c r="R10" s="292"/>
      <c r="S10" s="292"/>
      <c r="T10" s="292"/>
      <c r="U10" s="292"/>
      <c r="V10" s="292"/>
      <c r="W10" s="292"/>
      <c r="X10" s="292"/>
      <c r="Y10" s="292"/>
    </row>
    <row r="11" spans="1:25" x14ac:dyDescent="0.2">
      <c r="A11" s="292"/>
      <c r="B11" s="443" t="s">
        <v>441</v>
      </c>
      <c r="C11" s="297"/>
      <c r="D11" s="457"/>
      <c r="E11" s="457"/>
      <c r="F11" s="297"/>
      <c r="G11" s="298" t="e">
        <f>F11/1000/D11</f>
        <v>#DIV/0!</v>
      </c>
      <c r="H11" s="297"/>
      <c r="I11" s="296" t="s">
        <v>438</v>
      </c>
      <c r="J11" s="299" t="b">
        <f>IF(C11=$Q$12,IF(G11&lt;1,"NG",IF(G11&lt;2,3000,IF(G11&lt;3,4000,IF(G11&lt;4,5000,IF(G11&lt;5,7000,8000))))),IF(C11=$Q$13,IF(G11&lt;1,"NG",IF(G11&lt;3,2000,IF(G11&lt;4,3000,IF(G11&lt;5,4000,5000)))),IF(C11=$Q$14,IF(G11&lt;1,"NG",IF(G11&lt;2,1000,IF(G11&lt;3,2000,IF(G11&lt;4,3000,IF(G11&lt;5,4000,5000))))))))</f>
        <v>0</v>
      </c>
      <c r="K11" s="300">
        <f>H11*J11</f>
        <v>0</v>
      </c>
      <c r="L11" s="292"/>
      <c r="M11" s="292"/>
      <c r="N11" s="292"/>
      <c r="O11" s="292"/>
      <c r="P11" s="292"/>
      <c r="Q11" s="292"/>
      <c r="R11" s="292" t="s">
        <v>442</v>
      </c>
      <c r="S11" s="292" t="s">
        <v>443</v>
      </c>
      <c r="T11" s="292" t="s">
        <v>444</v>
      </c>
      <c r="U11" s="292" t="s">
        <v>445</v>
      </c>
      <c r="V11" s="292" t="s">
        <v>446</v>
      </c>
      <c r="W11" s="292"/>
      <c r="X11" s="292"/>
      <c r="Y11" s="292"/>
    </row>
    <row r="12" spans="1:25" x14ac:dyDescent="0.2">
      <c r="A12" s="292"/>
      <c r="B12" s="443"/>
      <c r="C12" s="297"/>
      <c r="D12" s="457"/>
      <c r="E12" s="457"/>
      <c r="F12" s="297"/>
      <c r="G12" s="298" t="e">
        <f t="shared" ref="G12:G19" si="0">F12/1000/D12</f>
        <v>#DIV/0!</v>
      </c>
      <c r="H12" s="297"/>
      <c r="I12" s="296" t="s">
        <v>438</v>
      </c>
      <c r="J12" s="299" t="b">
        <f t="shared" ref="J12:J19" si="1">IF(C12=$Q$12,IF(G12&lt;1,"NG",IF(G12&lt;2,3000,IF(G12&lt;3,4000,IF(G12&lt;4,5000,IF(G12&lt;5,7000,8000))))),IF(C12=$Q$13,IF(G12&lt;1,"NG",IF(G12&lt;3,2000,IF(G12&lt;4,3000,IF(G12&lt;5,4000,5000)))),IF(C12=$Q$14,IF(G12&lt;1,"NG",IF(G12&lt;2,1000,IF(G12&lt;3,2000,IF(G12&lt;4,3000,IF(G12&lt;5,4000,5000))))))))</f>
        <v>0</v>
      </c>
      <c r="K12" s="300">
        <f t="shared" ref="K12:K19" si="2">H12*J12</f>
        <v>0</v>
      </c>
      <c r="L12" s="292"/>
      <c r="M12" s="292"/>
      <c r="N12" s="292"/>
      <c r="O12" s="292"/>
      <c r="P12" s="292"/>
      <c r="Q12" s="292" t="s">
        <v>447</v>
      </c>
      <c r="R12" s="292">
        <v>3000</v>
      </c>
      <c r="S12" s="292">
        <v>4000</v>
      </c>
      <c r="T12" s="292">
        <v>5000</v>
      </c>
      <c r="U12" s="292">
        <v>7000</v>
      </c>
      <c r="V12" s="292">
        <v>8000</v>
      </c>
      <c r="W12" s="292"/>
      <c r="X12" s="292"/>
      <c r="Y12" s="292"/>
    </row>
    <row r="13" spans="1:25" x14ac:dyDescent="0.2">
      <c r="A13" s="292"/>
      <c r="B13" s="443"/>
      <c r="C13" s="297"/>
      <c r="D13" s="457"/>
      <c r="E13" s="457"/>
      <c r="F13" s="297"/>
      <c r="G13" s="298" t="e">
        <f t="shared" si="0"/>
        <v>#DIV/0!</v>
      </c>
      <c r="H13" s="297"/>
      <c r="I13" s="296" t="s">
        <v>438</v>
      </c>
      <c r="J13" s="299" t="b">
        <f t="shared" si="1"/>
        <v>0</v>
      </c>
      <c r="K13" s="300">
        <f t="shared" si="2"/>
        <v>0</v>
      </c>
      <c r="L13" s="292"/>
      <c r="M13" s="292"/>
      <c r="N13" s="292"/>
      <c r="O13" s="292"/>
      <c r="P13" s="292"/>
      <c r="Q13" s="292" t="s">
        <v>448</v>
      </c>
      <c r="R13" s="292">
        <v>2000</v>
      </c>
      <c r="S13" s="292">
        <v>2000</v>
      </c>
      <c r="T13" s="292">
        <v>3000</v>
      </c>
      <c r="U13" s="292">
        <v>4000</v>
      </c>
      <c r="V13" s="292">
        <v>5000</v>
      </c>
      <c r="W13" s="292"/>
      <c r="X13" s="292"/>
      <c r="Y13" s="292"/>
    </row>
    <row r="14" spans="1:25" x14ac:dyDescent="0.2">
      <c r="A14" s="292"/>
      <c r="B14" s="443" t="s">
        <v>449</v>
      </c>
      <c r="C14" s="297"/>
      <c r="D14" s="457"/>
      <c r="E14" s="457"/>
      <c r="F14" s="297"/>
      <c r="G14" s="298" t="e">
        <f t="shared" si="0"/>
        <v>#DIV/0!</v>
      </c>
      <c r="H14" s="297"/>
      <c r="I14" s="296" t="s">
        <v>438</v>
      </c>
      <c r="J14" s="299" t="b">
        <f t="shared" si="1"/>
        <v>0</v>
      </c>
      <c r="K14" s="300">
        <f t="shared" si="2"/>
        <v>0</v>
      </c>
      <c r="L14" s="292"/>
      <c r="M14" s="292"/>
      <c r="N14" s="292"/>
      <c r="O14" s="292"/>
      <c r="P14" s="292"/>
      <c r="Q14" s="292" t="s">
        <v>450</v>
      </c>
      <c r="R14" s="292">
        <v>1000</v>
      </c>
      <c r="S14" s="292">
        <v>2000</v>
      </c>
      <c r="T14" s="292">
        <v>3000</v>
      </c>
      <c r="U14" s="292">
        <v>4000</v>
      </c>
      <c r="V14" s="292">
        <v>5000</v>
      </c>
      <c r="W14" s="292"/>
      <c r="X14" s="292"/>
      <c r="Y14" s="292"/>
    </row>
    <row r="15" spans="1:25" x14ac:dyDescent="0.2">
      <c r="A15" s="292"/>
      <c r="B15" s="443"/>
      <c r="C15" s="297"/>
      <c r="D15" s="457"/>
      <c r="E15" s="457"/>
      <c r="F15" s="297"/>
      <c r="G15" s="298" t="e">
        <f t="shared" si="0"/>
        <v>#DIV/0!</v>
      </c>
      <c r="H15" s="297"/>
      <c r="I15" s="296" t="s">
        <v>438</v>
      </c>
      <c r="J15" s="299" t="b">
        <f t="shared" si="1"/>
        <v>0</v>
      </c>
      <c r="K15" s="300">
        <f t="shared" si="2"/>
        <v>0</v>
      </c>
      <c r="L15" s="292"/>
      <c r="M15" s="292"/>
      <c r="N15" s="292"/>
      <c r="O15" s="292"/>
      <c r="P15" s="292"/>
      <c r="Q15" s="292"/>
      <c r="R15" s="292"/>
      <c r="S15" s="292"/>
      <c r="T15" s="292"/>
      <c r="U15" s="292"/>
      <c r="V15" s="292"/>
      <c r="W15" s="292"/>
      <c r="X15" s="292"/>
      <c r="Y15" s="292"/>
    </row>
    <row r="16" spans="1:25" x14ac:dyDescent="0.2">
      <c r="A16" s="292"/>
      <c r="B16" s="443"/>
      <c r="C16" s="297"/>
      <c r="D16" s="457"/>
      <c r="E16" s="457"/>
      <c r="F16" s="297"/>
      <c r="G16" s="298" t="e">
        <f t="shared" si="0"/>
        <v>#DIV/0!</v>
      </c>
      <c r="H16" s="297"/>
      <c r="I16" s="296" t="s">
        <v>438</v>
      </c>
      <c r="J16" s="299" t="b">
        <f t="shared" si="1"/>
        <v>0</v>
      </c>
      <c r="K16" s="300">
        <f t="shared" si="2"/>
        <v>0</v>
      </c>
      <c r="L16" s="292"/>
      <c r="M16" s="292"/>
      <c r="N16" s="292"/>
      <c r="O16" s="292"/>
      <c r="P16" s="292"/>
      <c r="Q16" s="292"/>
      <c r="R16" s="292"/>
      <c r="S16" s="292"/>
      <c r="T16" s="292"/>
      <c r="U16" s="292"/>
      <c r="V16" s="292"/>
      <c r="W16" s="292"/>
      <c r="X16" s="292"/>
      <c r="Y16" s="292"/>
    </row>
    <row r="17" spans="1:25" x14ac:dyDescent="0.2">
      <c r="A17" s="292"/>
      <c r="B17" s="443" t="s">
        <v>451</v>
      </c>
      <c r="C17" s="297"/>
      <c r="D17" s="457"/>
      <c r="E17" s="457"/>
      <c r="F17" s="297"/>
      <c r="G17" s="298" t="e">
        <f t="shared" si="0"/>
        <v>#DIV/0!</v>
      </c>
      <c r="H17" s="297"/>
      <c r="I17" s="296" t="s">
        <v>438</v>
      </c>
      <c r="J17" s="299" t="b">
        <f t="shared" si="1"/>
        <v>0</v>
      </c>
      <c r="K17" s="300">
        <f t="shared" si="2"/>
        <v>0</v>
      </c>
      <c r="L17" s="292"/>
      <c r="M17" s="292"/>
      <c r="N17" s="292"/>
      <c r="O17" s="292"/>
      <c r="P17" s="292"/>
      <c r="Q17" s="292"/>
      <c r="R17" s="292"/>
      <c r="S17" s="292"/>
      <c r="T17" s="292"/>
      <c r="U17" s="292"/>
      <c r="V17" s="292"/>
      <c r="W17" s="292"/>
      <c r="X17" s="292"/>
      <c r="Y17" s="292"/>
    </row>
    <row r="18" spans="1:25" x14ac:dyDescent="0.2">
      <c r="A18" s="292"/>
      <c r="B18" s="443"/>
      <c r="C18" s="297"/>
      <c r="D18" s="457"/>
      <c r="E18" s="457"/>
      <c r="F18" s="297"/>
      <c r="G18" s="298" t="e">
        <f t="shared" si="0"/>
        <v>#DIV/0!</v>
      </c>
      <c r="H18" s="297"/>
      <c r="I18" s="296" t="s">
        <v>438</v>
      </c>
      <c r="J18" s="299" t="b">
        <f t="shared" si="1"/>
        <v>0</v>
      </c>
      <c r="K18" s="300">
        <f t="shared" si="2"/>
        <v>0</v>
      </c>
      <c r="L18" s="292"/>
      <c r="M18" s="292"/>
      <c r="N18" s="292"/>
      <c r="O18" s="292"/>
      <c r="P18" s="292"/>
      <c r="Q18" s="292"/>
      <c r="R18" s="292"/>
      <c r="S18" s="292"/>
      <c r="T18" s="292"/>
      <c r="U18" s="292"/>
      <c r="V18" s="292"/>
      <c r="W18" s="292"/>
      <c r="X18" s="292"/>
      <c r="Y18" s="292"/>
    </row>
    <row r="19" spans="1:25" x14ac:dyDescent="0.2">
      <c r="A19" s="292"/>
      <c r="B19" s="443"/>
      <c r="C19" s="297"/>
      <c r="D19" s="457"/>
      <c r="E19" s="457"/>
      <c r="F19" s="297"/>
      <c r="G19" s="298" t="e">
        <f t="shared" si="0"/>
        <v>#DIV/0!</v>
      </c>
      <c r="H19" s="297"/>
      <c r="I19" s="296" t="s">
        <v>438</v>
      </c>
      <c r="J19" s="299" t="b">
        <f t="shared" si="1"/>
        <v>0</v>
      </c>
      <c r="K19" s="300">
        <f t="shared" si="2"/>
        <v>0</v>
      </c>
      <c r="L19" s="292"/>
      <c r="M19" s="292"/>
      <c r="N19" s="292"/>
      <c r="O19" s="292"/>
      <c r="P19" s="292"/>
      <c r="Q19" s="292"/>
      <c r="R19" s="292"/>
      <c r="S19" s="292"/>
      <c r="T19" s="292"/>
      <c r="U19" s="292"/>
      <c r="V19" s="292"/>
      <c r="W19" s="292"/>
      <c r="X19" s="292"/>
      <c r="Y19" s="292"/>
    </row>
    <row r="20" spans="1:25" x14ac:dyDescent="0.2">
      <c r="A20" s="292"/>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row>
    <row r="21" spans="1:25" x14ac:dyDescent="0.2">
      <c r="A21" s="292"/>
      <c r="B21" s="292" t="s">
        <v>452</v>
      </c>
      <c r="C21" s="292"/>
      <c r="D21" s="292"/>
      <c r="E21" s="292"/>
      <c r="F21" s="292"/>
      <c r="G21" s="292"/>
      <c r="H21" s="292"/>
      <c r="I21" s="292"/>
      <c r="J21" s="292"/>
      <c r="K21" s="292"/>
      <c r="L21" s="292"/>
      <c r="M21" s="292"/>
      <c r="N21" s="292"/>
      <c r="O21" s="292"/>
      <c r="P21" s="292"/>
      <c r="Q21" s="292"/>
      <c r="R21" s="292"/>
      <c r="S21" s="292"/>
      <c r="T21" s="292"/>
      <c r="U21" s="292"/>
      <c r="V21" s="292"/>
      <c r="W21" s="292"/>
      <c r="X21" s="292"/>
      <c r="Y21" s="292"/>
    </row>
    <row r="22" spans="1:25" x14ac:dyDescent="0.2">
      <c r="A22" s="292"/>
      <c r="B22" s="452" t="s">
        <v>453</v>
      </c>
      <c r="C22" s="441" t="s">
        <v>454</v>
      </c>
      <c r="D22" s="454" t="s">
        <v>455</v>
      </c>
      <c r="E22" s="455"/>
      <c r="F22" s="456"/>
      <c r="G22" s="441" t="s">
        <v>456</v>
      </c>
      <c r="H22" s="441" t="s">
        <v>457</v>
      </c>
      <c r="I22" s="441" t="s">
        <v>438</v>
      </c>
      <c r="J22" s="441" t="s">
        <v>439</v>
      </c>
      <c r="K22" s="443" t="s">
        <v>458</v>
      </c>
      <c r="L22" s="292"/>
      <c r="M22" s="292"/>
      <c r="N22" s="292"/>
      <c r="O22" s="292"/>
      <c r="P22" s="292"/>
      <c r="Q22" s="292"/>
      <c r="R22" s="292"/>
      <c r="S22" s="292"/>
      <c r="T22" s="292"/>
      <c r="U22" s="292"/>
      <c r="V22" s="292"/>
      <c r="W22" s="292"/>
      <c r="X22" s="292"/>
      <c r="Y22" s="292"/>
    </row>
    <row r="23" spans="1:25" x14ac:dyDescent="0.2">
      <c r="A23" s="292"/>
      <c r="B23" s="453"/>
      <c r="C23" s="442"/>
      <c r="D23" s="296" t="s">
        <v>459</v>
      </c>
      <c r="E23" s="296" t="s">
        <v>438</v>
      </c>
      <c r="F23" s="296" t="s">
        <v>460</v>
      </c>
      <c r="G23" s="442"/>
      <c r="H23" s="442"/>
      <c r="I23" s="442"/>
      <c r="J23" s="442"/>
      <c r="K23" s="443"/>
      <c r="L23" s="292"/>
      <c r="M23" s="292"/>
      <c r="N23" s="292"/>
      <c r="O23" s="292"/>
      <c r="P23" s="292"/>
      <c r="Q23" s="292"/>
      <c r="R23" s="292" t="s">
        <v>461</v>
      </c>
      <c r="S23" s="292" t="s">
        <v>462</v>
      </c>
      <c r="T23" s="292" t="s">
        <v>463</v>
      </c>
      <c r="U23" s="292" t="s">
        <v>464</v>
      </c>
      <c r="V23" s="292"/>
      <c r="W23" s="292"/>
      <c r="X23" s="292"/>
      <c r="Y23" s="292"/>
    </row>
    <row r="24" spans="1:25" x14ac:dyDescent="0.2">
      <c r="A24" s="292"/>
      <c r="B24" s="297"/>
      <c r="C24" s="297"/>
      <c r="D24" s="297"/>
      <c r="E24" s="296" t="s">
        <v>438</v>
      </c>
      <c r="F24" s="297"/>
      <c r="G24" s="297"/>
      <c r="H24" s="295">
        <f>D24/1000*F24/1000</f>
        <v>0</v>
      </c>
      <c r="I24" s="296" t="s">
        <v>438</v>
      </c>
      <c r="J24" s="299">
        <f>IF(G24="",0,(IF(C24=$Q$24,IF(G24&gt;2.33,"NG",IF(G24&gt;1.9,40000,IF(G24&gt;1.6,50000,IF(G24&gt;1.3,55000,60000)))),IF(C24=$Q$25,IF(G24&gt;2.33,0,30000),IF(C24=$Q$26,IF(G24&gt;2.33,0,50000))))))</f>
        <v>0</v>
      </c>
      <c r="K24" s="300">
        <f t="shared" ref="K24:K47" si="3">H24*J24</f>
        <v>0</v>
      </c>
      <c r="L24" s="292"/>
      <c r="M24" s="292"/>
      <c r="N24" s="292"/>
      <c r="O24" s="292"/>
      <c r="P24" s="292"/>
      <c r="Q24" s="292" t="s">
        <v>465</v>
      </c>
      <c r="R24" s="292">
        <v>40000</v>
      </c>
      <c r="S24" s="292">
        <v>50000</v>
      </c>
      <c r="T24" s="292">
        <v>55000</v>
      </c>
      <c r="U24" s="292">
        <v>60000</v>
      </c>
      <c r="V24" s="292"/>
      <c r="W24" s="292"/>
      <c r="X24" s="292"/>
      <c r="Y24" s="292"/>
    </row>
    <row r="25" spans="1:25" x14ac:dyDescent="0.2">
      <c r="A25" s="292"/>
      <c r="B25" s="297"/>
      <c r="C25" s="297"/>
      <c r="D25" s="297"/>
      <c r="E25" s="296" t="s">
        <v>438</v>
      </c>
      <c r="F25" s="297"/>
      <c r="G25" s="297"/>
      <c r="H25" s="295">
        <f t="shared" ref="H25:H47" si="4">D25/1000*F25/1000</f>
        <v>0</v>
      </c>
      <c r="I25" s="296" t="s">
        <v>438</v>
      </c>
      <c r="J25" s="299">
        <f>IF(G25="",0,(IF(C25=$Q$24,IF(G25&gt;2.33,"NG",IF(G25&gt;1.9,40000,IF(G25&gt;1.6,50000,IF(G25&gt;1.3,55000,60000)))),IF(C25=$Q$25,IF(G25&gt;2.33,0,30000),IF(C25=$Q$26,IF(G25&gt;2.33,0,50000))))))</f>
        <v>0</v>
      </c>
      <c r="K25" s="300">
        <f t="shared" si="3"/>
        <v>0</v>
      </c>
      <c r="L25" s="292"/>
      <c r="M25" s="292"/>
      <c r="N25" s="292"/>
      <c r="O25" s="292"/>
      <c r="P25" s="292"/>
      <c r="Q25" s="292" t="s">
        <v>466</v>
      </c>
      <c r="R25" s="292">
        <v>30000</v>
      </c>
      <c r="S25" s="292"/>
      <c r="T25" s="292"/>
      <c r="U25" s="292"/>
      <c r="V25" s="292"/>
      <c r="W25" s="292"/>
      <c r="X25" s="292"/>
      <c r="Y25" s="292"/>
    </row>
    <row r="26" spans="1:25" x14ac:dyDescent="0.2">
      <c r="A26" s="292"/>
      <c r="B26" s="297"/>
      <c r="C26" s="297"/>
      <c r="D26" s="297"/>
      <c r="E26" s="296" t="s">
        <v>438</v>
      </c>
      <c r="F26" s="297"/>
      <c r="G26" s="297"/>
      <c r="H26" s="295">
        <f t="shared" si="4"/>
        <v>0</v>
      </c>
      <c r="I26" s="296" t="s">
        <v>438</v>
      </c>
      <c r="J26" s="299">
        <f t="shared" ref="J26:J47" si="5">IF(G26="",0,(IF(C26=$Q$24,IF(G26&gt;2.33,"NG",IF(G26&gt;1.9,40000,IF(G26&gt;1.6,50000,IF(G26&gt;1.3,55000,60000)))),IF(C26=$Q$25,IF(G26&gt;2.33,0,30000),IF(C26=$Q$26,IF(G26&gt;2.33,0,50000))))))</f>
        <v>0</v>
      </c>
      <c r="K26" s="300">
        <f t="shared" si="3"/>
        <v>0</v>
      </c>
      <c r="L26" s="292"/>
      <c r="M26" s="292"/>
      <c r="N26" s="292"/>
      <c r="O26" s="292"/>
      <c r="P26" s="292"/>
      <c r="Q26" s="292" t="s">
        <v>467</v>
      </c>
      <c r="R26" s="292">
        <v>50000</v>
      </c>
      <c r="S26" s="292"/>
      <c r="T26" s="292"/>
      <c r="U26" s="292"/>
      <c r="V26" s="292"/>
      <c r="W26" s="292"/>
      <c r="X26" s="292"/>
      <c r="Y26" s="292"/>
    </row>
    <row r="27" spans="1:25" x14ac:dyDescent="0.2">
      <c r="A27" s="292"/>
      <c r="B27" s="297"/>
      <c r="C27" s="297"/>
      <c r="D27" s="297"/>
      <c r="E27" s="296" t="s">
        <v>438</v>
      </c>
      <c r="F27" s="297"/>
      <c r="G27" s="297"/>
      <c r="H27" s="295">
        <f t="shared" si="4"/>
        <v>0</v>
      </c>
      <c r="I27" s="296" t="s">
        <v>438</v>
      </c>
      <c r="J27" s="299">
        <f t="shared" si="5"/>
        <v>0</v>
      </c>
      <c r="K27" s="300">
        <f t="shared" si="3"/>
        <v>0</v>
      </c>
      <c r="L27" s="292"/>
      <c r="M27" s="292"/>
      <c r="N27" s="292"/>
      <c r="O27" s="292"/>
      <c r="P27" s="292"/>
      <c r="Q27" s="292"/>
      <c r="R27" s="292"/>
      <c r="S27" s="292"/>
      <c r="T27" s="292"/>
      <c r="U27" s="292"/>
      <c r="V27" s="292"/>
      <c r="W27" s="292"/>
      <c r="X27" s="292"/>
      <c r="Y27" s="292"/>
    </row>
    <row r="28" spans="1:25" x14ac:dyDescent="0.2">
      <c r="A28" s="292"/>
      <c r="B28" s="297"/>
      <c r="C28" s="297"/>
      <c r="D28" s="297"/>
      <c r="E28" s="296" t="s">
        <v>438</v>
      </c>
      <c r="F28" s="297"/>
      <c r="G28" s="297"/>
      <c r="H28" s="295">
        <f t="shared" si="4"/>
        <v>0</v>
      </c>
      <c r="I28" s="296" t="s">
        <v>438</v>
      </c>
      <c r="J28" s="299">
        <f t="shared" si="5"/>
        <v>0</v>
      </c>
      <c r="K28" s="300">
        <f t="shared" si="3"/>
        <v>0</v>
      </c>
      <c r="L28" s="292"/>
      <c r="M28" s="292"/>
      <c r="N28" s="292"/>
      <c r="O28" s="292"/>
      <c r="P28" s="292"/>
      <c r="Q28" s="292"/>
      <c r="R28" s="292"/>
      <c r="S28" s="292"/>
      <c r="T28" s="292"/>
      <c r="U28" s="292"/>
      <c r="V28" s="292"/>
      <c r="W28" s="292"/>
      <c r="X28" s="292"/>
      <c r="Y28" s="292"/>
    </row>
    <row r="29" spans="1:25" x14ac:dyDescent="0.2">
      <c r="A29" s="292"/>
      <c r="B29" s="297"/>
      <c r="C29" s="297"/>
      <c r="D29" s="297"/>
      <c r="E29" s="296" t="s">
        <v>438</v>
      </c>
      <c r="F29" s="297"/>
      <c r="G29" s="297"/>
      <c r="H29" s="295">
        <f t="shared" si="4"/>
        <v>0</v>
      </c>
      <c r="I29" s="296" t="s">
        <v>438</v>
      </c>
      <c r="J29" s="299">
        <f t="shared" si="5"/>
        <v>0</v>
      </c>
      <c r="K29" s="300">
        <f t="shared" si="3"/>
        <v>0</v>
      </c>
      <c r="L29" s="292"/>
      <c r="M29" s="292"/>
      <c r="N29" s="292"/>
      <c r="O29" s="292"/>
      <c r="P29" s="292"/>
      <c r="Q29" s="292"/>
      <c r="R29" s="292"/>
      <c r="S29" s="292"/>
      <c r="T29" s="292"/>
      <c r="U29" s="292"/>
      <c r="V29" s="292"/>
      <c r="W29" s="292"/>
      <c r="X29" s="292"/>
      <c r="Y29" s="292"/>
    </row>
    <row r="30" spans="1:25" x14ac:dyDescent="0.2">
      <c r="A30" s="292"/>
      <c r="B30" s="297"/>
      <c r="C30" s="297"/>
      <c r="D30" s="297"/>
      <c r="E30" s="296" t="s">
        <v>438</v>
      </c>
      <c r="F30" s="297"/>
      <c r="G30" s="297"/>
      <c r="H30" s="295">
        <f t="shared" si="4"/>
        <v>0</v>
      </c>
      <c r="I30" s="296" t="s">
        <v>438</v>
      </c>
      <c r="J30" s="299">
        <f t="shared" si="5"/>
        <v>0</v>
      </c>
      <c r="K30" s="300">
        <f t="shared" si="3"/>
        <v>0</v>
      </c>
      <c r="L30" s="292"/>
      <c r="M30" s="292"/>
      <c r="N30" s="292"/>
      <c r="O30" s="292"/>
      <c r="P30" s="292"/>
      <c r="Q30" s="292"/>
      <c r="R30" s="292"/>
      <c r="S30" s="292"/>
      <c r="T30" s="292"/>
      <c r="U30" s="292"/>
      <c r="V30" s="292"/>
      <c r="W30" s="292"/>
      <c r="X30" s="292"/>
      <c r="Y30" s="292"/>
    </row>
    <row r="31" spans="1:25" x14ac:dyDescent="0.2">
      <c r="A31" s="292"/>
      <c r="B31" s="297"/>
      <c r="C31" s="297"/>
      <c r="D31" s="297"/>
      <c r="E31" s="296" t="s">
        <v>438</v>
      </c>
      <c r="F31" s="297"/>
      <c r="G31" s="297"/>
      <c r="H31" s="295">
        <f t="shared" si="4"/>
        <v>0</v>
      </c>
      <c r="I31" s="296" t="s">
        <v>438</v>
      </c>
      <c r="J31" s="299">
        <f t="shared" si="5"/>
        <v>0</v>
      </c>
      <c r="K31" s="300">
        <f t="shared" si="3"/>
        <v>0</v>
      </c>
      <c r="L31" s="292"/>
      <c r="M31" s="292"/>
      <c r="N31" s="292"/>
      <c r="O31" s="292"/>
      <c r="P31" s="292"/>
      <c r="Q31" s="292"/>
      <c r="R31" s="292"/>
      <c r="S31" s="292"/>
      <c r="T31" s="292"/>
      <c r="U31" s="292"/>
      <c r="V31" s="292"/>
      <c r="W31" s="292"/>
      <c r="X31" s="292"/>
      <c r="Y31" s="292"/>
    </row>
    <row r="32" spans="1:25" x14ac:dyDescent="0.2">
      <c r="A32" s="292"/>
      <c r="B32" s="297"/>
      <c r="C32" s="297"/>
      <c r="D32" s="297"/>
      <c r="E32" s="296" t="s">
        <v>438</v>
      </c>
      <c r="F32" s="297"/>
      <c r="G32" s="297"/>
      <c r="H32" s="295">
        <f t="shared" si="4"/>
        <v>0</v>
      </c>
      <c r="I32" s="296" t="s">
        <v>438</v>
      </c>
      <c r="J32" s="299">
        <f t="shared" si="5"/>
        <v>0</v>
      </c>
      <c r="K32" s="300">
        <f t="shared" si="3"/>
        <v>0</v>
      </c>
      <c r="L32" s="292"/>
      <c r="M32" s="292"/>
      <c r="N32" s="292"/>
      <c r="O32" s="292"/>
      <c r="P32" s="292"/>
      <c r="Q32" s="292"/>
      <c r="R32" s="292"/>
      <c r="S32" s="292"/>
      <c r="T32" s="292"/>
      <c r="U32" s="292"/>
      <c r="V32" s="292"/>
      <c r="W32" s="292"/>
      <c r="X32" s="292"/>
    </row>
    <row r="33" spans="1:24" x14ac:dyDescent="0.2">
      <c r="A33" s="292"/>
      <c r="B33" s="297"/>
      <c r="C33" s="297"/>
      <c r="D33" s="297"/>
      <c r="E33" s="296" t="s">
        <v>438</v>
      </c>
      <c r="F33" s="297"/>
      <c r="G33" s="297"/>
      <c r="H33" s="295">
        <f t="shared" si="4"/>
        <v>0</v>
      </c>
      <c r="I33" s="296" t="s">
        <v>438</v>
      </c>
      <c r="J33" s="299">
        <f t="shared" si="5"/>
        <v>0</v>
      </c>
      <c r="K33" s="300">
        <f t="shared" si="3"/>
        <v>0</v>
      </c>
      <c r="L33" s="292"/>
      <c r="M33" s="292"/>
      <c r="N33" s="292"/>
      <c r="O33" s="292"/>
      <c r="P33" s="292"/>
      <c r="Q33" s="292"/>
      <c r="R33" s="292"/>
      <c r="S33" s="292"/>
      <c r="T33" s="292"/>
      <c r="U33" s="292"/>
      <c r="V33" s="292"/>
      <c r="W33" s="292"/>
      <c r="X33" s="292"/>
    </row>
    <row r="34" spans="1:24" x14ac:dyDescent="0.2">
      <c r="A34" s="292"/>
      <c r="B34" s="297"/>
      <c r="C34" s="297"/>
      <c r="D34" s="297"/>
      <c r="E34" s="296" t="s">
        <v>438</v>
      </c>
      <c r="F34" s="297"/>
      <c r="G34" s="297"/>
      <c r="H34" s="295">
        <f t="shared" si="4"/>
        <v>0</v>
      </c>
      <c r="I34" s="296" t="s">
        <v>438</v>
      </c>
      <c r="J34" s="299">
        <f t="shared" si="5"/>
        <v>0</v>
      </c>
      <c r="K34" s="300">
        <f t="shared" si="3"/>
        <v>0</v>
      </c>
      <c r="L34" s="292"/>
      <c r="M34" s="292"/>
      <c r="N34" s="292"/>
      <c r="O34" s="292"/>
      <c r="P34" s="292"/>
      <c r="Q34" s="292"/>
      <c r="R34" s="292"/>
      <c r="S34" s="292"/>
      <c r="T34" s="292"/>
      <c r="U34" s="292"/>
      <c r="V34" s="292"/>
      <c r="W34" s="292"/>
      <c r="X34" s="292"/>
    </row>
    <row r="35" spans="1:24" x14ac:dyDescent="0.2">
      <c r="A35" s="292"/>
      <c r="B35" s="297"/>
      <c r="C35" s="297"/>
      <c r="D35" s="297"/>
      <c r="E35" s="296" t="s">
        <v>438</v>
      </c>
      <c r="F35" s="297"/>
      <c r="G35" s="297"/>
      <c r="H35" s="295">
        <f t="shared" si="4"/>
        <v>0</v>
      </c>
      <c r="I35" s="296" t="s">
        <v>438</v>
      </c>
      <c r="J35" s="299">
        <f t="shared" si="5"/>
        <v>0</v>
      </c>
      <c r="K35" s="300">
        <f t="shared" si="3"/>
        <v>0</v>
      </c>
      <c r="L35" s="292"/>
      <c r="M35" s="292"/>
      <c r="N35" s="292"/>
      <c r="O35" s="292"/>
      <c r="P35" s="292"/>
      <c r="Q35" s="292"/>
      <c r="R35" s="292"/>
      <c r="S35" s="292"/>
      <c r="T35" s="292"/>
      <c r="U35" s="292"/>
      <c r="V35" s="292"/>
      <c r="W35" s="292"/>
      <c r="X35" s="292"/>
    </row>
    <row r="36" spans="1:24" x14ac:dyDescent="0.2">
      <c r="A36" s="292"/>
      <c r="B36" s="297"/>
      <c r="C36" s="297"/>
      <c r="D36" s="297"/>
      <c r="E36" s="296" t="s">
        <v>438</v>
      </c>
      <c r="F36" s="297"/>
      <c r="G36" s="297"/>
      <c r="H36" s="295">
        <f t="shared" si="4"/>
        <v>0</v>
      </c>
      <c r="I36" s="296" t="s">
        <v>438</v>
      </c>
      <c r="J36" s="299">
        <f t="shared" si="5"/>
        <v>0</v>
      </c>
      <c r="K36" s="300">
        <f t="shared" si="3"/>
        <v>0</v>
      </c>
      <c r="L36" s="292"/>
      <c r="M36" s="292"/>
      <c r="N36" s="292"/>
      <c r="O36" s="292"/>
      <c r="P36" s="292"/>
      <c r="Q36" s="292"/>
      <c r="R36" s="292"/>
      <c r="S36" s="292"/>
      <c r="T36" s="292"/>
      <c r="U36" s="292"/>
      <c r="V36" s="292"/>
      <c r="W36" s="292"/>
      <c r="X36" s="292"/>
    </row>
    <row r="37" spans="1:24" x14ac:dyDescent="0.2">
      <c r="A37" s="292"/>
      <c r="B37" s="297"/>
      <c r="C37" s="297"/>
      <c r="D37" s="297"/>
      <c r="E37" s="296" t="s">
        <v>438</v>
      </c>
      <c r="F37" s="297"/>
      <c r="G37" s="297"/>
      <c r="H37" s="295">
        <f t="shared" si="4"/>
        <v>0</v>
      </c>
      <c r="I37" s="296" t="s">
        <v>438</v>
      </c>
      <c r="J37" s="299">
        <f t="shared" si="5"/>
        <v>0</v>
      </c>
      <c r="K37" s="300">
        <f t="shared" si="3"/>
        <v>0</v>
      </c>
      <c r="L37" s="292"/>
      <c r="M37" s="292"/>
      <c r="N37" s="292"/>
      <c r="O37" s="292"/>
      <c r="P37" s="292"/>
      <c r="Q37" s="292"/>
      <c r="R37" s="292"/>
      <c r="S37" s="292"/>
      <c r="T37" s="292"/>
      <c r="U37" s="292"/>
      <c r="V37" s="292"/>
      <c r="W37" s="292"/>
      <c r="X37" s="292"/>
    </row>
    <row r="38" spans="1:24" x14ac:dyDescent="0.2">
      <c r="A38" s="292"/>
      <c r="B38" s="297"/>
      <c r="C38" s="297"/>
      <c r="D38" s="297"/>
      <c r="E38" s="296" t="s">
        <v>438</v>
      </c>
      <c r="F38" s="297"/>
      <c r="G38" s="297"/>
      <c r="H38" s="295">
        <f t="shared" si="4"/>
        <v>0</v>
      </c>
      <c r="I38" s="296" t="s">
        <v>438</v>
      </c>
      <c r="J38" s="299">
        <f t="shared" si="5"/>
        <v>0</v>
      </c>
      <c r="K38" s="300">
        <f t="shared" si="3"/>
        <v>0</v>
      </c>
      <c r="L38" s="292"/>
      <c r="M38" s="292"/>
      <c r="N38" s="292"/>
      <c r="O38" s="292"/>
      <c r="P38" s="292"/>
      <c r="Q38" s="292"/>
      <c r="R38" s="292"/>
      <c r="S38" s="292"/>
      <c r="T38" s="292"/>
      <c r="U38" s="292"/>
      <c r="V38" s="292"/>
      <c r="W38" s="292"/>
      <c r="X38" s="292"/>
    </row>
    <row r="39" spans="1:24" x14ac:dyDescent="0.2">
      <c r="A39" s="292"/>
      <c r="B39" s="297"/>
      <c r="C39" s="297"/>
      <c r="D39" s="297"/>
      <c r="E39" s="296" t="s">
        <v>438</v>
      </c>
      <c r="F39" s="297"/>
      <c r="G39" s="297"/>
      <c r="H39" s="295">
        <f t="shared" si="4"/>
        <v>0</v>
      </c>
      <c r="I39" s="296" t="s">
        <v>438</v>
      </c>
      <c r="J39" s="299">
        <f t="shared" si="5"/>
        <v>0</v>
      </c>
      <c r="K39" s="300">
        <f t="shared" si="3"/>
        <v>0</v>
      </c>
      <c r="L39" s="292"/>
      <c r="M39" s="292"/>
      <c r="N39" s="292"/>
      <c r="O39" s="292"/>
      <c r="P39" s="292"/>
      <c r="Q39" s="292"/>
      <c r="R39" s="292"/>
      <c r="S39" s="292"/>
      <c r="T39" s="292"/>
      <c r="U39" s="292"/>
      <c r="V39" s="292"/>
      <c r="W39" s="292"/>
      <c r="X39" s="292"/>
    </row>
    <row r="40" spans="1:24" x14ac:dyDescent="0.2">
      <c r="A40" s="292"/>
      <c r="B40" s="297"/>
      <c r="C40" s="297"/>
      <c r="D40" s="297"/>
      <c r="E40" s="296" t="s">
        <v>438</v>
      </c>
      <c r="F40" s="297"/>
      <c r="G40" s="297"/>
      <c r="H40" s="295">
        <f t="shared" si="4"/>
        <v>0</v>
      </c>
      <c r="I40" s="296" t="s">
        <v>438</v>
      </c>
      <c r="J40" s="299">
        <f t="shared" si="5"/>
        <v>0</v>
      </c>
      <c r="K40" s="300">
        <f t="shared" si="3"/>
        <v>0</v>
      </c>
      <c r="L40" s="292"/>
      <c r="M40" s="292"/>
      <c r="N40" s="292"/>
      <c r="O40" s="292"/>
      <c r="P40" s="292"/>
      <c r="Q40" s="292"/>
      <c r="R40" s="292"/>
      <c r="S40" s="292"/>
      <c r="T40" s="292"/>
      <c r="U40" s="292"/>
      <c r="V40" s="292"/>
      <c r="W40" s="292"/>
      <c r="X40" s="292"/>
    </row>
    <row r="41" spans="1:24" x14ac:dyDescent="0.2">
      <c r="A41" s="292"/>
      <c r="B41" s="297"/>
      <c r="C41" s="297"/>
      <c r="D41" s="297"/>
      <c r="E41" s="296" t="s">
        <v>438</v>
      </c>
      <c r="F41" s="297"/>
      <c r="G41" s="297"/>
      <c r="H41" s="295">
        <f t="shared" si="4"/>
        <v>0</v>
      </c>
      <c r="I41" s="296" t="s">
        <v>438</v>
      </c>
      <c r="J41" s="299">
        <f t="shared" si="5"/>
        <v>0</v>
      </c>
      <c r="K41" s="300">
        <f t="shared" si="3"/>
        <v>0</v>
      </c>
      <c r="L41" s="292"/>
      <c r="M41" s="292"/>
      <c r="N41" s="292"/>
      <c r="O41" s="292"/>
      <c r="P41" s="292"/>
      <c r="Q41" s="292"/>
      <c r="R41" s="292"/>
      <c r="S41" s="292"/>
      <c r="T41" s="292"/>
      <c r="U41" s="292"/>
      <c r="V41" s="292"/>
      <c r="W41" s="292"/>
      <c r="X41" s="292"/>
    </row>
    <row r="42" spans="1:24" x14ac:dyDescent="0.2">
      <c r="A42" s="292"/>
      <c r="B42" s="297"/>
      <c r="C42" s="297"/>
      <c r="D42" s="297"/>
      <c r="E42" s="296" t="s">
        <v>438</v>
      </c>
      <c r="F42" s="297"/>
      <c r="G42" s="297"/>
      <c r="H42" s="295">
        <f t="shared" si="4"/>
        <v>0</v>
      </c>
      <c r="I42" s="296" t="s">
        <v>438</v>
      </c>
      <c r="J42" s="299">
        <f t="shared" si="5"/>
        <v>0</v>
      </c>
      <c r="K42" s="300">
        <f t="shared" si="3"/>
        <v>0</v>
      </c>
      <c r="L42" s="292"/>
      <c r="M42" s="292"/>
      <c r="N42" s="292"/>
      <c r="O42" s="292"/>
      <c r="P42" s="292"/>
      <c r="Q42" s="292"/>
      <c r="R42" s="292"/>
      <c r="S42" s="292"/>
      <c r="T42" s="292"/>
      <c r="U42" s="292"/>
      <c r="V42" s="292"/>
      <c r="W42" s="292"/>
      <c r="X42" s="292"/>
    </row>
    <row r="43" spans="1:24" x14ac:dyDescent="0.2">
      <c r="A43" s="292"/>
      <c r="B43" s="297"/>
      <c r="C43" s="297"/>
      <c r="D43" s="297"/>
      <c r="E43" s="296" t="s">
        <v>438</v>
      </c>
      <c r="F43" s="297"/>
      <c r="G43" s="297"/>
      <c r="H43" s="295">
        <f t="shared" si="4"/>
        <v>0</v>
      </c>
      <c r="I43" s="296" t="s">
        <v>438</v>
      </c>
      <c r="J43" s="299">
        <f t="shared" si="5"/>
        <v>0</v>
      </c>
      <c r="K43" s="300">
        <f t="shared" si="3"/>
        <v>0</v>
      </c>
      <c r="L43" s="292"/>
      <c r="M43" s="292"/>
      <c r="N43" s="292"/>
      <c r="O43" s="292"/>
      <c r="P43" s="292"/>
      <c r="Q43" s="292"/>
      <c r="R43" s="292"/>
      <c r="S43" s="292"/>
      <c r="T43" s="292"/>
      <c r="U43" s="292"/>
      <c r="V43" s="292"/>
      <c r="W43" s="292"/>
      <c r="X43" s="292"/>
    </row>
    <row r="44" spans="1:24" x14ac:dyDescent="0.2">
      <c r="A44" s="292"/>
      <c r="B44" s="297"/>
      <c r="C44" s="297"/>
      <c r="D44" s="297"/>
      <c r="E44" s="296" t="s">
        <v>438</v>
      </c>
      <c r="F44" s="297"/>
      <c r="G44" s="297"/>
      <c r="H44" s="295">
        <f t="shared" si="4"/>
        <v>0</v>
      </c>
      <c r="I44" s="296" t="s">
        <v>438</v>
      </c>
      <c r="J44" s="299">
        <f t="shared" si="5"/>
        <v>0</v>
      </c>
      <c r="K44" s="300">
        <f t="shared" si="3"/>
        <v>0</v>
      </c>
      <c r="L44" s="292"/>
      <c r="M44" s="292"/>
      <c r="N44" s="292"/>
      <c r="O44" s="292"/>
      <c r="P44" s="292"/>
      <c r="Q44" s="292"/>
      <c r="R44" s="292"/>
      <c r="S44" s="292"/>
      <c r="T44" s="292"/>
      <c r="U44" s="292"/>
      <c r="V44" s="292"/>
      <c r="W44" s="292"/>
      <c r="X44" s="292"/>
    </row>
    <row r="45" spans="1:24" x14ac:dyDescent="0.2">
      <c r="A45" s="292"/>
      <c r="B45" s="297"/>
      <c r="C45" s="297"/>
      <c r="D45" s="297"/>
      <c r="E45" s="296" t="s">
        <v>438</v>
      </c>
      <c r="F45" s="297"/>
      <c r="G45" s="297"/>
      <c r="H45" s="295">
        <f t="shared" si="4"/>
        <v>0</v>
      </c>
      <c r="I45" s="296" t="s">
        <v>438</v>
      </c>
      <c r="J45" s="299">
        <f t="shared" si="5"/>
        <v>0</v>
      </c>
      <c r="K45" s="300">
        <f t="shared" si="3"/>
        <v>0</v>
      </c>
      <c r="L45" s="292"/>
      <c r="M45" s="292"/>
      <c r="N45" s="292"/>
      <c r="O45" s="292"/>
      <c r="P45" s="292"/>
      <c r="Q45" s="292"/>
      <c r="R45" s="292"/>
      <c r="S45" s="292"/>
      <c r="T45" s="292"/>
      <c r="U45" s="292"/>
      <c r="V45" s="292"/>
      <c r="W45" s="292"/>
      <c r="X45" s="292"/>
    </row>
    <row r="46" spans="1:24" x14ac:dyDescent="0.2">
      <c r="A46" s="292"/>
      <c r="B46" s="297"/>
      <c r="C46" s="297"/>
      <c r="D46" s="297"/>
      <c r="E46" s="296" t="s">
        <v>438</v>
      </c>
      <c r="F46" s="297"/>
      <c r="G46" s="297"/>
      <c r="H46" s="295">
        <f t="shared" si="4"/>
        <v>0</v>
      </c>
      <c r="I46" s="296" t="s">
        <v>438</v>
      </c>
      <c r="J46" s="299">
        <f t="shared" si="5"/>
        <v>0</v>
      </c>
      <c r="K46" s="300">
        <f t="shared" si="3"/>
        <v>0</v>
      </c>
      <c r="L46" s="292"/>
      <c r="M46" s="292"/>
      <c r="N46" s="292"/>
      <c r="O46" s="292"/>
      <c r="P46" s="292"/>
      <c r="Q46" s="292"/>
      <c r="R46" s="292"/>
      <c r="S46" s="292"/>
      <c r="T46" s="292"/>
      <c r="U46" s="292"/>
      <c r="V46" s="292"/>
      <c r="W46" s="292"/>
      <c r="X46" s="292"/>
    </row>
    <row r="47" spans="1:24" x14ac:dyDescent="0.2">
      <c r="A47" s="292"/>
      <c r="B47" s="297"/>
      <c r="C47" s="297"/>
      <c r="D47" s="297"/>
      <c r="E47" s="296" t="s">
        <v>438</v>
      </c>
      <c r="F47" s="297"/>
      <c r="G47" s="297"/>
      <c r="H47" s="295">
        <f t="shared" si="4"/>
        <v>0</v>
      </c>
      <c r="I47" s="296" t="s">
        <v>438</v>
      </c>
      <c r="J47" s="299">
        <f t="shared" si="5"/>
        <v>0</v>
      </c>
      <c r="K47" s="300">
        <f t="shared" si="3"/>
        <v>0</v>
      </c>
      <c r="L47" s="292"/>
      <c r="M47" s="292"/>
      <c r="N47" s="292"/>
      <c r="O47" s="292"/>
      <c r="P47" s="292"/>
      <c r="Q47" s="292"/>
      <c r="R47" s="292"/>
      <c r="S47" s="292"/>
      <c r="T47" s="292"/>
      <c r="U47" s="292"/>
      <c r="V47" s="292"/>
      <c r="W47" s="292"/>
      <c r="X47" s="292"/>
    </row>
    <row r="48" spans="1:24" x14ac:dyDescent="0.2">
      <c r="A48" s="292"/>
      <c r="B48" s="292"/>
      <c r="C48" s="292"/>
      <c r="D48" s="292"/>
      <c r="E48" s="292"/>
      <c r="F48" s="292"/>
      <c r="G48" s="292"/>
      <c r="H48" s="292"/>
      <c r="I48" s="292"/>
      <c r="J48" s="292"/>
      <c r="K48" s="292"/>
      <c r="L48" s="292"/>
      <c r="M48" s="292"/>
      <c r="N48" s="292"/>
      <c r="O48" s="292"/>
      <c r="P48" s="292"/>
      <c r="Q48" s="292"/>
      <c r="R48" s="292"/>
      <c r="S48" s="292"/>
      <c r="T48" s="292"/>
      <c r="U48" s="292"/>
      <c r="V48" s="292"/>
      <c r="W48" s="292"/>
      <c r="X48" s="292"/>
    </row>
    <row r="49" spans="1:25" x14ac:dyDescent="0.2">
      <c r="A49" s="292"/>
      <c r="B49" s="301" t="s">
        <v>468</v>
      </c>
      <c r="C49" s="301"/>
      <c r="D49" s="301"/>
      <c r="E49" s="301"/>
      <c r="F49" s="301"/>
      <c r="G49" s="301"/>
      <c r="H49" s="301"/>
      <c r="I49" s="301"/>
      <c r="J49" s="301"/>
      <c r="K49" s="301"/>
      <c r="L49" s="292"/>
      <c r="M49" s="292"/>
      <c r="N49" s="292"/>
      <c r="O49" s="292"/>
      <c r="P49" s="292"/>
      <c r="Q49" s="292"/>
      <c r="R49" s="292"/>
      <c r="S49" s="292"/>
      <c r="T49" s="292"/>
      <c r="U49" s="292"/>
      <c r="V49" s="292"/>
      <c r="W49" s="292"/>
      <c r="X49" s="292"/>
      <c r="Y49" s="292"/>
    </row>
    <row r="50" spans="1:25" x14ac:dyDescent="0.2">
      <c r="A50" s="292"/>
      <c r="B50" s="444" t="s">
        <v>469</v>
      </c>
      <c r="C50" s="446" t="s">
        <v>425</v>
      </c>
      <c r="D50" s="448" t="s">
        <v>455</v>
      </c>
      <c r="E50" s="449"/>
      <c r="F50" s="450"/>
      <c r="G50" s="446" t="s">
        <v>456</v>
      </c>
      <c r="H50" s="446" t="s">
        <v>457</v>
      </c>
      <c r="I50" s="446" t="s">
        <v>438</v>
      </c>
      <c r="J50" s="446" t="s">
        <v>470</v>
      </c>
      <c r="K50" s="451" t="s">
        <v>458</v>
      </c>
      <c r="L50" s="292"/>
      <c r="M50" s="292"/>
      <c r="N50" s="292"/>
      <c r="O50" s="292"/>
      <c r="P50" s="292"/>
      <c r="Q50" s="292"/>
      <c r="R50" s="292"/>
      <c r="S50" s="292"/>
      <c r="T50" s="292"/>
      <c r="U50" s="292"/>
      <c r="V50" s="292"/>
      <c r="W50" s="292"/>
      <c r="X50" s="292"/>
      <c r="Y50" s="292"/>
    </row>
    <row r="51" spans="1:25" x14ac:dyDescent="0.2">
      <c r="A51" s="292"/>
      <c r="B51" s="445"/>
      <c r="C51" s="447"/>
      <c r="D51" s="302" t="s">
        <v>459</v>
      </c>
      <c r="E51" s="302" t="s">
        <v>438</v>
      </c>
      <c r="F51" s="302" t="s">
        <v>460</v>
      </c>
      <c r="G51" s="447"/>
      <c r="H51" s="447"/>
      <c r="I51" s="447"/>
      <c r="J51" s="447"/>
      <c r="K51" s="451"/>
      <c r="L51" s="292"/>
      <c r="M51" s="292"/>
      <c r="N51" s="292"/>
      <c r="O51" s="292"/>
      <c r="P51" s="292"/>
      <c r="Q51" s="292"/>
      <c r="R51" s="292">
        <v>4.6500000000000004</v>
      </c>
      <c r="S51" s="292"/>
      <c r="T51" s="292"/>
      <c r="U51" s="292"/>
      <c r="V51" s="292"/>
      <c r="W51" s="292"/>
      <c r="X51" s="292"/>
      <c r="Y51" s="292"/>
    </row>
    <row r="52" spans="1:25" x14ac:dyDescent="0.2">
      <c r="A52" s="292"/>
      <c r="B52" s="297"/>
      <c r="C52" s="297"/>
      <c r="D52" s="297"/>
      <c r="E52" s="296" t="s">
        <v>438</v>
      </c>
      <c r="F52" s="297"/>
      <c r="G52" s="297"/>
      <c r="H52" s="295">
        <f>D52/1000*F52/1000</f>
        <v>0</v>
      </c>
      <c r="I52" s="296" t="s">
        <v>438</v>
      </c>
      <c r="J52" s="303"/>
      <c r="K52" s="300">
        <f>IF(G52="",0,(IF(G52&gt;R51,"NG",IF(J52&gt;R52,R52,J52))))</f>
        <v>0</v>
      </c>
      <c r="L52" s="292"/>
      <c r="M52" s="292"/>
      <c r="N52" s="292"/>
      <c r="O52" s="292"/>
      <c r="P52" s="292"/>
      <c r="Q52" s="292" t="s">
        <v>471</v>
      </c>
      <c r="R52" s="292">
        <v>150000</v>
      </c>
      <c r="S52" s="292"/>
      <c r="T52" s="292"/>
      <c r="U52" s="292"/>
      <c r="V52" s="292"/>
      <c r="W52" s="292"/>
      <c r="X52" s="292"/>
      <c r="Y52" s="292"/>
    </row>
    <row r="53" spans="1:25" x14ac:dyDescent="0.2">
      <c r="A53" s="292"/>
      <c r="B53" s="304"/>
      <c r="C53" s="292"/>
      <c r="D53" s="292"/>
      <c r="E53" s="292"/>
      <c r="F53" s="292"/>
      <c r="G53" s="292"/>
      <c r="H53" s="292"/>
      <c r="I53" s="292"/>
      <c r="J53" s="292"/>
      <c r="K53" s="292"/>
      <c r="L53" s="292"/>
      <c r="M53" s="292"/>
      <c r="N53" s="292"/>
      <c r="O53" s="292"/>
      <c r="P53" s="292"/>
      <c r="Q53" s="292" t="s">
        <v>472</v>
      </c>
      <c r="R53" s="292"/>
      <c r="S53" s="292"/>
      <c r="T53" s="292"/>
      <c r="U53" s="292"/>
      <c r="V53" s="292"/>
      <c r="W53" s="292"/>
      <c r="X53" s="292"/>
    </row>
    <row r="54" spans="1:25" ht="24" customHeight="1" x14ac:dyDescent="0.2">
      <c r="A54" s="292"/>
      <c r="B54" s="437" t="s">
        <v>473</v>
      </c>
      <c r="C54" s="438"/>
      <c r="D54" s="439">
        <f>SUM(K11:K19,K24:K47,K52)</f>
        <v>0</v>
      </c>
      <c r="E54" s="439"/>
      <c r="F54" s="439"/>
      <c r="G54" s="292" t="s">
        <v>18</v>
      </c>
      <c r="H54" s="292"/>
      <c r="I54" s="292"/>
      <c r="J54" s="292"/>
      <c r="K54" s="292"/>
      <c r="L54" s="292"/>
      <c r="M54" s="292"/>
      <c r="N54" s="292"/>
      <c r="O54" s="292"/>
      <c r="P54" s="292"/>
      <c r="Q54" s="292"/>
      <c r="R54" s="292"/>
      <c r="S54" s="292"/>
      <c r="T54" s="292"/>
      <c r="U54" s="292"/>
      <c r="V54" s="292"/>
      <c r="W54" s="292"/>
      <c r="X54" s="292"/>
    </row>
    <row r="55" spans="1:25" x14ac:dyDescent="0.2">
      <c r="A55" s="292"/>
      <c r="B55" s="292"/>
      <c r="C55" s="292"/>
      <c r="D55" s="305"/>
      <c r="E55" s="305"/>
      <c r="F55" s="305"/>
      <c r="G55" s="292" t="s">
        <v>474</v>
      </c>
      <c r="H55" s="292"/>
      <c r="I55" s="292"/>
      <c r="J55" s="292"/>
      <c r="K55" s="292"/>
      <c r="L55" s="292"/>
      <c r="M55" s="292"/>
      <c r="N55" s="292"/>
      <c r="O55" s="292"/>
      <c r="P55" s="292"/>
      <c r="Q55" s="292"/>
      <c r="R55" s="292"/>
      <c r="S55" s="292"/>
      <c r="T55" s="292"/>
      <c r="U55" s="292"/>
      <c r="V55" s="292"/>
      <c r="W55" s="292"/>
      <c r="X55" s="292"/>
    </row>
    <row r="56" spans="1:25" x14ac:dyDescent="0.2">
      <c r="A56" s="292"/>
      <c r="B56" s="292"/>
      <c r="C56" s="292"/>
      <c r="D56" s="305"/>
      <c r="E56" s="305"/>
      <c r="F56" s="305"/>
      <c r="G56" s="292"/>
      <c r="H56" s="292"/>
      <c r="I56" s="292"/>
      <c r="J56" s="292"/>
      <c r="K56" s="292"/>
      <c r="L56" s="292"/>
      <c r="M56" s="292"/>
      <c r="N56" s="292"/>
      <c r="O56" s="292"/>
      <c r="P56" s="292"/>
      <c r="Q56" s="292"/>
      <c r="R56" s="292"/>
      <c r="S56" s="292"/>
      <c r="T56" s="292"/>
      <c r="U56" s="292"/>
      <c r="V56" s="292"/>
      <c r="W56" s="292"/>
      <c r="X56" s="292"/>
    </row>
    <row r="57" spans="1:25" ht="24" customHeight="1" x14ac:dyDescent="0.2">
      <c r="A57" s="292"/>
      <c r="B57" s="437" t="s">
        <v>475</v>
      </c>
      <c r="C57" s="437"/>
      <c r="D57" s="440"/>
      <c r="E57" s="440"/>
      <c r="F57" s="440"/>
      <c r="G57" s="292" t="s">
        <v>18</v>
      </c>
      <c r="H57" s="292"/>
      <c r="I57" s="292"/>
      <c r="J57" s="292"/>
      <c r="K57" s="292"/>
      <c r="L57" s="292"/>
      <c r="M57" s="292"/>
      <c r="N57" s="292"/>
      <c r="O57" s="292"/>
      <c r="P57" s="292"/>
      <c r="Q57" s="292"/>
      <c r="R57" s="292"/>
      <c r="S57" s="292"/>
      <c r="T57" s="292"/>
      <c r="U57" s="292"/>
      <c r="V57" s="292"/>
      <c r="W57" s="292"/>
      <c r="X57" s="292"/>
    </row>
    <row r="58" spans="1:25" x14ac:dyDescent="0.2">
      <c r="A58" s="292"/>
      <c r="B58" s="304"/>
      <c r="C58" s="292"/>
      <c r="D58" s="305"/>
      <c r="E58" s="305"/>
      <c r="F58" s="305"/>
      <c r="G58" s="292"/>
      <c r="H58" s="292"/>
      <c r="I58" s="292"/>
      <c r="J58" s="292"/>
      <c r="K58" s="292"/>
      <c r="L58" s="292"/>
      <c r="M58" s="292"/>
      <c r="N58" s="292"/>
      <c r="O58" s="292"/>
      <c r="P58" s="292"/>
      <c r="Q58" s="292"/>
      <c r="R58" s="292"/>
      <c r="S58" s="292"/>
      <c r="T58" s="292"/>
      <c r="U58" s="292"/>
      <c r="V58" s="292"/>
      <c r="W58" s="292"/>
      <c r="X58" s="292"/>
    </row>
    <row r="59" spans="1:25" ht="24" customHeight="1" x14ac:dyDescent="0.2">
      <c r="A59" s="292"/>
      <c r="B59" s="438" t="s">
        <v>476</v>
      </c>
      <c r="C59" s="438"/>
      <c r="D59" s="440"/>
      <c r="E59" s="440"/>
      <c r="F59" s="440"/>
      <c r="G59" s="292" t="s">
        <v>18</v>
      </c>
      <c r="H59" s="292" t="s">
        <v>477</v>
      </c>
      <c r="I59" s="292"/>
      <c r="J59" s="292"/>
      <c r="K59" s="292"/>
      <c r="L59" s="292"/>
      <c r="M59" s="292"/>
      <c r="N59" s="292"/>
      <c r="O59" s="292"/>
      <c r="P59" s="292"/>
      <c r="Q59" s="292"/>
      <c r="R59" s="292"/>
      <c r="S59" s="292"/>
      <c r="T59" s="292"/>
      <c r="U59" s="292"/>
      <c r="V59" s="292"/>
      <c r="W59" s="292"/>
      <c r="X59" s="292"/>
    </row>
    <row r="60" spans="1:25" x14ac:dyDescent="0.2">
      <c r="A60" s="292"/>
      <c r="B60" s="292"/>
      <c r="C60" s="292"/>
      <c r="D60" s="305"/>
      <c r="E60" s="305"/>
      <c r="F60" s="305"/>
      <c r="G60" s="292"/>
      <c r="H60" s="292"/>
      <c r="I60" s="292"/>
      <c r="J60" s="292"/>
      <c r="K60" s="292"/>
      <c r="L60" s="292"/>
      <c r="M60" s="292"/>
      <c r="N60" s="292"/>
      <c r="O60" s="292"/>
      <c r="P60" s="292"/>
      <c r="Q60" s="292"/>
      <c r="R60" s="292"/>
      <c r="S60" s="292"/>
      <c r="T60" s="292"/>
      <c r="U60" s="292"/>
      <c r="V60" s="292"/>
      <c r="W60" s="292"/>
      <c r="X60" s="292"/>
    </row>
    <row r="61" spans="1:25" ht="24" customHeight="1" x14ac:dyDescent="0.2">
      <c r="A61" s="292"/>
      <c r="B61" s="437" t="s">
        <v>478</v>
      </c>
      <c r="C61" s="438"/>
      <c r="D61" s="439" t="str">
        <f>IF(D59="","",(D59+IF(J52&lt;150000,J52,150000)))</f>
        <v/>
      </c>
      <c r="E61" s="439"/>
      <c r="F61" s="439"/>
      <c r="G61" s="292" t="s">
        <v>18</v>
      </c>
      <c r="H61" s="292"/>
      <c r="I61" s="292"/>
      <c r="J61" s="292"/>
      <c r="K61" s="292"/>
      <c r="L61" s="292"/>
      <c r="M61" s="292"/>
      <c r="N61" s="292"/>
      <c r="O61" s="292"/>
      <c r="P61" s="292"/>
      <c r="Q61" s="292"/>
      <c r="R61" s="292"/>
      <c r="S61" s="292"/>
      <c r="T61" s="292"/>
      <c r="U61" s="292"/>
      <c r="V61" s="292"/>
      <c r="W61" s="292"/>
      <c r="X61" s="292"/>
    </row>
    <row r="62" spans="1:25" x14ac:dyDescent="0.2">
      <c r="A62" s="292"/>
      <c r="B62" s="304"/>
      <c r="C62" s="292"/>
      <c r="D62" s="305"/>
      <c r="E62" s="305"/>
      <c r="F62" s="305"/>
      <c r="G62" s="292"/>
      <c r="H62" s="292"/>
      <c r="I62" s="292"/>
      <c r="J62" s="292"/>
      <c r="K62" s="292"/>
      <c r="L62" s="292"/>
      <c r="M62" s="292"/>
      <c r="N62" s="292"/>
      <c r="O62" s="292"/>
      <c r="P62" s="292"/>
      <c r="Q62" s="292"/>
      <c r="R62" s="292"/>
      <c r="S62" s="292"/>
      <c r="T62" s="292"/>
      <c r="U62" s="292"/>
      <c r="V62" s="292"/>
      <c r="W62" s="292"/>
      <c r="X62" s="292"/>
    </row>
    <row r="63" spans="1:25" ht="24" customHeight="1" x14ac:dyDescent="0.2">
      <c r="A63" s="292"/>
      <c r="B63" s="437" t="s">
        <v>440</v>
      </c>
      <c r="C63" s="438"/>
      <c r="D63" s="439">
        <f>MIN(D54,D61)</f>
        <v>0</v>
      </c>
      <c r="E63" s="439"/>
      <c r="F63" s="439"/>
      <c r="G63" s="292" t="s">
        <v>18</v>
      </c>
      <c r="H63" s="292"/>
      <c r="I63" s="292"/>
      <c r="J63" s="292"/>
      <c r="K63" s="292"/>
      <c r="L63" s="292"/>
      <c r="M63" s="292"/>
      <c r="N63" s="292"/>
      <c r="O63" s="292"/>
      <c r="P63" s="292"/>
      <c r="Q63" s="292"/>
      <c r="R63" s="292"/>
      <c r="S63" s="292"/>
      <c r="T63" s="292"/>
      <c r="U63" s="292"/>
      <c r="V63" s="292"/>
      <c r="W63" s="292"/>
      <c r="X63" s="292"/>
    </row>
    <row r="64" spans="1:25" x14ac:dyDescent="0.2">
      <c r="A64" s="292"/>
      <c r="B64" s="292"/>
      <c r="C64" s="292"/>
      <c r="D64" s="292"/>
      <c r="E64" s="292"/>
      <c r="F64" s="292"/>
      <c r="G64" s="292"/>
      <c r="H64" s="292"/>
      <c r="I64" s="292"/>
      <c r="J64" s="292"/>
      <c r="K64" s="292"/>
      <c r="L64" s="292"/>
      <c r="M64" s="292"/>
      <c r="N64" s="292"/>
      <c r="O64" s="292"/>
      <c r="P64" s="292"/>
      <c r="Q64" s="292"/>
      <c r="R64" s="292"/>
      <c r="S64" s="292"/>
      <c r="T64" s="292"/>
      <c r="U64" s="292"/>
      <c r="V64" s="292"/>
      <c r="W64" s="292"/>
      <c r="X64" s="292"/>
    </row>
    <row r="65" spans="1:24" x14ac:dyDescent="0.2">
      <c r="A65" s="292"/>
      <c r="B65" s="304"/>
      <c r="C65" s="292"/>
      <c r="D65" s="292"/>
      <c r="E65" s="292"/>
      <c r="F65" s="292"/>
      <c r="G65" s="292"/>
      <c r="H65" s="292"/>
      <c r="I65" s="292"/>
      <c r="J65" s="292"/>
      <c r="K65" s="292"/>
      <c r="L65" s="292"/>
      <c r="M65" s="292"/>
      <c r="N65" s="292"/>
      <c r="O65" s="292"/>
      <c r="P65" s="292"/>
      <c r="Q65" s="292"/>
      <c r="R65" s="292"/>
      <c r="S65" s="292"/>
      <c r="T65" s="292"/>
      <c r="U65" s="292"/>
      <c r="V65" s="292"/>
      <c r="W65" s="292"/>
      <c r="X65" s="292"/>
    </row>
    <row r="66" spans="1:24" ht="24" customHeight="1" x14ac:dyDescent="0.2">
      <c r="A66" s="292"/>
      <c r="B66" s="437" t="s">
        <v>267</v>
      </c>
      <c r="C66" s="438"/>
      <c r="D66" s="439">
        <f>IF(D63/3&gt;O66,O66,(ROUNDDOWN(D63/3,-3)))</f>
        <v>0</v>
      </c>
      <c r="E66" s="439"/>
      <c r="F66" s="439"/>
      <c r="G66" s="292" t="s">
        <v>18</v>
      </c>
      <c r="H66" s="292"/>
      <c r="I66" s="292"/>
      <c r="J66" s="292"/>
      <c r="K66" s="292"/>
      <c r="L66" s="292"/>
      <c r="M66" s="292" t="str">
        <f>C6</f>
        <v/>
      </c>
      <c r="N66" s="292"/>
      <c r="O66" s="292">
        <f>IF(M66="",0,IF(M66=R7,500000,IF(M66=R6,1000000,IF(M66=R5,1500000))))</f>
        <v>0</v>
      </c>
      <c r="P66" s="292"/>
      <c r="Q66" s="292"/>
      <c r="R66" s="292"/>
      <c r="S66" s="292"/>
      <c r="T66" s="292"/>
      <c r="U66" s="292"/>
      <c r="V66" s="292"/>
      <c r="W66" s="292"/>
      <c r="X66" s="292"/>
    </row>
    <row r="67" spans="1:24" x14ac:dyDescent="0.2">
      <c r="A67" s="292"/>
      <c r="B67" s="292"/>
      <c r="C67" s="292"/>
      <c r="D67" s="292"/>
      <c r="E67" s="292"/>
      <c r="F67" s="292"/>
      <c r="G67" s="292"/>
      <c r="H67" s="292"/>
      <c r="I67" s="292"/>
      <c r="J67" s="292"/>
      <c r="K67" s="292"/>
      <c r="L67" s="292"/>
      <c r="M67" s="292"/>
      <c r="N67" s="292"/>
      <c r="O67" s="292"/>
      <c r="P67" s="292"/>
      <c r="Q67" s="292"/>
      <c r="R67" s="292"/>
      <c r="S67" s="292"/>
      <c r="T67" s="292"/>
      <c r="U67" s="292"/>
      <c r="V67" s="292"/>
      <c r="W67" s="292"/>
      <c r="X67" s="292"/>
    </row>
  </sheetData>
  <sheetProtection algorithmName="SHA-512" hashValue="PzzZHtEkUAhBqZ6smC6KtnaGt3b4TObiWxzAmPtGuugfOMpeBg3IUTs/fP78g9vUb9h7D9uhKL2LfacBa/e/yQ==" saltValue="3tUnzwkUZOaT2crPA1r1QA==" spinCount="100000" sheet="1" selectLockedCells="1"/>
  <mergeCells count="43">
    <mergeCell ref="A3:K3"/>
    <mergeCell ref="I6:K6"/>
    <mergeCell ref="D10:E10"/>
    <mergeCell ref="B11:B13"/>
    <mergeCell ref="D11:E11"/>
    <mergeCell ref="D12:E12"/>
    <mergeCell ref="D13:E13"/>
    <mergeCell ref="B14:B16"/>
    <mergeCell ref="D14:E14"/>
    <mergeCell ref="D15:E15"/>
    <mergeCell ref="D16:E16"/>
    <mergeCell ref="B17:B19"/>
    <mergeCell ref="D17:E17"/>
    <mergeCell ref="D18:E18"/>
    <mergeCell ref="D19:E19"/>
    <mergeCell ref="J22:J23"/>
    <mergeCell ref="K22:K23"/>
    <mergeCell ref="B50:B51"/>
    <mergeCell ref="C50:C51"/>
    <mergeCell ref="D50:F50"/>
    <mergeCell ref="G50:G51"/>
    <mergeCell ref="H50:H51"/>
    <mergeCell ref="I50:I51"/>
    <mergeCell ref="J50:J51"/>
    <mergeCell ref="K50:K51"/>
    <mergeCell ref="B22:B23"/>
    <mergeCell ref="C22:C23"/>
    <mergeCell ref="D22:F22"/>
    <mergeCell ref="G22:G23"/>
    <mergeCell ref="H22:H23"/>
    <mergeCell ref="I22:I23"/>
    <mergeCell ref="B54:C54"/>
    <mergeCell ref="D54:F54"/>
    <mergeCell ref="B57:C57"/>
    <mergeCell ref="D57:F57"/>
    <mergeCell ref="B59:C59"/>
    <mergeCell ref="D59:F59"/>
    <mergeCell ref="B61:C61"/>
    <mergeCell ref="D61:F61"/>
    <mergeCell ref="B63:C63"/>
    <mergeCell ref="D63:F63"/>
    <mergeCell ref="B66:C66"/>
    <mergeCell ref="D66:F66"/>
  </mergeCells>
  <phoneticPr fontId="1"/>
  <dataValidations count="3">
    <dataValidation type="list" allowBlank="1" showInputMessage="1" showErrorMessage="1" sqref="C24:C47" xr:uid="{EEFC2B9C-8ECE-4E76-A67E-3C32A26FE354}">
      <formula1>$Q$24:$Q$26</formula1>
    </dataValidation>
    <dataValidation type="list" allowBlank="1" showInputMessage="1" showErrorMessage="1" sqref="C52" xr:uid="{7EE14747-81FE-473F-82D0-3715C98CAB78}">
      <formula1>$Q$52:$Q$53</formula1>
    </dataValidation>
    <dataValidation type="list" allowBlank="1" showInputMessage="1" showErrorMessage="1" sqref="C11:C19" xr:uid="{08B71FC3-0CA3-404B-8F22-710FF576D74B}">
      <formula1>$Q$12:$Q$14</formula1>
    </dataValidation>
  </dataValidations>
  <pageMargins left="0.51181102362204722" right="0.51181102362204722" top="0.55118110236220474" bottom="0.55118110236220474" header="0.31496062992125984" footer="0.31496062992125984"/>
  <pageSetup paperSize="9" scale="84"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K61"/>
  <sheetViews>
    <sheetView view="pageBreakPreview" zoomScaleNormal="100" zoomScaleSheetLayoutView="100" workbookViewId="0">
      <selection activeCell="A17" sqref="A17:Z17"/>
    </sheetView>
  </sheetViews>
  <sheetFormatPr defaultColWidth="3.109375" defaultRowHeight="18" customHeight="1" x14ac:dyDescent="0.2"/>
  <cols>
    <col min="1" max="26" width="3.109375" style="1"/>
    <col min="27" max="27" width="9.109375" style="17" customWidth="1"/>
    <col min="28" max="16384" width="3.109375" style="1"/>
  </cols>
  <sheetData>
    <row r="1" spans="1:63" ht="15.75" customHeight="1" x14ac:dyDescent="0.2">
      <c r="A1" s="1" t="s">
        <v>491</v>
      </c>
    </row>
    <row r="2" spans="1:63" ht="15.75" customHeight="1" x14ac:dyDescent="0.2">
      <c r="A2" s="273"/>
      <c r="B2" s="273"/>
      <c r="C2" s="273"/>
      <c r="D2" s="273"/>
      <c r="E2" s="273"/>
      <c r="F2" s="273"/>
      <c r="G2" s="273"/>
      <c r="H2" s="273"/>
      <c r="I2" s="273"/>
      <c r="J2" s="273"/>
      <c r="K2" s="273"/>
      <c r="L2" s="273"/>
      <c r="M2" s="273"/>
      <c r="N2" s="273"/>
      <c r="O2" s="274" t="s">
        <v>389</v>
      </c>
      <c r="P2" s="274"/>
      <c r="Q2" s="485" t="str">
        <f>IF(【様式第６号の２】事業報告書兼チェックシート!C14="","",【様式第６号の２】事業報告書兼チェックシート!C14)</f>
        <v/>
      </c>
      <c r="R2" s="485"/>
      <c r="S2" s="275" t="s">
        <v>8</v>
      </c>
      <c r="T2" s="485" t="str">
        <f>IF(【様式第６号の２】事業報告書兼チェックシート!H14="","",【様式第６号の２】事業報告書兼チェックシート!H14)</f>
        <v/>
      </c>
      <c r="U2" s="485"/>
      <c r="V2" s="275" t="s">
        <v>351</v>
      </c>
      <c r="W2" s="485" t="str">
        <f>IF(【様式第６号の２】事業報告書兼チェックシート!K14="","",【様式第６号の２】事業報告書兼チェックシート!K14)</f>
        <v/>
      </c>
      <c r="X2" s="485"/>
      <c r="Y2" s="275" t="s">
        <v>7</v>
      </c>
      <c r="Z2" s="275"/>
      <c r="AA2" s="70" t="str">
        <f>IF(A2="令和　年　月　日","←申請日を入力してください。","")</f>
        <v/>
      </c>
      <c r="BK2" s="83" t="s">
        <v>157</v>
      </c>
    </row>
    <row r="3" spans="1:63" ht="15.7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BK3" s="83" t="s">
        <v>165</v>
      </c>
    </row>
    <row r="4" spans="1:63" ht="15.75" customHeight="1" x14ac:dyDescent="0.2"/>
    <row r="5" spans="1:63" ht="15.75" customHeight="1" x14ac:dyDescent="0.2">
      <c r="B5" s="1" t="str">
        <f>IF(【様式第６号の２】事業報告書兼チェックシート!BG35="","鳥取県　　　　　所長　様",【様式第６号の２】事業報告書兼チェックシート!BG35&amp;"　様")</f>
        <v>鳥取県　　　　　所長　様</v>
      </c>
    </row>
    <row r="6" spans="1:63" ht="15.75" customHeight="1" x14ac:dyDescent="0.2"/>
    <row r="7" spans="1:63" ht="15.75" customHeight="1" x14ac:dyDescent="0.2"/>
    <row r="8" spans="1:63" ht="15.75" customHeight="1" x14ac:dyDescent="0.2">
      <c r="M8" s="1" t="s">
        <v>14</v>
      </c>
    </row>
    <row r="9" spans="1:63" ht="15.75" customHeight="1" x14ac:dyDescent="0.2">
      <c r="M9" s="1" t="s">
        <v>13</v>
      </c>
      <c r="O9" s="1" t="s">
        <v>37</v>
      </c>
      <c r="P9" s="387" t="str">
        <f>IF(【様式第６号の２】事業報告書兼チェックシート!O16="","",【様式第６号の２】事業報告書兼チェックシート!O16)</f>
        <v/>
      </c>
      <c r="Q9" s="387"/>
      <c r="R9" s="387"/>
      <c r="S9" s="387"/>
      <c r="T9" s="387"/>
      <c r="U9" s="387"/>
      <c r="V9" s="387"/>
      <c r="W9" s="387"/>
      <c r="X9" s="387"/>
    </row>
    <row r="10" spans="1:63" ht="35.25" customHeight="1" x14ac:dyDescent="0.2">
      <c r="O10" s="336" t="str">
        <f>IF(【様式第６号の２】事業報告書兼チェックシート!N17="","",【様式第６号の２】事業報告書兼チェックシート!N17)</f>
        <v/>
      </c>
      <c r="P10" s="336"/>
      <c r="Q10" s="336"/>
      <c r="R10" s="336"/>
      <c r="S10" s="336"/>
      <c r="T10" s="336"/>
      <c r="U10" s="336"/>
      <c r="V10" s="336"/>
      <c r="W10" s="336"/>
      <c r="X10" s="336"/>
    </row>
    <row r="11" spans="1:63" ht="16.5" customHeight="1" x14ac:dyDescent="0.2">
      <c r="M11" s="1" t="s">
        <v>6</v>
      </c>
      <c r="O11" s="336" t="str">
        <f>IF(【様式第６号の２】事業報告書兼チェックシート!N18="","",【様式第６号の２】事業報告書兼チェックシート!N18)</f>
        <v/>
      </c>
      <c r="P11" s="336"/>
      <c r="Q11" s="336"/>
      <c r="R11" s="336"/>
      <c r="S11" s="336"/>
      <c r="T11" s="336"/>
      <c r="U11" s="336"/>
      <c r="V11" s="336"/>
      <c r="W11" s="336"/>
      <c r="X11" s="336"/>
      <c r="AA11" s="17" t="s">
        <v>57</v>
      </c>
    </row>
    <row r="12" spans="1:63" ht="16.5" customHeight="1" x14ac:dyDescent="0.2">
      <c r="M12" s="1" t="s">
        <v>9</v>
      </c>
      <c r="O12" s="336" t="str">
        <f>IF(【様式第６号の２】事業報告書兼チェックシート!N19="","",【様式第６号の２】事業報告書兼チェックシート!N19)</f>
        <v/>
      </c>
      <c r="P12" s="336"/>
      <c r="Q12" s="336"/>
      <c r="R12" s="336"/>
      <c r="S12" s="336"/>
      <c r="T12" s="336"/>
      <c r="U12" s="336"/>
      <c r="V12" s="336"/>
      <c r="W12" s="336"/>
      <c r="X12" s="336"/>
    </row>
    <row r="13" spans="1:63" ht="16.5" customHeight="1" x14ac:dyDescent="0.2"/>
    <row r="14" spans="1:63" ht="16.5" customHeight="1" x14ac:dyDescent="0.2"/>
    <row r="15" spans="1:63" ht="16.5" customHeight="1" x14ac:dyDescent="0.2">
      <c r="A15" s="337" t="s">
        <v>412</v>
      </c>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71"/>
      <c r="AB15" s="71"/>
      <c r="AC15" s="71"/>
      <c r="AD15" s="71"/>
      <c r="AE15" s="71"/>
      <c r="AF15" s="71"/>
      <c r="AG15" s="71"/>
    </row>
    <row r="16" spans="1:63" ht="16.5" customHeight="1" x14ac:dyDescent="0.2">
      <c r="AA16" s="71"/>
      <c r="AB16" s="71"/>
      <c r="AC16" s="487"/>
      <c r="AD16" s="487"/>
      <c r="AE16" s="487"/>
      <c r="AF16" s="487"/>
      <c r="AG16" s="487"/>
      <c r="AH16" s="72"/>
    </row>
    <row r="17" spans="1:52" ht="45" customHeight="1" x14ac:dyDescent="0.2">
      <c r="A17" s="486" t="s">
        <v>413</v>
      </c>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70" t="str">
        <f>IF(OR(A17=BK2,A17=BK3),"←交付決定年月日及びその番号を入力してください（変更承認を受けている場合はその承認年月日及びその番号の追記も必要になります。）","")</f>
        <v/>
      </c>
    </row>
    <row r="18" spans="1:52" ht="16.5" customHeight="1" x14ac:dyDescent="0.2">
      <c r="AA18" s="71"/>
    </row>
    <row r="19" spans="1:52" ht="16.5" customHeight="1" x14ac:dyDescent="0.2">
      <c r="A19" s="337" t="s">
        <v>15</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486"/>
      <c r="AB19" s="486"/>
      <c r="AC19" s="486"/>
      <c r="AD19" s="486"/>
      <c r="AE19" s="486"/>
      <c r="AF19" s="486"/>
      <c r="AG19" s="486"/>
      <c r="AH19" s="486"/>
      <c r="AI19" s="486"/>
      <c r="AJ19" s="486"/>
      <c r="AK19" s="486"/>
      <c r="AL19" s="486"/>
      <c r="AM19" s="486"/>
      <c r="AN19" s="486"/>
      <c r="AO19" s="486"/>
      <c r="AP19" s="486"/>
      <c r="AQ19" s="486"/>
      <c r="AR19" s="486"/>
      <c r="AS19" s="486"/>
      <c r="AT19" s="486"/>
      <c r="AU19" s="486"/>
      <c r="AV19" s="486"/>
      <c r="AW19" s="486"/>
      <c r="AX19" s="486"/>
      <c r="AY19" s="486"/>
      <c r="AZ19" s="486"/>
    </row>
    <row r="20" spans="1:52" ht="16.5" customHeight="1" x14ac:dyDescent="0.2"/>
    <row r="21" spans="1:52" ht="16.5" customHeight="1" x14ac:dyDescent="0.2">
      <c r="B21" s="315" t="s">
        <v>159</v>
      </c>
      <c r="C21" s="316"/>
      <c r="D21" s="316"/>
      <c r="E21" s="316"/>
      <c r="F21" s="316"/>
      <c r="G21" s="317"/>
      <c r="H21" s="315" t="s">
        <v>16</v>
      </c>
      <c r="I21" s="316"/>
      <c r="J21" s="316"/>
      <c r="K21" s="316"/>
      <c r="L21" s="316"/>
      <c r="M21" s="316"/>
      <c r="N21" s="316"/>
      <c r="O21" s="316"/>
      <c r="P21" s="316"/>
      <c r="Q21" s="316"/>
      <c r="R21" s="316"/>
      <c r="S21" s="316"/>
      <c r="T21" s="316"/>
      <c r="U21" s="316"/>
      <c r="V21" s="316"/>
      <c r="W21" s="316"/>
      <c r="X21" s="316"/>
      <c r="Y21" s="317"/>
    </row>
    <row r="22" spans="1:52" ht="16.5" customHeight="1" x14ac:dyDescent="0.2">
      <c r="B22" s="324" t="s">
        <v>415</v>
      </c>
      <c r="C22" s="325"/>
      <c r="D22" s="325"/>
      <c r="E22" s="325"/>
      <c r="F22" s="325"/>
      <c r="G22" s="326"/>
      <c r="H22" s="495" t="s">
        <v>17</v>
      </c>
      <c r="I22" s="496"/>
      <c r="J22" s="496"/>
      <c r="K22" s="496"/>
      <c r="L22" s="496"/>
      <c r="M22" s="496"/>
      <c r="N22" s="496"/>
      <c r="O22" s="496"/>
      <c r="P22" s="497"/>
      <c r="Q22" s="315" t="s">
        <v>414</v>
      </c>
      <c r="R22" s="316"/>
      <c r="S22" s="316"/>
      <c r="T22" s="316"/>
      <c r="U22" s="316"/>
      <c r="V22" s="316"/>
      <c r="W22" s="316"/>
      <c r="X22" s="316"/>
      <c r="Y22" s="317"/>
    </row>
    <row r="23" spans="1:52" ht="16.5" customHeight="1" x14ac:dyDescent="0.2">
      <c r="B23" s="327"/>
      <c r="C23" s="328"/>
      <c r="D23" s="328"/>
      <c r="E23" s="328"/>
      <c r="F23" s="328"/>
      <c r="G23" s="329"/>
      <c r="H23" s="493" t="str">
        <f>IF('要入力　登録決定状況入力シート'!C9="","",'要入力　登録決定状況入力シート'!C9)</f>
        <v/>
      </c>
      <c r="I23" s="494"/>
      <c r="J23" s="494"/>
      <c r="K23" s="494"/>
      <c r="L23" s="494"/>
      <c r="M23" s="494"/>
      <c r="N23" s="494"/>
      <c r="O23" s="494"/>
      <c r="P23" s="57" t="s">
        <v>18</v>
      </c>
      <c r="Q23" s="493" t="str">
        <f>'要入力　登録決定状況入力シート'!D9</f>
        <v/>
      </c>
      <c r="R23" s="494"/>
      <c r="S23" s="494"/>
      <c r="T23" s="494"/>
      <c r="U23" s="494"/>
      <c r="V23" s="494"/>
      <c r="W23" s="494"/>
      <c r="X23" s="494"/>
      <c r="Y23" s="57" t="s">
        <v>18</v>
      </c>
      <c r="AA23" s="71" t="str">
        <f>IF(OR(H23="",Q23=""),"←金額は｢要入力　交付決定状況入力シート｣と連動、当該シートの青の欄に交付決定通知（変更した場合は変更承認通知）記載の金額を入力してください。","")</f>
        <v>←金額は｢要入力　交付決定状況入力シート｣と連動、当該シートの青の欄に交付決定通知（変更した場合は変更承認通知）記載の金額を入力してください。</v>
      </c>
    </row>
    <row r="24" spans="1:52" ht="16.5" customHeight="1" x14ac:dyDescent="0.2">
      <c r="B24" s="315" t="s">
        <v>416</v>
      </c>
      <c r="C24" s="316"/>
      <c r="D24" s="316"/>
      <c r="E24" s="316"/>
      <c r="F24" s="316"/>
      <c r="G24" s="317"/>
      <c r="H24" s="493" t="str">
        <f>IF(【様式第６号の２】事業報告書兼チェックシート!K176="","",'要入力　登録決定状況入力シート'!G9)</f>
        <v/>
      </c>
      <c r="I24" s="494"/>
      <c r="J24" s="494"/>
      <c r="K24" s="494"/>
      <c r="L24" s="494"/>
      <c r="M24" s="494"/>
      <c r="N24" s="494"/>
      <c r="O24" s="494"/>
      <c r="P24" s="57" t="s">
        <v>18</v>
      </c>
      <c r="Q24" s="493" t="str">
        <f>IF(【様式第６号の２】事業報告書兼チェックシート!K176="","",'要入力　登録決定状況入力シート'!H9)</f>
        <v/>
      </c>
      <c r="R24" s="494"/>
      <c r="S24" s="494"/>
      <c r="T24" s="494"/>
      <c r="U24" s="494"/>
      <c r="V24" s="494"/>
      <c r="W24" s="494"/>
      <c r="X24" s="494"/>
      <c r="Y24" s="57" t="s">
        <v>18</v>
      </c>
      <c r="AA24" s="71" t="s">
        <v>58</v>
      </c>
    </row>
    <row r="25" spans="1:52" ht="16.5" customHeight="1" x14ac:dyDescent="0.2">
      <c r="B25" s="315" t="s">
        <v>160</v>
      </c>
      <c r="C25" s="316"/>
      <c r="D25" s="316"/>
      <c r="E25" s="316"/>
      <c r="F25" s="316"/>
      <c r="G25" s="317"/>
      <c r="H25" s="493" t="str">
        <f>IF(H23="","",H24-H23)</f>
        <v/>
      </c>
      <c r="I25" s="494"/>
      <c r="J25" s="494"/>
      <c r="K25" s="494"/>
      <c r="L25" s="494"/>
      <c r="M25" s="494"/>
      <c r="N25" s="494"/>
      <c r="O25" s="494"/>
      <c r="P25" s="57" t="s">
        <v>18</v>
      </c>
      <c r="Q25" s="493" t="str">
        <f>IF(Q23="","",Q24-Q23)</f>
        <v/>
      </c>
      <c r="R25" s="494"/>
      <c r="S25" s="494"/>
      <c r="T25" s="494"/>
      <c r="U25" s="494"/>
      <c r="V25" s="494"/>
      <c r="W25" s="494"/>
      <c r="X25" s="494"/>
      <c r="Y25" s="57" t="s">
        <v>18</v>
      </c>
      <c r="AA25" s="71"/>
    </row>
    <row r="26" spans="1:52" ht="16.5" customHeight="1" x14ac:dyDescent="0.2">
      <c r="B26" s="324" t="s">
        <v>19</v>
      </c>
      <c r="C26" s="325"/>
      <c r="D26" s="325"/>
      <c r="E26" s="325"/>
      <c r="F26" s="325"/>
      <c r="G26" s="326"/>
      <c r="H26" s="58"/>
      <c r="I26" s="59"/>
      <c r="J26" s="31"/>
      <c r="K26" s="31"/>
      <c r="L26" s="31"/>
      <c r="M26" s="31"/>
      <c r="N26" s="31"/>
      <c r="O26" s="31"/>
      <c r="P26" s="31"/>
      <c r="Q26" s="31"/>
      <c r="R26" s="31"/>
      <c r="S26" s="31"/>
      <c r="T26" s="31"/>
      <c r="U26" s="31"/>
      <c r="V26" s="31"/>
      <c r="W26" s="31"/>
      <c r="X26" s="31"/>
      <c r="Y26" s="7"/>
      <c r="AA26" s="71"/>
    </row>
    <row r="27" spans="1:52" ht="16.5" customHeight="1" x14ac:dyDescent="0.2">
      <c r="B27" s="22"/>
      <c r="G27" s="60"/>
      <c r="H27" s="61" t="s">
        <v>492</v>
      </c>
      <c r="I27" s="13"/>
      <c r="J27" s="13"/>
      <c r="K27" s="13"/>
      <c r="L27" s="13"/>
      <c r="M27" s="13"/>
      <c r="N27" s="13"/>
      <c r="O27" s="13"/>
      <c r="P27" s="13"/>
      <c r="Q27" s="13"/>
      <c r="R27" s="13"/>
      <c r="S27" s="13"/>
      <c r="T27" s="13"/>
      <c r="U27" s="13"/>
      <c r="V27" s="13"/>
      <c r="W27" s="13"/>
      <c r="X27" s="13"/>
      <c r="Y27" s="62"/>
      <c r="AA27" s="71" t="s">
        <v>59</v>
      </c>
    </row>
    <row r="28" spans="1:52" ht="16.5" customHeight="1" x14ac:dyDescent="0.2">
      <c r="B28" s="22"/>
      <c r="G28" s="60"/>
      <c r="H28" s="488" t="str">
        <f>IF(【様式第６号の２】事業報告書兼チェックシート!C193="","","・"&amp;【様式第６号の２】事業報告書兼チェックシート!C193)</f>
        <v/>
      </c>
      <c r="I28" s="489"/>
      <c r="J28" s="489"/>
      <c r="K28" s="489"/>
      <c r="L28" s="489"/>
      <c r="M28" s="489"/>
      <c r="N28" s="489"/>
      <c r="O28" s="489"/>
      <c r="P28" s="489"/>
      <c r="Q28" s="489"/>
      <c r="R28" s="489"/>
      <c r="S28" s="489"/>
      <c r="T28" s="489"/>
      <c r="U28" s="489"/>
      <c r="V28" s="489"/>
      <c r="W28" s="489"/>
      <c r="X28" s="489"/>
      <c r="Y28" s="490"/>
    </row>
    <row r="29" spans="1:52" ht="16.5" customHeight="1" x14ac:dyDescent="0.2">
      <c r="B29" s="22"/>
      <c r="G29" s="60"/>
      <c r="H29" s="488" t="str">
        <f>IF(【様式第６号の２】事業報告書兼チェックシート!C194="","","・"&amp;【様式第６号の２】事業報告書兼チェックシート!C194)</f>
        <v/>
      </c>
      <c r="I29" s="489"/>
      <c r="J29" s="489"/>
      <c r="K29" s="489"/>
      <c r="L29" s="489"/>
      <c r="M29" s="489"/>
      <c r="N29" s="489"/>
      <c r="O29" s="489"/>
      <c r="P29" s="489"/>
      <c r="Q29" s="489"/>
      <c r="R29" s="489"/>
      <c r="S29" s="489"/>
      <c r="T29" s="489"/>
      <c r="U29" s="489"/>
      <c r="V29" s="489"/>
      <c r="W29" s="489"/>
      <c r="X29" s="489"/>
      <c r="Y29" s="490"/>
    </row>
    <row r="30" spans="1:52" ht="16.5" customHeight="1" x14ac:dyDescent="0.2">
      <c r="B30" s="22"/>
      <c r="G30" s="60"/>
      <c r="H30" s="488" t="str">
        <f>IF(【様式第６号の２】事業報告書兼チェックシート!C195="","","・"&amp;【様式第６号の２】事業報告書兼チェックシート!C195)</f>
        <v/>
      </c>
      <c r="I30" s="489"/>
      <c r="J30" s="489"/>
      <c r="K30" s="489"/>
      <c r="L30" s="489"/>
      <c r="M30" s="489"/>
      <c r="N30" s="489"/>
      <c r="O30" s="489"/>
      <c r="P30" s="489"/>
      <c r="Q30" s="489"/>
      <c r="R30" s="489"/>
      <c r="S30" s="489"/>
      <c r="T30" s="489"/>
      <c r="U30" s="489"/>
      <c r="V30" s="489"/>
      <c r="W30" s="489"/>
      <c r="X30" s="489"/>
      <c r="Y30" s="490"/>
    </row>
    <row r="31" spans="1:52" ht="16.5" customHeight="1" x14ac:dyDescent="0.2">
      <c r="B31" s="22"/>
      <c r="G31" s="60"/>
      <c r="H31" s="488" t="str">
        <f>IF(【様式第６号の２】事業報告書兼チェックシート!C196="","","・"&amp;【様式第６号の２】事業報告書兼チェックシート!C196)</f>
        <v>・完成写真及び口座振替依頼書</v>
      </c>
      <c r="I31" s="489"/>
      <c r="J31" s="489"/>
      <c r="K31" s="489"/>
      <c r="L31" s="489"/>
      <c r="M31" s="489"/>
      <c r="N31" s="489"/>
      <c r="O31" s="489"/>
      <c r="P31" s="489"/>
      <c r="Q31" s="489"/>
      <c r="R31" s="489"/>
      <c r="S31" s="489"/>
      <c r="T31" s="489"/>
      <c r="U31" s="489"/>
      <c r="V31" s="489"/>
      <c r="W31" s="489"/>
      <c r="X31" s="489"/>
      <c r="Y31" s="490"/>
    </row>
    <row r="32" spans="1:52" ht="16.5" customHeight="1" x14ac:dyDescent="0.2">
      <c r="B32" s="22"/>
      <c r="G32" s="60"/>
      <c r="H32" s="488" t="str">
        <f>IF(【様式第６号の２】事業報告書兼チェックシート!C197="","","・"&amp;【様式第６号の２】事業報告書兼チェックシート!C197)</f>
        <v>・鳥取県産材活用協議会が発行する県産材の産地証明書の写し</v>
      </c>
      <c r="I32" s="489"/>
      <c r="J32" s="489"/>
      <c r="K32" s="489"/>
      <c r="L32" s="489"/>
      <c r="M32" s="489"/>
      <c r="N32" s="489"/>
      <c r="O32" s="489"/>
      <c r="P32" s="489"/>
      <c r="Q32" s="489"/>
      <c r="R32" s="489"/>
      <c r="S32" s="489"/>
      <c r="T32" s="489"/>
      <c r="U32" s="489"/>
      <c r="V32" s="489"/>
      <c r="W32" s="489"/>
      <c r="X32" s="489"/>
      <c r="Y32" s="490"/>
    </row>
    <row r="33" spans="2:27" ht="32.25" customHeight="1" x14ac:dyDescent="0.2">
      <c r="B33" s="22"/>
      <c r="G33" s="60"/>
      <c r="H33" s="491" t="str">
        <f>IF(【様式第６号の２】事業報告書兼チェックシート!C198="","","・"&amp;【様式第６号の２】事業報告書兼チェックシート!C198)</f>
        <v/>
      </c>
      <c r="I33" s="374"/>
      <c r="J33" s="374"/>
      <c r="K33" s="374"/>
      <c r="L33" s="374"/>
      <c r="M33" s="374"/>
      <c r="N33" s="374"/>
      <c r="O33" s="374"/>
      <c r="P33" s="374"/>
      <c r="Q33" s="374"/>
      <c r="R33" s="374"/>
      <c r="S33" s="374"/>
      <c r="T33" s="374"/>
      <c r="U33" s="374"/>
      <c r="V33" s="374"/>
      <c r="W33" s="374"/>
      <c r="X33" s="374"/>
      <c r="Y33" s="492"/>
    </row>
    <row r="34" spans="2:27" ht="57" customHeight="1" x14ac:dyDescent="0.2">
      <c r="B34" s="22"/>
      <c r="G34" s="60"/>
      <c r="H34" s="491"/>
      <c r="I34" s="374"/>
      <c r="J34" s="374"/>
      <c r="K34" s="374"/>
      <c r="L34" s="374"/>
      <c r="M34" s="374"/>
      <c r="N34" s="374"/>
      <c r="O34" s="374"/>
      <c r="P34" s="374"/>
      <c r="Q34" s="374"/>
      <c r="R34" s="374"/>
      <c r="S34" s="374"/>
      <c r="T34" s="374"/>
      <c r="U34" s="374"/>
      <c r="V34" s="374"/>
      <c r="W34" s="374"/>
      <c r="X34" s="374"/>
      <c r="Y34" s="492"/>
    </row>
    <row r="35" spans="2:27" ht="16.5" customHeight="1" x14ac:dyDescent="0.2">
      <c r="B35" s="22"/>
      <c r="G35" s="60"/>
      <c r="H35" s="488" t="str">
        <f>IF(【様式第６号の２】事業報告書兼チェックシート!C200="","","・"&amp;【様式第６号の２】事業報告書兼チェックシート!C200)</f>
        <v/>
      </c>
      <c r="I35" s="489"/>
      <c r="J35" s="489"/>
      <c r="K35" s="489"/>
      <c r="L35" s="489"/>
      <c r="M35" s="489"/>
      <c r="N35" s="489"/>
      <c r="O35" s="489"/>
      <c r="P35" s="489"/>
      <c r="Q35" s="489"/>
      <c r="R35" s="489"/>
      <c r="S35" s="489"/>
      <c r="T35" s="489"/>
      <c r="U35" s="489"/>
      <c r="V35" s="489"/>
      <c r="W35" s="489"/>
      <c r="X35" s="489"/>
      <c r="Y35" s="490"/>
    </row>
    <row r="36" spans="2:27" ht="16.5" customHeight="1" x14ac:dyDescent="0.2">
      <c r="B36" s="22"/>
      <c r="G36" s="60"/>
      <c r="H36" s="488" t="str">
        <f>IF(【様式第６号の２】事業報告書兼チェックシート!C201="","","・"&amp;【様式第６号の２】事業報告書兼チェックシート!C201)</f>
        <v/>
      </c>
      <c r="I36" s="489"/>
      <c r="J36" s="489"/>
      <c r="K36" s="489"/>
      <c r="L36" s="489"/>
      <c r="M36" s="489"/>
      <c r="N36" s="489"/>
      <c r="O36" s="489"/>
      <c r="P36" s="489"/>
      <c r="Q36" s="489"/>
      <c r="R36" s="489"/>
      <c r="S36" s="489"/>
      <c r="T36" s="489"/>
      <c r="U36" s="489"/>
      <c r="V36" s="489"/>
      <c r="W36" s="489"/>
      <c r="X36" s="489"/>
      <c r="Y36" s="490"/>
    </row>
    <row r="37" spans="2:27" s="47" customFormat="1" ht="31.2" customHeight="1" x14ac:dyDescent="0.2">
      <c r="B37" s="88"/>
      <c r="G37" s="89"/>
      <c r="H37" s="491" t="str">
        <f>IF(【様式第６号の２】事業報告書兼チェックシート!C202="","","・"&amp;【様式第６号の２】事業報告書兼チェックシート!C202)</f>
        <v/>
      </c>
      <c r="I37" s="374"/>
      <c r="J37" s="374"/>
      <c r="K37" s="374"/>
      <c r="L37" s="374"/>
      <c r="M37" s="374"/>
      <c r="N37" s="374"/>
      <c r="O37" s="374"/>
      <c r="P37" s="374"/>
      <c r="Q37" s="374"/>
      <c r="R37" s="374"/>
      <c r="S37" s="374"/>
      <c r="T37" s="374"/>
      <c r="U37" s="374"/>
      <c r="V37" s="374"/>
      <c r="W37" s="374"/>
      <c r="X37" s="374"/>
      <c r="Y37" s="492"/>
      <c r="AA37" s="90"/>
    </row>
    <row r="38" spans="2:27" ht="30.75" customHeight="1" x14ac:dyDescent="0.2">
      <c r="B38" s="22"/>
      <c r="G38" s="60"/>
      <c r="H38" s="491" t="str">
        <f>IF(【様式第６号の２】事業報告書兼チェックシート!C203="","","・"&amp;【様式第６号の２】事業報告書兼チェックシート!C203)</f>
        <v/>
      </c>
      <c r="I38" s="374"/>
      <c r="J38" s="374"/>
      <c r="K38" s="374"/>
      <c r="L38" s="374"/>
      <c r="M38" s="374"/>
      <c r="N38" s="374"/>
      <c r="O38" s="374"/>
      <c r="P38" s="374"/>
      <c r="Q38" s="374"/>
      <c r="R38" s="374"/>
      <c r="S38" s="374"/>
      <c r="T38" s="374"/>
      <c r="U38" s="374"/>
      <c r="V38" s="374"/>
      <c r="W38" s="374"/>
      <c r="X38" s="374"/>
      <c r="Y38" s="492"/>
    </row>
    <row r="39" spans="2:27" ht="16.5" customHeight="1" x14ac:dyDescent="0.2">
      <c r="B39" s="22"/>
      <c r="G39" s="60"/>
      <c r="H39" s="488" t="str">
        <f>IF(【様式第６号の２】事業報告書兼チェックシート!C204="","","・"&amp;【様式第６号の２】事業報告書兼チェックシート!C204)</f>
        <v/>
      </c>
      <c r="I39" s="489"/>
      <c r="J39" s="489"/>
      <c r="K39" s="489"/>
      <c r="L39" s="489"/>
      <c r="M39" s="489"/>
      <c r="N39" s="489"/>
      <c r="O39" s="489"/>
      <c r="P39" s="489"/>
      <c r="Q39" s="489"/>
      <c r="R39" s="489"/>
      <c r="S39" s="489"/>
      <c r="T39" s="489"/>
      <c r="U39" s="489"/>
      <c r="V39" s="489"/>
      <c r="W39" s="489"/>
      <c r="X39" s="489"/>
      <c r="Y39" s="490"/>
    </row>
    <row r="40" spans="2:27" ht="38.25" customHeight="1" x14ac:dyDescent="0.2">
      <c r="B40" s="22"/>
      <c r="G40" s="60"/>
      <c r="H40" s="491" t="str">
        <f>IF(【様式第６号の２】事業報告書兼チェックシート!C205="","","・"&amp;【様式第６号の２】事業報告書兼チェックシート!C205)</f>
        <v/>
      </c>
      <c r="I40" s="374"/>
      <c r="J40" s="374"/>
      <c r="K40" s="374"/>
      <c r="L40" s="374"/>
      <c r="M40" s="374"/>
      <c r="N40" s="374"/>
      <c r="O40" s="374"/>
      <c r="P40" s="374"/>
      <c r="Q40" s="374"/>
      <c r="R40" s="374"/>
      <c r="S40" s="374"/>
      <c r="T40" s="374"/>
      <c r="U40" s="374"/>
      <c r="V40" s="374"/>
      <c r="W40" s="374"/>
      <c r="X40" s="374"/>
      <c r="Y40" s="492"/>
    </row>
    <row r="41" spans="2:27" ht="30" customHeight="1" x14ac:dyDescent="0.2">
      <c r="B41" s="22"/>
      <c r="G41" s="60"/>
      <c r="H41" s="491" t="str">
        <f>IF(【様式第６号の２】事業報告書兼チェックシート!C206="","","・"&amp;【様式第６号の２】事業報告書兼チェックシート!C206)</f>
        <v/>
      </c>
      <c r="I41" s="374"/>
      <c r="J41" s="374"/>
      <c r="K41" s="374"/>
      <c r="L41" s="374"/>
      <c r="M41" s="374"/>
      <c r="N41" s="374"/>
      <c r="O41" s="374"/>
      <c r="P41" s="374"/>
      <c r="Q41" s="374"/>
      <c r="R41" s="374"/>
      <c r="S41" s="374"/>
      <c r="T41" s="374"/>
      <c r="U41" s="374"/>
      <c r="V41" s="374"/>
      <c r="W41" s="374"/>
      <c r="X41" s="374"/>
      <c r="Y41" s="492"/>
    </row>
    <row r="42" spans="2:27" ht="43.5" customHeight="1" x14ac:dyDescent="0.2">
      <c r="B42" s="22"/>
      <c r="G42" s="60"/>
      <c r="H42" s="491" t="str">
        <f>IF(【様式第６号の２】事業報告書兼チェックシート!C207="","","・"&amp;【様式第６号の２】事業報告書兼チェックシート!C207)</f>
        <v/>
      </c>
      <c r="I42" s="374"/>
      <c r="J42" s="374"/>
      <c r="K42" s="374"/>
      <c r="L42" s="374"/>
      <c r="M42" s="374"/>
      <c r="N42" s="374"/>
      <c r="O42" s="374"/>
      <c r="P42" s="374"/>
      <c r="Q42" s="374"/>
      <c r="R42" s="374"/>
      <c r="S42" s="374"/>
      <c r="T42" s="374"/>
      <c r="U42" s="374"/>
      <c r="V42" s="374"/>
      <c r="W42" s="374"/>
      <c r="X42" s="374"/>
      <c r="Y42" s="492"/>
    </row>
    <row r="43" spans="2:27" ht="16.5" customHeight="1" x14ac:dyDescent="0.2">
      <c r="B43" s="22"/>
      <c r="G43" s="60"/>
      <c r="H43" s="488" t="str">
        <f>IF(【様式第６号の２】事業報告書兼チェックシート!C208="","","・"&amp;【様式第６号の２】事業報告書兼チェックシート!C208)</f>
        <v>・登録された販売住宅（登録住宅）を購入した場合は、その購入契約書の写し</v>
      </c>
      <c r="I43" s="489"/>
      <c r="J43" s="489"/>
      <c r="K43" s="489"/>
      <c r="L43" s="489"/>
      <c r="M43" s="489"/>
      <c r="N43" s="489"/>
      <c r="O43" s="489"/>
      <c r="P43" s="489"/>
      <c r="Q43" s="489"/>
      <c r="R43" s="489"/>
      <c r="S43" s="489"/>
      <c r="T43" s="489"/>
      <c r="U43" s="489"/>
      <c r="V43" s="489"/>
      <c r="W43" s="489"/>
      <c r="X43" s="489"/>
      <c r="Y43" s="490"/>
    </row>
    <row r="44" spans="2:27" ht="11.25" customHeight="1" x14ac:dyDescent="0.2">
      <c r="B44" s="8"/>
      <c r="C44" s="16"/>
      <c r="D44" s="16"/>
      <c r="E44" s="16"/>
      <c r="F44" s="16"/>
      <c r="G44" s="9"/>
      <c r="H44" s="63"/>
      <c r="I44" s="64"/>
      <c r="J44" s="16"/>
      <c r="K44" s="16"/>
      <c r="L44" s="16"/>
      <c r="M44" s="16"/>
      <c r="N44" s="16"/>
      <c r="O44" s="16"/>
      <c r="P44" s="16"/>
      <c r="Q44" s="16"/>
      <c r="R44" s="16"/>
      <c r="S44" s="16"/>
      <c r="T44" s="16"/>
      <c r="U44" s="16"/>
      <c r="V44" s="16"/>
      <c r="W44" s="16"/>
      <c r="X44" s="16"/>
      <c r="Y44" s="9"/>
    </row>
    <row r="55" spans="1:35" s="13" customFormat="1" ht="18" customHeight="1" x14ac:dyDescent="0.15">
      <c r="A55" s="65" t="s">
        <v>161</v>
      </c>
      <c r="B55" s="66"/>
      <c r="C55" s="66"/>
      <c r="D55" s="66"/>
      <c r="E55" s="66"/>
      <c r="F55" s="66"/>
      <c r="G55" s="66"/>
      <c r="H55" s="66"/>
      <c r="I55" s="66"/>
      <c r="J55" s="66"/>
      <c r="K55" s="66"/>
      <c r="L55" s="66"/>
      <c r="M55" s="66"/>
      <c r="N55" s="66"/>
      <c r="O55" s="66"/>
      <c r="P55" s="66"/>
      <c r="Q55" s="54"/>
      <c r="R55" s="66"/>
      <c r="S55" s="66"/>
      <c r="T55" s="66"/>
      <c r="U55" s="66"/>
      <c r="V55" s="66"/>
      <c r="W55" s="66"/>
      <c r="X55" s="66"/>
      <c r="Y55" s="66"/>
      <c r="Z55" s="66"/>
      <c r="AA55" s="67"/>
    </row>
    <row r="56" spans="1:35" s="13" customFormat="1" ht="18" customHeight="1" x14ac:dyDescent="0.15">
      <c r="A56" s="65"/>
      <c r="B56" s="13" t="s">
        <v>12</v>
      </c>
      <c r="AA56" s="67"/>
    </row>
    <row r="57" spans="1:35" s="13" customFormat="1" ht="18" customHeight="1" x14ac:dyDescent="0.2">
      <c r="B57" s="471" t="s">
        <v>162</v>
      </c>
      <c r="C57" s="472"/>
      <c r="D57" s="472"/>
      <c r="E57" s="472"/>
      <c r="F57" s="472"/>
      <c r="G57" s="472"/>
      <c r="H57" s="473"/>
      <c r="I57" s="68" t="s">
        <v>10</v>
      </c>
      <c r="J57" s="346"/>
      <c r="K57" s="346"/>
      <c r="L57" s="346"/>
      <c r="M57" s="477"/>
      <c r="N57" s="477"/>
      <c r="O57" s="477"/>
      <c r="P57" s="477"/>
      <c r="Q57" s="477"/>
      <c r="R57" s="477"/>
      <c r="S57" s="477"/>
      <c r="T57" s="477"/>
      <c r="U57" s="477"/>
      <c r="V57" s="477"/>
      <c r="W57" s="477"/>
      <c r="X57" s="477"/>
      <c r="Y57" s="478"/>
      <c r="AA57" s="17"/>
    </row>
    <row r="58" spans="1:35" s="13" customFormat="1" ht="18" customHeight="1" x14ac:dyDescent="0.2">
      <c r="B58" s="474"/>
      <c r="C58" s="475"/>
      <c r="D58" s="475"/>
      <c r="E58" s="475"/>
      <c r="F58" s="475"/>
      <c r="G58" s="475"/>
      <c r="H58" s="476"/>
      <c r="I58" s="479"/>
      <c r="J58" s="480"/>
      <c r="K58" s="480"/>
      <c r="L58" s="480"/>
      <c r="M58" s="480"/>
      <c r="N58" s="480"/>
      <c r="O58" s="480"/>
      <c r="P58" s="480"/>
      <c r="Q58" s="480"/>
      <c r="R58" s="480"/>
      <c r="S58" s="480"/>
      <c r="T58" s="480"/>
      <c r="U58" s="480"/>
      <c r="V58" s="480"/>
      <c r="W58" s="480"/>
      <c r="X58" s="480"/>
      <c r="Y58" s="481"/>
      <c r="AA58" s="67"/>
      <c r="AB58" s="67"/>
      <c r="AC58" s="67"/>
      <c r="AD58" s="67"/>
      <c r="AE58" s="67"/>
      <c r="AF58" s="67"/>
      <c r="AG58" s="67"/>
      <c r="AH58" s="67"/>
      <c r="AI58" s="67"/>
    </row>
    <row r="59" spans="1:35" s="13" customFormat="1" ht="24" customHeight="1" x14ac:dyDescent="0.2">
      <c r="B59" s="460" t="s">
        <v>163</v>
      </c>
      <c r="C59" s="461"/>
      <c r="D59" s="461"/>
      <c r="E59" s="461"/>
      <c r="F59" s="461"/>
      <c r="G59" s="461"/>
      <c r="H59" s="462"/>
      <c r="I59" s="482"/>
      <c r="J59" s="483"/>
      <c r="K59" s="483"/>
      <c r="L59" s="483"/>
      <c r="M59" s="483"/>
      <c r="N59" s="483"/>
      <c r="O59" s="483"/>
      <c r="P59" s="483"/>
      <c r="Q59" s="483"/>
      <c r="R59" s="483"/>
      <c r="S59" s="483"/>
      <c r="T59" s="483"/>
      <c r="U59" s="483"/>
      <c r="V59" s="483"/>
      <c r="W59" s="483"/>
      <c r="X59" s="483"/>
      <c r="Y59" s="484"/>
      <c r="AA59" s="67"/>
      <c r="AB59" s="67"/>
      <c r="AC59" s="67"/>
      <c r="AD59" s="67"/>
      <c r="AE59" s="67"/>
      <c r="AF59" s="67"/>
      <c r="AG59" s="67"/>
      <c r="AH59" s="67"/>
      <c r="AI59" s="67"/>
    </row>
    <row r="60" spans="1:35" s="13" customFormat="1" ht="18" customHeight="1" x14ac:dyDescent="0.2">
      <c r="B60" s="460" t="s">
        <v>20</v>
      </c>
      <c r="C60" s="461"/>
      <c r="D60" s="461"/>
      <c r="E60" s="461"/>
      <c r="F60" s="461"/>
      <c r="G60" s="461"/>
      <c r="H60" s="462"/>
      <c r="I60" s="468"/>
      <c r="J60" s="469"/>
      <c r="K60" s="469"/>
      <c r="L60" s="469"/>
      <c r="M60" s="470"/>
      <c r="N60" s="465" t="s">
        <v>9</v>
      </c>
      <c r="O60" s="466"/>
      <c r="P60" s="467"/>
      <c r="Q60" s="463" t="s">
        <v>11</v>
      </c>
      <c r="R60" s="463"/>
      <c r="S60" s="463"/>
      <c r="T60" s="463"/>
      <c r="U60" s="463"/>
      <c r="V60" s="463"/>
      <c r="W60" s="463"/>
      <c r="X60" s="463"/>
      <c r="Y60" s="464"/>
      <c r="AA60" s="67"/>
      <c r="AB60" s="67"/>
      <c r="AC60" s="67"/>
      <c r="AD60" s="67"/>
      <c r="AE60" s="67"/>
      <c r="AF60" s="67"/>
      <c r="AG60" s="67"/>
      <c r="AH60" s="69"/>
      <c r="AI60" s="67"/>
    </row>
    <row r="61" spans="1:35" s="13" customFormat="1" ht="18" customHeight="1" x14ac:dyDescent="0.2">
      <c r="AA61" s="67"/>
      <c r="AB61" s="67"/>
      <c r="AC61" s="67"/>
      <c r="AD61" s="67"/>
      <c r="AE61" s="67"/>
      <c r="AF61" s="67"/>
      <c r="AG61" s="67"/>
      <c r="AH61" s="67"/>
      <c r="AI61" s="67"/>
    </row>
  </sheetData>
  <sheetProtection algorithmName="SHA-512" hashValue="CJuYF+ZJCBpsi5JAJaa/voiI0xPTeRzupmbNAJ+znsTHYSJOWWehnc03+hiWmt4XJOVFyI0R5xaSG0FQrqKgKA==" saltValue="IRMk4JGlNMv3/fFqFzOTVg==" spinCount="100000" sheet="1" selectLockedCells="1"/>
  <mergeCells count="52">
    <mergeCell ref="H43:Y43"/>
    <mergeCell ref="H28:Y28"/>
    <mergeCell ref="H29:Y29"/>
    <mergeCell ref="H30:Y30"/>
    <mergeCell ref="H41:Y41"/>
    <mergeCell ref="H42:Y42"/>
    <mergeCell ref="H31:Y31"/>
    <mergeCell ref="H32:Y32"/>
    <mergeCell ref="H33:Y33"/>
    <mergeCell ref="H34:Y34"/>
    <mergeCell ref="H35:Y35"/>
    <mergeCell ref="H38:Y38"/>
    <mergeCell ref="H39:Y39"/>
    <mergeCell ref="H40:Y40"/>
    <mergeCell ref="AC16:AG16"/>
    <mergeCell ref="AA19:AZ19"/>
    <mergeCell ref="H36:Y36"/>
    <mergeCell ref="H37:Y37"/>
    <mergeCell ref="B24:G24"/>
    <mergeCell ref="B25:G25"/>
    <mergeCell ref="H24:O24"/>
    <mergeCell ref="Q24:X24"/>
    <mergeCell ref="H23:O23"/>
    <mergeCell ref="H25:O25"/>
    <mergeCell ref="Q23:X23"/>
    <mergeCell ref="Q25:X25"/>
    <mergeCell ref="A19:Z19"/>
    <mergeCell ref="H21:Y21"/>
    <mergeCell ref="H22:P22"/>
    <mergeCell ref="P9:X9"/>
    <mergeCell ref="Q2:R2"/>
    <mergeCell ref="T2:U2"/>
    <mergeCell ref="W2:X2"/>
    <mergeCell ref="B26:G26"/>
    <mergeCell ref="O10:X10"/>
    <mergeCell ref="O11:X11"/>
    <mergeCell ref="O12:X12"/>
    <mergeCell ref="A17:Z17"/>
    <mergeCell ref="A15:Z15"/>
    <mergeCell ref="Q22:Y22"/>
    <mergeCell ref="B22:G23"/>
    <mergeCell ref="B21:G21"/>
    <mergeCell ref="B60:H60"/>
    <mergeCell ref="Q60:Y60"/>
    <mergeCell ref="N60:P60"/>
    <mergeCell ref="I60:M60"/>
    <mergeCell ref="B57:H58"/>
    <mergeCell ref="J57:L57"/>
    <mergeCell ref="M57:Y57"/>
    <mergeCell ref="I58:Y58"/>
    <mergeCell ref="B59:H59"/>
    <mergeCell ref="I59:Y59"/>
  </mergeCells>
  <phoneticPr fontId="1"/>
  <conditionalFormatting sqref="A2:O2 S2 V2 Y2:Z2">
    <cfRule type="cellIs" dxfId="13" priority="1" operator="equal">
      <formula>"令和　年　月　日"</formula>
    </cfRule>
  </conditionalFormatting>
  <conditionalFormatting sqref="A17:Z17">
    <cfRule type="cellIs" dxfId="12" priority="2" operator="equal">
      <formula>$BK$3</formula>
    </cfRule>
    <cfRule type="cellIs" dxfId="11" priority="3" operator="equal">
      <formula>$BK$2</formula>
    </cfRule>
  </conditionalFormatting>
  <dataValidations count="1">
    <dataValidation type="list" allowBlank="1" showInputMessage="1" showErrorMessage="1" sqref="AC16:AG16" xr:uid="{00000000-0002-0000-0100-000000000000}">
      <formula1>"はい,いいえ"</formula1>
    </dataValidation>
  </dataValidations>
  <pageMargins left="0.98425196850393704" right="0.98425196850393704" top="0.39370078740157483" bottom="0.39370078740157483" header="0.31496062992125984" footer="0.31496062992125984"/>
  <pageSetup paperSize="9" scale="8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59F1-D315-46CF-A455-5D4FB9BC926F}">
  <dimension ref="A1:BK50"/>
  <sheetViews>
    <sheetView view="pageBreakPreview" zoomScaleNormal="100" zoomScaleSheetLayoutView="100" workbookViewId="0">
      <selection activeCell="A17" sqref="A17:Z17"/>
    </sheetView>
  </sheetViews>
  <sheetFormatPr defaultColWidth="3.109375" defaultRowHeight="18" customHeight="1" x14ac:dyDescent="0.2"/>
  <cols>
    <col min="1" max="26" width="3.109375" style="1"/>
    <col min="27" max="27" width="9.109375" style="17" customWidth="1"/>
    <col min="28" max="16384" width="3.109375" style="1"/>
  </cols>
  <sheetData>
    <row r="1" spans="1:63" ht="15.75" customHeight="1" x14ac:dyDescent="0.2">
      <c r="A1" s="1" t="s">
        <v>491</v>
      </c>
    </row>
    <row r="2" spans="1:63" ht="15.75" customHeight="1" x14ac:dyDescent="0.2">
      <c r="A2" s="273"/>
      <c r="B2" s="273"/>
      <c r="C2" s="273"/>
      <c r="D2" s="273"/>
      <c r="E2" s="273"/>
      <c r="F2" s="273"/>
      <c r="G2" s="273"/>
      <c r="H2" s="273"/>
      <c r="I2" s="273"/>
      <c r="J2" s="273"/>
      <c r="K2" s="273"/>
      <c r="L2" s="273"/>
      <c r="M2" s="273"/>
      <c r="N2" s="273"/>
      <c r="O2" s="274" t="s">
        <v>389</v>
      </c>
      <c r="P2" s="274"/>
      <c r="Q2" s="485" t="str">
        <f>IF(【様式第６号の２】事業報告書兼チェックシート!C14="","",【様式第６号の２】事業報告書兼チェックシート!C14)</f>
        <v/>
      </c>
      <c r="R2" s="485"/>
      <c r="S2" s="275" t="s">
        <v>8</v>
      </c>
      <c r="T2" s="485" t="str">
        <f>IF(【様式第６号の２】事業報告書兼チェックシート!H14="","",【様式第６号の２】事業報告書兼チェックシート!H14)</f>
        <v/>
      </c>
      <c r="U2" s="485"/>
      <c r="V2" s="275" t="s">
        <v>351</v>
      </c>
      <c r="W2" s="485" t="str">
        <f>IF(【様式第６号の２】事業報告書兼チェックシート!K14="","",【様式第６号の２】事業報告書兼チェックシート!K14)</f>
        <v/>
      </c>
      <c r="X2" s="485"/>
      <c r="Y2" s="275" t="s">
        <v>7</v>
      </c>
      <c r="Z2" s="275"/>
      <c r="AA2" s="70" t="str">
        <f>IF(A2="令和　年　月　日","←申請日を入力してください。","")</f>
        <v/>
      </c>
      <c r="BK2" s="83" t="s">
        <v>157</v>
      </c>
    </row>
    <row r="3" spans="1:63" ht="15.7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BK3" s="83" t="s">
        <v>165</v>
      </c>
    </row>
    <row r="4" spans="1:63" ht="15.75" customHeight="1" x14ac:dyDescent="0.2"/>
    <row r="5" spans="1:63" ht="15.75" customHeight="1" x14ac:dyDescent="0.2">
      <c r="B5" s="1" t="str">
        <f>IF(【様式第６号の２】事業報告書兼チェックシート!BG35="","鳥取県　　　　　所長　様",【様式第６号の２】事業報告書兼チェックシート!BG35&amp;"　様")</f>
        <v>鳥取県　　　　　所長　様</v>
      </c>
    </row>
    <row r="6" spans="1:63" ht="15.75" customHeight="1" x14ac:dyDescent="0.2"/>
    <row r="7" spans="1:63" ht="15.75" customHeight="1" x14ac:dyDescent="0.2"/>
    <row r="8" spans="1:63" ht="15.75" customHeight="1" x14ac:dyDescent="0.2">
      <c r="M8" s="1" t="s">
        <v>14</v>
      </c>
    </row>
    <row r="9" spans="1:63" ht="15.75" customHeight="1" x14ac:dyDescent="0.2">
      <c r="M9" s="1" t="s">
        <v>13</v>
      </c>
      <c r="O9" s="1" t="s">
        <v>10</v>
      </c>
      <c r="P9" s="387" t="str">
        <f>IF(【様式第６号の２】事業報告書兼チェックシート!O16="","",【様式第６号の２】事業報告書兼チェックシート!O16)</f>
        <v/>
      </c>
      <c r="Q9" s="387"/>
      <c r="R9" s="387"/>
      <c r="S9" s="387"/>
      <c r="T9" s="387"/>
      <c r="U9" s="387"/>
      <c r="V9" s="387"/>
      <c r="W9" s="387"/>
      <c r="X9" s="387"/>
    </row>
    <row r="10" spans="1:63" ht="35.25" customHeight="1" x14ac:dyDescent="0.2">
      <c r="O10" s="336" t="str">
        <f>IF(【様式第６号の２】事業報告書兼チェックシート!N17="","",【様式第６号の２】事業報告書兼チェックシート!N17)</f>
        <v/>
      </c>
      <c r="P10" s="336"/>
      <c r="Q10" s="336"/>
      <c r="R10" s="336"/>
      <c r="S10" s="336"/>
      <c r="T10" s="336"/>
      <c r="U10" s="336"/>
      <c r="V10" s="336"/>
      <c r="W10" s="336"/>
      <c r="X10" s="336"/>
    </row>
    <row r="11" spans="1:63" ht="16.5" customHeight="1" x14ac:dyDescent="0.2">
      <c r="M11" s="1" t="s">
        <v>6</v>
      </c>
      <c r="O11" s="336" t="str">
        <f>IF(【様式第６号の２】事業報告書兼チェックシート!N18="","",【様式第６号の２】事業報告書兼チェックシート!N18)</f>
        <v/>
      </c>
      <c r="P11" s="336"/>
      <c r="Q11" s="336"/>
      <c r="R11" s="336"/>
      <c r="S11" s="336"/>
      <c r="T11" s="336"/>
      <c r="U11" s="336"/>
      <c r="V11" s="336"/>
      <c r="W11" s="336"/>
      <c r="X11" s="336"/>
      <c r="AA11" s="17" t="s">
        <v>57</v>
      </c>
    </row>
    <row r="12" spans="1:63" ht="16.5" customHeight="1" x14ac:dyDescent="0.2">
      <c r="M12" s="1" t="s">
        <v>9</v>
      </c>
      <c r="O12" s="336" t="str">
        <f>IF(【様式第６号の２】事業報告書兼チェックシート!N19="","",【様式第６号の２】事業報告書兼チェックシート!N19)</f>
        <v/>
      </c>
      <c r="P12" s="336"/>
      <c r="Q12" s="336"/>
      <c r="R12" s="336"/>
      <c r="S12" s="336"/>
      <c r="T12" s="336"/>
      <c r="U12" s="336"/>
      <c r="V12" s="336"/>
      <c r="W12" s="336"/>
      <c r="X12" s="336"/>
    </row>
    <row r="13" spans="1:63" ht="16.5" customHeight="1" x14ac:dyDescent="0.2"/>
    <row r="14" spans="1:63" ht="16.5" customHeight="1" x14ac:dyDescent="0.2"/>
    <row r="15" spans="1:63" ht="16.5" customHeight="1" x14ac:dyDescent="0.2">
      <c r="A15" s="337" t="s">
        <v>487</v>
      </c>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71"/>
      <c r="AB15" s="71"/>
      <c r="AC15" s="71"/>
      <c r="AD15" s="71"/>
      <c r="AE15" s="71"/>
      <c r="AF15" s="71"/>
      <c r="AG15" s="71"/>
    </row>
    <row r="16" spans="1:63" ht="16.5" customHeight="1" x14ac:dyDescent="0.2">
      <c r="AA16" s="71"/>
      <c r="AB16" s="71"/>
      <c r="AC16" s="487"/>
      <c r="AD16" s="487"/>
      <c r="AE16" s="487"/>
      <c r="AF16" s="487"/>
      <c r="AG16" s="487"/>
      <c r="AH16" s="72"/>
    </row>
    <row r="17" spans="1:52" ht="45" customHeight="1" x14ac:dyDescent="0.2">
      <c r="A17" s="486" t="s">
        <v>413</v>
      </c>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70" t="str">
        <f>IF(OR(A17=BK2,A17=BK3),"←交付決定年月日及びその番号を入力してください（変更承認を受けている場合はその承認年月日及びその番号の追記も必要になります。）","")</f>
        <v/>
      </c>
    </row>
    <row r="18" spans="1:52" ht="16.5" customHeight="1" x14ac:dyDescent="0.2">
      <c r="AA18" s="71"/>
    </row>
    <row r="19" spans="1:52" ht="16.5" customHeight="1" x14ac:dyDescent="0.2">
      <c r="A19" s="337" t="s">
        <v>15</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486"/>
      <c r="AB19" s="486"/>
      <c r="AC19" s="486"/>
      <c r="AD19" s="486"/>
      <c r="AE19" s="486"/>
      <c r="AF19" s="486"/>
      <c r="AG19" s="486"/>
      <c r="AH19" s="486"/>
      <c r="AI19" s="486"/>
      <c r="AJ19" s="486"/>
      <c r="AK19" s="486"/>
      <c r="AL19" s="486"/>
      <c r="AM19" s="486"/>
      <c r="AN19" s="486"/>
      <c r="AO19" s="486"/>
      <c r="AP19" s="486"/>
      <c r="AQ19" s="486"/>
      <c r="AR19" s="486"/>
      <c r="AS19" s="486"/>
      <c r="AT19" s="486"/>
      <c r="AU19" s="486"/>
      <c r="AV19" s="486"/>
      <c r="AW19" s="486"/>
      <c r="AX19" s="486"/>
      <c r="AY19" s="486"/>
      <c r="AZ19" s="486"/>
    </row>
    <row r="20" spans="1:52" ht="16.5" customHeight="1" x14ac:dyDescent="0.2"/>
    <row r="21" spans="1:52" ht="16.5" customHeight="1" x14ac:dyDescent="0.2">
      <c r="B21" s="315" t="s">
        <v>159</v>
      </c>
      <c r="C21" s="316"/>
      <c r="D21" s="316"/>
      <c r="E21" s="316"/>
      <c r="F21" s="316"/>
      <c r="G21" s="317"/>
      <c r="H21" s="315" t="s">
        <v>203</v>
      </c>
      <c r="I21" s="316"/>
      <c r="J21" s="316"/>
      <c r="K21" s="316"/>
      <c r="L21" s="316"/>
      <c r="M21" s="316"/>
      <c r="N21" s="316"/>
      <c r="O21" s="316"/>
      <c r="P21" s="316"/>
      <c r="Q21" s="316"/>
      <c r="R21" s="316"/>
      <c r="S21" s="316"/>
      <c r="T21" s="316"/>
      <c r="U21" s="316"/>
      <c r="V21" s="316"/>
      <c r="W21" s="316"/>
      <c r="X21" s="316"/>
      <c r="Y21" s="317"/>
    </row>
    <row r="22" spans="1:52" ht="16.5" customHeight="1" x14ac:dyDescent="0.2">
      <c r="B22" s="324" t="s">
        <v>415</v>
      </c>
      <c r="C22" s="325"/>
      <c r="D22" s="325"/>
      <c r="E22" s="325"/>
      <c r="F22" s="325"/>
      <c r="G22" s="326"/>
      <c r="H22" s="495" t="s">
        <v>17</v>
      </c>
      <c r="I22" s="496"/>
      <c r="J22" s="496"/>
      <c r="K22" s="496"/>
      <c r="L22" s="496"/>
      <c r="M22" s="496"/>
      <c r="N22" s="496"/>
      <c r="O22" s="496"/>
      <c r="P22" s="497"/>
      <c r="Q22" s="315" t="s">
        <v>414</v>
      </c>
      <c r="R22" s="316"/>
      <c r="S22" s="316"/>
      <c r="T22" s="316"/>
      <c r="U22" s="316"/>
      <c r="V22" s="316"/>
      <c r="W22" s="316"/>
      <c r="X22" s="316"/>
      <c r="Y22" s="317"/>
    </row>
    <row r="23" spans="1:52" ht="16.5" customHeight="1" x14ac:dyDescent="0.2">
      <c r="B23" s="327"/>
      <c r="C23" s="328"/>
      <c r="D23" s="328"/>
      <c r="E23" s="328"/>
      <c r="F23" s="328"/>
      <c r="G23" s="329"/>
      <c r="H23" s="493">
        <f>'要入力　登録決定状況入力シート'!C19</f>
        <v>0</v>
      </c>
      <c r="I23" s="494"/>
      <c r="J23" s="494"/>
      <c r="K23" s="494"/>
      <c r="L23" s="494"/>
      <c r="M23" s="494"/>
      <c r="N23" s="494"/>
      <c r="O23" s="494"/>
      <c r="P23" s="57" t="s">
        <v>18</v>
      </c>
      <c r="Q23" s="493">
        <f>'要入力　登録決定状況入力シート'!D19</f>
        <v>0</v>
      </c>
      <c r="R23" s="494"/>
      <c r="S23" s="494"/>
      <c r="T23" s="494"/>
      <c r="U23" s="494"/>
      <c r="V23" s="494"/>
      <c r="W23" s="494"/>
      <c r="X23" s="494"/>
      <c r="Y23" s="57" t="s">
        <v>18</v>
      </c>
      <c r="AA23" s="71" t="str">
        <f>IF(OR(H23="",Q23=""),"←金額は｢要入力　交付決定状況入力シート｣と連動、当該シートの青の欄に交付決定通知（変更した場合は変更承認通知）記載の金額を入力してください。","")</f>
        <v/>
      </c>
    </row>
    <row r="24" spans="1:52" ht="16.5" customHeight="1" x14ac:dyDescent="0.2">
      <c r="B24" s="315" t="s">
        <v>416</v>
      </c>
      <c r="C24" s="316"/>
      <c r="D24" s="316"/>
      <c r="E24" s="316"/>
      <c r="F24" s="316"/>
      <c r="G24" s="317"/>
      <c r="H24" s="493">
        <f>【様式第６号の３】補助基準額等算定表!D63</f>
        <v>0</v>
      </c>
      <c r="I24" s="494"/>
      <c r="J24" s="494"/>
      <c r="K24" s="494"/>
      <c r="L24" s="494"/>
      <c r="M24" s="494"/>
      <c r="N24" s="494"/>
      <c r="O24" s="494"/>
      <c r="P24" s="57" t="s">
        <v>18</v>
      </c>
      <c r="Q24" s="493">
        <f>【様式第６号の３】補助基準額等算定表!D66</f>
        <v>0</v>
      </c>
      <c r="R24" s="494"/>
      <c r="S24" s="494"/>
      <c r="T24" s="494"/>
      <c r="U24" s="494"/>
      <c r="V24" s="494"/>
      <c r="W24" s="494"/>
      <c r="X24" s="494"/>
      <c r="Y24" s="57" t="s">
        <v>18</v>
      </c>
      <c r="AA24" s="71" t="s">
        <v>58</v>
      </c>
    </row>
    <row r="25" spans="1:52" ht="16.5" customHeight="1" x14ac:dyDescent="0.2">
      <c r="B25" s="315" t="s">
        <v>160</v>
      </c>
      <c r="C25" s="316"/>
      <c r="D25" s="316"/>
      <c r="E25" s="316"/>
      <c r="F25" s="316"/>
      <c r="G25" s="317"/>
      <c r="H25" s="493">
        <f>IF(H23="","",H24-H23)</f>
        <v>0</v>
      </c>
      <c r="I25" s="494"/>
      <c r="J25" s="494"/>
      <c r="K25" s="494"/>
      <c r="L25" s="494"/>
      <c r="M25" s="494"/>
      <c r="N25" s="494"/>
      <c r="O25" s="494"/>
      <c r="P25" s="57" t="s">
        <v>18</v>
      </c>
      <c r="Q25" s="493">
        <f>IF(Q23="","",Q24-Q23)</f>
        <v>0</v>
      </c>
      <c r="R25" s="494"/>
      <c r="S25" s="494"/>
      <c r="T25" s="494"/>
      <c r="U25" s="494"/>
      <c r="V25" s="494"/>
      <c r="W25" s="494"/>
      <c r="X25" s="494"/>
      <c r="Y25" s="57" t="s">
        <v>18</v>
      </c>
      <c r="AA25" s="71"/>
    </row>
    <row r="26" spans="1:52" ht="16.5" customHeight="1" x14ac:dyDescent="0.2">
      <c r="B26" s="324" t="s">
        <v>19</v>
      </c>
      <c r="C26" s="325"/>
      <c r="D26" s="325"/>
      <c r="E26" s="325"/>
      <c r="F26" s="325"/>
      <c r="G26" s="326"/>
      <c r="H26" s="58"/>
      <c r="I26" s="59"/>
      <c r="J26" s="31"/>
      <c r="K26" s="31"/>
      <c r="L26" s="31"/>
      <c r="M26" s="31"/>
      <c r="N26" s="31"/>
      <c r="O26" s="31"/>
      <c r="P26" s="31"/>
      <c r="Q26" s="31"/>
      <c r="R26" s="31"/>
      <c r="S26" s="31"/>
      <c r="T26" s="31"/>
      <c r="U26" s="31"/>
      <c r="V26" s="31"/>
      <c r="W26" s="31"/>
      <c r="X26" s="31"/>
      <c r="Y26" s="7"/>
      <c r="AA26" s="71"/>
    </row>
    <row r="27" spans="1:52" ht="16.5" customHeight="1" x14ac:dyDescent="0.2">
      <c r="B27" s="289"/>
      <c r="C27" s="42"/>
      <c r="D27" s="42"/>
      <c r="E27" s="42"/>
      <c r="F27" s="42"/>
      <c r="G27" s="290"/>
      <c r="H27" s="498" t="s">
        <v>493</v>
      </c>
      <c r="I27" s="499"/>
      <c r="J27" s="499"/>
      <c r="K27" s="499"/>
      <c r="L27" s="499"/>
      <c r="M27" s="499"/>
      <c r="N27" s="499"/>
      <c r="O27" s="499"/>
      <c r="P27" s="499"/>
      <c r="Q27" s="499"/>
      <c r="R27" s="499"/>
      <c r="S27" s="499"/>
      <c r="T27" s="499"/>
      <c r="U27" s="499"/>
      <c r="V27" s="499"/>
      <c r="W27" s="499"/>
      <c r="X27" s="499"/>
      <c r="Y27" s="500"/>
      <c r="AA27" s="71" t="s">
        <v>59</v>
      </c>
    </row>
    <row r="28" spans="1:52" ht="16.5" customHeight="1" x14ac:dyDescent="0.2">
      <c r="B28" s="22"/>
      <c r="G28" s="60"/>
      <c r="H28" s="488" t="str">
        <f>IF(【様式第６号の２】事業報告書兼チェックシート!C209="","","・"&amp;【様式第６号の２】事業報告書兼チェックシート!C209)</f>
        <v/>
      </c>
      <c r="I28" s="489"/>
      <c r="J28" s="489"/>
      <c r="K28" s="489"/>
      <c r="L28" s="489"/>
      <c r="M28" s="489"/>
      <c r="N28" s="489"/>
      <c r="O28" s="489"/>
      <c r="P28" s="489"/>
      <c r="Q28" s="489"/>
      <c r="R28" s="489"/>
      <c r="S28" s="489"/>
      <c r="T28" s="489"/>
      <c r="U28" s="489"/>
      <c r="V28" s="489"/>
      <c r="W28" s="489"/>
      <c r="X28" s="489"/>
      <c r="Y28" s="490"/>
      <c r="AA28" s="71"/>
    </row>
    <row r="29" spans="1:52" ht="16.5" customHeight="1" x14ac:dyDescent="0.2">
      <c r="B29" s="22"/>
      <c r="G29" s="60"/>
      <c r="H29" s="488" t="str">
        <f>IF(【様式第６号の２】事業報告書兼チェックシート!C210="","","・"&amp;【様式第６号の２】事業報告書兼チェックシート!C210)</f>
        <v/>
      </c>
      <c r="I29" s="489"/>
      <c r="J29" s="489"/>
      <c r="K29" s="489"/>
      <c r="L29" s="489"/>
      <c r="M29" s="489"/>
      <c r="N29" s="489"/>
      <c r="O29" s="489"/>
      <c r="P29" s="489"/>
      <c r="Q29" s="489"/>
      <c r="R29" s="489"/>
      <c r="S29" s="489"/>
      <c r="T29" s="489"/>
      <c r="U29" s="489"/>
      <c r="V29" s="489"/>
      <c r="W29" s="489"/>
      <c r="X29" s="489"/>
      <c r="Y29" s="490"/>
    </row>
    <row r="30" spans="1:52" ht="16.5" customHeight="1" x14ac:dyDescent="0.2">
      <c r="B30" s="22"/>
      <c r="G30" s="60"/>
      <c r="H30" s="488" t="str">
        <f>IF(【様式第６号の２】事業報告書兼チェックシート!T180=0,IF(【様式第６号の２】事業報告書兼チェックシート!C196="","","・"&amp;【様式第６号の２】事業報告書兼チェックシート!C196),"")</f>
        <v>・完成写真及び口座振替依頼書</v>
      </c>
      <c r="I30" s="489"/>
      <c r="J30" s="489"/>
      <c r="K30" s="489"/>
      <c r="L30" s="489"/>
      <c r="M30" s="489"/>
      <c r="N30" s="489"/>
      <c r="O30" s="489"/>
      <c r="P30" s="489"/>
      <c r="Q30" s="489"/>
      <c r="R30" s="489"/>
      <c r="S30" s="489"/>
      <c r="T30" s="489"/>
      <c r="U30" s="489"/>
      <c r="V30" s="489"/>
      <c r="W30" s="489"/>
      <c r="X30" s="489"/>
      <c r="Y30" s="490"/>
    </row>
    <row r="31" spans="1:52" ht="16.5" customHeight="1" x14ac:dyDescent="0.2">
      <c r="B31" s="22"/>
      <c r="G31" s="60"/>
      <c r="H31" s="488"/>
      <c r="I31" s="489"/>
      <c r="J31" s="489"/>
      <c r="K31" s="489"/>
      <c r="L31" s="489"/>
      <c r="M31" s="489"/>
      <c r="N31" s="489"/>
      <c r="O31" s="489"/>
      <c r="P31" s="489"/>
      <c r="Q31" s="489"/>
      <c r="R31" s="489"/>
      <c r="S31" s="489"/>
      <c r="T31" s="489"/>
      <c r="U31" s="489"/>
      <c r="V31" s="489"/>
      <c r="W31" s="489"/>
      <c r="X31" s="489"/>
      <c r="Y31" s="490"/>
    </row>
    <row r="32" spans="1:52" ht="16.5" customHeight="1" x14ac:dyDescent="0.2">
      <c r="B32" s="22"/>
      <c r="G32" s="60"/>
      <c r="H32" s="488"/>
      <c r="I32" s="489"/>
      <c r="J32" s="489"/>
      <c r="K32" s="489"/>
      <c r="L32" s="489"/>
      <c r="M32" s="489"/>
      <c r="N32" s="489"/>
      <c r="O32" s="489"/>
      <c r="P32" s="489"/>
      <c r="Q32" s="489"/>
      <c r="R32" s="489"/>
      <c r="S32" s="489"/>
      <c r="T32" s="489"/>
      <c r="U32" s="489"/>
      <c r="V32" s="489"/>
      <c r="W32" s="489"/>
      <c r="X32" s="489"/>
      <c r="Y32" s="490"/>
    </row>
    <row r="33" spans="1:35" ht="11.25" customHeight="1" x14ac:dyDescent="0.2">
      <c r="B33" s="8"/>
      <c r="C33" s="16"/>
      <c r="D33" s="16"/>
      <c r="E33" s="16"/>
      <c r="F33" s="16"/>
      <c r="G33" s="9"/>
      <c r="H33" s="63"/>
      <c r="I33" s="64"/>
      <c r="J33" s="16"/>
      <c r="K33" s="16"/>
      <c r="L33" s="16"/>
      <c r="M33" s="16"/>
      <c r="N33" s="16"/>
      <c r="O33" s="16"/>
      <c r="P33" s="16"/>
      <c r="Q33" s="16"/>
      <c r="R33" s="16"/>
      <c r="S33" s="16"/>
      <c r="T33" s="16"/>
      <c r="U33" s="16"/>
      <c r="V33" s="16"/>
      <c r="W33" s="16"/>
      <c r="X33" s="16"/>
      <c r="Y33" s="9"/>
    </row>
    <row r="44" spans="1:35" s="13" customFormat="1" ht="18" customHeight="1" x14ac:dyDescent="0.15">
      <c r="A44" s="65" t="s">
        <v>161</v>
      </c>
      <c r="B44" s="66"/>
      <c r="C44" s="66"/>
      <c r="D44" s="66"/>
      <c r="E44" s="66"/>
      <c r="F44" s="66"/>
      <c r="G44" s="66"/>
      <c r="H44" s="66"/>
      <c r="I44" s="66"/>
      <c r="J44" s="66"/>
      <c r="K44" s="66"/>
      <c r="L44" s="66"/>
      <c r="M44" s="66"/>
      <c r="N44" s="66"/>
      <c r="O44" s="66"/>
      <c r="P44" s="66"/>
      <c r="Q44" s="54"/>
      <c r="R44" s="66"/>
      <c r="S44" s="66"/>
      <c r="T44" s="66"/>
      <c r="U44" s="66"/>
      <c r="V44" s="66"/>
      <c r="W44" s="66"/>
      <c r="X44" s="66"/>
      <c r="Y44" s="66"/>
      <c r="Z44" s="66"/>
      <c r="AA44" s="67"/>
    </row>
    <row r="45" spans="1:35" s="13" customFormat="1" ht="18" customHeight="1" x14ac:dyDescent="0.15">
      <c r="A45" s="65"/>
      <c r="B45" s="13" t="s">
        <v>12</v>
      </c>
      <c r="AA45" s="67"/>
    </row>
    <row r="46" spans="1:35" s="13" customFormat="1" ht="18" customHeight="1" x14ac:dyDescent="0.2">
      <c r="B46" s="471" t="s">
        <v>162</v>
      </c>
      <c r="C46" s="472"/>
      <c r="D46" s="472"/>
      <c r="E46" s="472"/>
      <c r="F46" s="472"/>
      <c r="G46" s="472"/>
      <c r="H46" s="473"/>
      <c r="I46" s="68" t="s">
        <v>10</v>
      </c>
      <c r="J46" s="346"/>
      <c r="K46" s="346"/>
      <c r="L46" s="346"/>
      <c r="M46" s="477"/>
      <c r="N46" s="477"/>
      <c r="O46" s="477"/>
      <c r="P46" s="477"/>
      <c r="Q46" s="477"/>
      <c r="R46" s="477"/>
      <c r="S46" s="477"/>
      <c r="T46" s="477"/>
      <c r="U46" s="477"/>
      <c r="V46" s="477"/>
      <c r="W46" s="477"/>
      <c r="X46" s="477"/>
      <c r="Y46" s="478"/>
      <c r="AA46" s="17"/>
    </row>
    <row r="47" spans="1:35" s="13" customFormat="1" ht="18" customHeight="1" x14ac:dyDescent="0.2">
      <c r="B47" s="474"/>
      <c r="C47" s="475"/>
      <c r="D47" s="475"/>
      <c r="E47" s="475"/>
      <c r="F47" s="475"/>
      <c r="G47" s="475"/>
      <c r="H47" s="476"/>
      <c r="I47" s="479"/>
      <c r="J47" s="480"/>
      <c r="K47" s="480"/>
      <c r="L47" s="480"/>
      <c r="M47" s="480"/>
      <c r="N47" s="480"/>
      <c r="O47" s="480"/>
      <c r="P47" s="480"/>
      <c r="Q47" s="480"/>
      <c r="R47" s="480"/>
      <c r="S47" s="480"/>
      <c r="T47" s="480"/>
      <c r="U47" s="480"/>
      <c r="V47" s="480"/>
      <c r="W47" s="480"/>
      <c r="X47" s="480"/>
      <c r="Y47" s="481"/>
      <c r="AA47" s="67"/>
      <c r="AB47" s="67"/>
      <c r="AC47" s="67"/>
      <c r="AD47" s="67"/>
      <c r="AE47" s="67"/>
      <c r="AF47" s="67"/>
      <c r="AG47" s="67"/>
      <c r="AH47" s="67"/>
      <c r="AI47" s="67"/>
    </row>
    <row r="48" spans="1:35" s="13" customFormat="1" ht="24" customHeight="1" x14ac:dyDescent="0.2">
      <c r="B48" s="460" t="s">
        <v>163</v>
      </c>
      <c r="C48" s="461"/>
      <c r="D48" s="461"/>
      <c r="E48" s="461"/>
      <c r="F48" s="461"/>
      <c r="G48" s="461"/>
      <c r="H48" s="462"/>
      <c r="I48" s="482"/>
      <c r="J48" s="483"/>
      <c r="K48" s="483"/>
      <c r="L48" s="483"/>
      <c r="M48" s="483"/>
      <c r="N48" s="483"/>
      <c r="O48" s="483"/>
      <c r="P48" s="483"/>
      <c r="Q48" s="483"/>
      <c r="R48" s="483"/>
      <c r="S48" s="483"/>
      <c r="T48" s="483"/>
      <c r="U48" s="483"/>
      <c r="V48" s="483"/>
      <c r="W48" s="483"/>
      <c r="X48" s="483"/>
      <c r="Y48" s="484"/>
      <c r="AA48" s="67"/>
      <c r="AB48" s="67"/>
      <c r="AC48" s="67"/>
      <c r="AD48" s="67"/>
      <c r="AE48" s="67"/>
      <c r="AF48" s="67"/>
      <c r="AG48" s="67"/>
      <c r="AH48" s="67"/>
      <c r="AI48" s="67"/>
    </row>
    <row r="49" spans="2:35" s="13" customFormat="1" ht="18" customHeight="1" x14ac:dyDescent="0.2">
      <c r="B49" s="460" t="s">
        <v>20</v>
      </c>
      <c r="C49" s="461"/>
      <c r="D49" s="461"/>
      <c r="E49" s="461"/>
      <c r="F49" s="461"/>
      <c r="G49" s="461"/>
      <c r="H49" s="462"/>
      <c r="I49" s="468"/>
      <c r="J49" s="469"/>
      <c r="K49" s="469"/>
      <c r="L49" s="469"/>
      <c r="M49" s="470"/>
      <c r="N49" s="465" t="s">
        <v>9</v>
      </c>
      <c r="O49" s="466"/>
      <c r="P49" s="467"/>
      <c r="Q49" s="463" t="s">
        <v>11</v>
      </c>
      <c r="R49" s="463"/>
      <c r="S49" s="463"/>
      <c r="T49" s="463"/>
      <c r="U49" s="463"/>
      <c r="V49" s="463"/>
      <c r="W49" s="463"/>
      <c r="X49" s="463"/>
      <c r="Y49" s="464"/>
      <c r="AA49" s="67"/>
      <c r="AB49" s="67"/>
      <c r="AC49" s="67"/>
      <c r="AD49" s="67"/>
      <c r="AE49" s="67"/>
      <c r="AF49" s="67"/>
      <c r="AG49" s="67"/>
      <c r="AH49" s="69"/>
      <c r="AI49" s="67"/>
    </row>
    <row r="50" spans="2:35" s="13" customFormat="1" ht="18" customHeight="1" x14ac:dyDescent="0.2">
      <c r="AA50" s="67"/>
      <c r="AB50" s="67"/>
      <c r="AC50" s="67"/>
      <c r="AD50" s="67"/>
      <c r="AE50" s="67"/>
      <c r="AF50" s="67"/>
      <c r="AG50" s="67"/>
      <c r="AH50" s="67"/>
      <c r="AI50" s="67"/>
    </row>
  </sheetData>
  <sheetProtection algorithmName="SHA-512" hashValue="nwjJKDfyvMkQ2cESgng67GY6HGitjgEnUXztKHul7lUhxO6H9Wc8sqn0qCivIYPt5sTCa5AhEezOO+S97OJKQg==" saltValue="k+D/31LcOngQ3zrWzQl9qQ==" spinCount="100000" sheet="1" selectLockedCells="1"/>
  <mergeCells count="42">
    <mergeCell ref="O11:X11"/>
    <mergeCell ref="H27:Y27"/>
    <mergeCell ref="Q2:R2"/>
    <mergeCell ref="T2:U2"/>
    <mergeCell ref="W2:X2"/>
    <mergeCell ref="P9:X9"/>
    <mergeCell ref="O10:X10"/>
    <mergeCell ref="O12:X12"/>
    <mergeCell ref="A15:Z15"/>
    <mergeCell ref="B22:G23"/>
    <mergeCell ref="H22:P22"/>
    <mergeCell ref="Q22:Y22"/>
    <mergeCell ref="H23:O23"/>
    <mergeCell ref="Q23:X23"/>
    <mergeCell ref="B24:G24"/>
    <mergeCell ref="H24:O24"/>
    <mergeCell ref="AC16:AG16"/>
    <mergeCell ref="A17:Z17"/>
    <mergeCell ref="A19:Z19"/>
    <mergeCell ref="AA19:AZ19"/>
    <mergeCell ref="B21:G21"/>
    <mergeCell ref="H21:Y21"/>
    <mergeCell ref="Q24:X24"/>
    <mergeCell ref="B25:G25"/>
    <mergeCell ref="H25:O25"/>
    <mergeCell ref="Q25:X25"/>
    <mergeCell ref="B26:G26"/>
    <mergeCell ref="H29:Y29"/>
    <mergeCell ref="H30:Y30"/>
    <mergeCell ref="H31:Y31"/>
    <mergeCell ref="H28:Y28"/>
    <mergeCell ref="H32:Y32"/>
    <mergeCell ref="B49:H49"/>
    <mergeCell ref="I49:M49"/>
    <mergeCell ref="N49:P49"/>
    <mergeCell ref="Q49:Y49"/>
    <mergeCell ref="B46:H47"/>
    <mergeCell ref="J46:L46"/>
    <mergeCell ref="M46:Y46"/>
    <mergeCell ref="I47:Y47"/>
    <mergeCell ref="B48:H48"/>
    <mergeCell ref="I48:Y48"/>
  </mergeCells>
  <phoneticPr fontId="1"/>
  <conditionalFormatting sqref="A2:O2 S2 V2 Y2:Z2">
    <cfRule type="cellIs" dxfId="10" priority="1" operator="equal">
      <formula>"令和　年　月　日"</formula>
    </cfRule>
  </conditionalFormatting>
  <conditionalFormatting sqref="A17:Z17">
    <cfRule type="cellIs" dxfId="9" priority="2" operator="equal">
      <formula>$BK$3</formula>
    </cfRule>
    <cfRule type="cellIs" dxfId="8" priority="3" operator="equal">
      <formula>$BK$2</formula>
    </cfRule>
  </conditionalFormatting>
  <dataValidations count="1">
    <dataValidation type="list" allowBlank="1" showInputMessage="1" showErrorMessage="1" sqref="AC16:AG16" xr:uid="{98BF271B-7E45-4651-97C4-EDCC8740F9AC}">
      <formula1>"はい,いいえ"</formula1>
    </dataValidation>
  </dataValidations>
  <pageMargins left="0.98425196850393704" right="0.98425196850393704" top="0.39370078740157483" bottom="0.39370078740157483" header="0.31496062992125984" footer="0.31496062992125984"/>
  <pageSetup paperSize="9" scale="86"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B1:J15"/>
  <sheetViews>
    <sheetView view="pageBreakPreview" zoomScaleNormal="100" zoomScaleSheetLayoutView="100" workbookViewId="0">
      <selection sqref="A1:XFD1048576"/>
    </sheetView>
  </sheetViews>
  <sheetFormatPr defaultColWidth="9" defaultRowHeight="13.2" x14ac:dyDescent="0.2"/>
  <cols>
    <col min="1" max="1" width="2" style="73" customWidth="1"/>
    <col min="2" max="2" width="18.6640625" style="73" customWidth="1"/>
    <col min="3" max="4" width="15.44140625" style="73" customWidth="1"/>
    <col min="5" max="5" width="6.77734375" style="73" customWidth="1"/>
    <col min="6" max="6" width="20.109375" style="73" customWidth="1"/>
    <col min="7" max="8" width="15.44140625" style="73" customWidth="1"/>
    <col min="9" max="9" width="5.33203125" style="73" customWidth="1"/>
    <col min="10" max="10" width="19.77734375" style="73" customWidth="1"/>
    <col min="11" max="11" width="1" style="73" customWidth="1"/>
    <col min="12" max="16384" width="9" style="73"/>
  </cols>
  <sheetData>
    <row r="1" spans="2:10" ht="44.25" customHeight="1" x14ac:dyDescent="0.2">
      <c r="B1" s="435" t="s">
        <v>182</v>
      </c>
      <c r="C1" s="435"/>
      <c r="D1" s="435"/>
      <c r="F1" s="74" t="s">
        <v>181</v>
      </c>
      <c r="J1" s="75" t="s">
        <v>178</v>
      </c>
    </row>
    <row r="2" spans="2:10" x14ac:dyDescent="0.2">
      <c r="B2" s="80" t="s">
        <v>46</v>
      </c>
      <c r="C2" s="80" t="s">
        <v>170</v>
      </c>
      <c r="D2" s="80" t="s">
        <v>171</v>
      </c>
      <c r="F2" s="80" t="s">
        <v>46</v>
      </c>
      <c r="G2" s="80" t="s">
        <v>170</v>
      </c>
      <c r="H2" s="80" t="s">
        <v>172</v>
      </c>
      <c r="J2" s="80" t="s">
        <v>173</v>
      </c>
    </row>
    <row r="3" spans="2:10" x14ac:dyDescent="0.2">
      <c r="B3" s="76" t="s">
        <v>166</v>
      </c>
      <c r="C3" s="77"/>
      <c r="D3" s="77"/>
      <c r="F3" s="76" t="s">
        <v>166</v>
      </c>
      <c r="G3" s="78">
        <f>IF(【様式第６号の２】事業報告書兼チェックシート!Y91="",0,【様式第６号の２】事業報告書兼チェックシート!Y91*10000)</f>
        <v>0</v>
      </c>
      <c r="H3" s="78">
        <f>IF(【様式第６号の２】事業報告書兼チェックシート!Y91="",0,【様式第６号の２】事業報告書兼チェックシート!Y91*10000)</f>
        <v>0</v>
      </c>
      <c r="J3" s="79">
        <f>IF(H3="","",MIN(D3,H3))</f>
        <v>0</v>
      </c>
    </row>
    <row r="4" spans="2:10" x14ac:dyDescent="0.2">
      <c r="B4" s="76" t="s">
        <v>167</v>
      </c>
      <c r="C4" s="77"/>
      <c r="D4" s="77"/>
      <c r="F4" s="76" t="s">
        <v>167</v>
      </c>
      <c r="G4" s="78">
        <f>IF(【様式第６号の２】事業報告書兼チェックシート!Y140="",0,【様式第６号の２】事業報告書兼チェックシート!Y140*10000)</f>
        <v>0</v>
      </c>
      <c r="H4" s="78">
        <f>IF(【様式第６号の２】事業報告書兼チェックシート!Y140="",0,【様式第６号の２】事業報告書兼チェックシート!Y140*10000)</f>
        <v>0</v>
      </c>
      <c r="J4" s="79">
        <f>IF(H4="","",MIN(D4,H4))</f>
        <v>0</v>
      </c>
    </row>
    <row r="5" spans="2:10" x14ac:dyDescent="0.2">
      <c r="B5" s="76" t="s">
        <v>168</v>
      </c>
      <c r="C5" s="77"/>
      <c r="D5" s="77"/>
      <c r="F5" s="76" t="s">
        <v>168</v>
      </c>
      <c r="G5" s="78">
        <f>IF(【様式第６号の２】事業報告書兼チェックシート!Y103="",0,【様式第６号の２】事業報告書兼チェックシート!Y103*10000)</f>
        <v>0</v>
      </c>
      <c r="H5" s="78">
        <f>IF(【様式第６号の２】事業報告書兼チェックシート!Y103="",0,【様式第６号の２】事業報告書兼チェックシート!Y103*10000)</f>
        <v>0</v>
      </c>
      <c r="J5" s="79">
        <f t="shared" ref="J5:J6" si="0">IF(H5="","",MIN(D5,H5))</f>
        <v>0</v>
      </c>
    </row>
    <row r="6" spans="2:10" x14ac:dyDescent="0.2">
      <c r="B6" s="76" t="s">
        <v>169</v>
      </c>
      <c r="C6" s="77"/>
      <c r="D6" s="77"/>
      <c r="F6" s="76" t="s">
        <v>169</v>
      </c>
      <c r="G6" s="78">
        <f>IF(【様式第６号の２】事業報告書兼チェックシート!Y121="",0,【様式第６号の２】事業報告書兼チェックシート!Y121*10000)</f>
        <v>0</v>
      </c>
      <c r="H6" s="78">
        <f>IF(【様式第６号の２】事業報告書兼チェックシート!Y121="",0,【様式第６号の２】事業報告書兼チェックシート!Y121*10000)</f>
        <v>0</v>
      </c>
      <c r="J6" s="79">
        <f t="shared" si="0"/>
        <v>0</v>
      </c>
    </row>
    <row r="8" spans="2:10" x14ac:dyDescent="0.2">
      <c r="C8" s="80" t="s">
        <v>174</v>
      </c>
      <c r="D8" s="80" t="s">
        <v>171</v>
      </c>
      <c r="G8" s="80" t="s">
        <v>174</v>
      </c>
      <c r="H8" s="80" t="s">
        <v>171</v>
      </c>
    </row>
    <row r="9" spans="2:10" x14ac:dyDescent="0.2">
      <c r="C9" s="79" t="str">
        <f>IF(C3=0,"",SUM(C3:C6))</f>
        <v/>
      </c>
      <c r="D9" s="79" t="str">
        <f>IF(D3=0,"",MIN(500000,SUM(D3:D6),ROUNDDOWN(B12*10000/2,-3)))</f>
        <v/>
      </c>
      <c r="G9" s="79" t="str">
        <f>IF(G3=0,"",SUM(G3:G6))</f>
        <v/>
      </c>
      <c r="H9" s="79" t="str">
        <f>IF(H3=0,"",MIN(SUM(J3:J6),500000,ROUNDDOWN(F12*10000/2,-3),D9))</f>
        <v/>
      </c>
    </row>
    <row r="11" spans="2:10" x14ac:dyDescent="0.2">
      <c r="B11" s="73" t="s">
        <v>175</v>
      </c>
      <c r="F11" s="73" t="s">
        <v>177</v>
      </c>
    </row>
    <row r="12" spans="2:10" x14ac:dyDescent="0.2">
      <c r="B12" s="81"/>
      <c r="C12" s="73" t="s">
        <v>0</v>
      </c>
      <c r="F12" s="82" t="str">
        <f>IF(【様式第６号の２】事業報告書兼チェックシート!S37="","",【様式第６号の２】事業報告書兼チェックシート!S37)</f>
        <v/>
      </c>
      <c r="G12" s="73" t="s">
        <v>0</v>
      </c>
    </row>
    <row r="13" spans="2:10" x14ac:dyDescent="0.2">
      <c r="B13" s="436" t="s">
        <v>180</v>
      </c>
      <c r="C13" s="436"/>
      <c r="D13" s="436"/>
      <c r="F13" s="73" t="s">
        <v>176</v>
      </c>
    </row>
    <row r="14" spans="2:10" x14ac:dyDescent="0.2">
      <c r="B14" s="436"/>
      <c r="C14" s="436"/>
      <c r="D14" s="436"/>
    </row>
    <row r="15" spans="2:10" x14ac:dyDescent="0.2">
      <c r="B15" s="73" t="s">
        <v>179</v>
      </c>
    </row>
  </sheetData>
  <sheetProtection algorithmName="SHA-512" hashValue="mrFUwmU0JAbzTTAaObMby1Yo09ypH+5N6gjybzyGyX6BWQ4tDxc602km8sHReHgDVMX/71ZZE2qPlrM2dx6Ozg==" saltValue="y/aPxPBEGBGIqpOVcCo2IQ==" spinCount="100000" sheet="1" objects="1" scenarios="1"/>
  <mergeCells count="2">
    <mergeCell ref="B1:D1"/>
    <mergeCell ref="B13:D14"/>
  </mergeCells>
  <phoneticPr fontId="1"/>
  <conditionalFormatting sqref="B12">
    <cfRule type="cellIs" dxfId="7" priority="1" operator="equal">
      <formula>0</formula>
    </cfRule>
  </conditionalFormatting>
  <conditionalFormatting sqref="C3:D6">
    <cfRule type="cellIs" dxfId="6" priority="3" operator="equal">
      <formula>0</formula>
    </cfRule>
  </conditionalFormatting>
  <dataValidations count="1">
    <dataValidation type="whole" operator="greaterThanOrEqual" allowBlank="1" showInputMessage="1" showErrorMessage="1" sqref="C3:D6" xr:uid="{00000000-0002-0000-0200-000000000000}">
      <formula1>0</formula1>
    </dataValidation>
  </dataValidations>
  <pageMargins left="0.7" right="0.7" top="0.75" bottom="0.75" header="0.3" footer="0.3"/>
  <pageSetup paperSize="9" scale="65"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E9A3-AEBE-48B5-9FAA-8018A7B19805}">
  <sheetPr>
    <tabColor theme="0" tint="-0.499984740745262"/>
  </sheetPr>
  <dimension ref="B1:AGP22"/>
  <sheetViews>
    <sheetView zoomScale="80" zoomScaleNormal="80" workbookViewId="0">
      <selection activeCell="DN5" sqref="DN5"/>
    </sheetView>
  </sheetViews>
  <sheetFormatPr defaultColWidth="9" defaultRowHeight="13.2" outlineLevelRow="1" outlineLevelCol="1" x14ac:dyDescent="0.2"/>
  <cols>
    <col min="1" max="1" width="9" style="96"/>
    <col min="2" max="2" width="6.6640625" style="94" hidden="1" customWidth="1"/>
    <col min="3" max="3" width="6.6640625" hidden="1" customWidth="1"/>
    <col min="4" max="5" width="7.6640625" style="95" hidden="1" customWidth="1"/>
    <col min="6" max="6" width="9.6640625" style="96" hidden="1" customWidth="1"/>
    <col min="7" max="7" width="8.88671875" style="96" hidden="1" customWidth="1"/>
    <col min="8" max="8" width="11.6640625" style="97" hidden="1" customWidth="1"/>
    <col min="9" max="9" width="26.44140625" style="96" hidden="1" customWidth="1"/>
    <col min="10" max="10" width="10.6640625" style="95" hidden="1" customWidth="1"/>
    <col min="11" max="11" width="50" style="96" hidden="1" customWidth="1"/>
    <col min="12" max="12" width="16.6640625" style="95" hidden="1" customWidth="1"/>
    <col min="13" max="13" width="10.6640625" style="95" hidden="1" customWidth="1"/>
    <col min="14" max="14" width="57" style="96" hidden="1" customWidth="1"/>
    <col min="15" max="31" width="6.6640625" style="99" hidden="1" customWidth="1"/>
    <col min="32" max="33" width="6.6640625" style="99" hidden="1" customWidth="1" outlineLevel="1"/>
    <col min="34" max="35" width="6.6640625" style="99" hidden="1" customWidth="1"/>
    <col min="36" max="37" width="6.6640625" style="99" hidden="1" customWidth="1" outlineLevel="1"/>
    <col min="38" max="51" width="6.6640625" style="99" hidden="1" customWidth="1"/>
    <col min="52" max="52" width="9" style="99" hidden="1" customWidth="1"/>
    <col min="53" max="56" width="6.6640625" style="99" hidden="1" customWidth="1"/>
    <col min="57" max="58" width="6.6640625" style="99" hidden="1" customWidth="1" outlineLevel="1"/>
    <col min="59" max="60" width="6.6640625" style="99" hidden="1" customWidth="1"/>
    <col min="61" max="63" width="6.6640625" style="99" hidden="1" customWidth="1" outlineLevel="1"/>
    <col min="64" max="65" width="6.6640625" style="99" hidden="1" customWidth="1"/>
    <col min="66" max="68" width="6.6640625" style="99" hidden="1" customWidth="1" outlineLevel="1"/>
    <col min="69" max="71" width="6.6640625" style="99" hidden="1" customWidth="1"/>
    <col min="72" max="72" width="10.6640625" style="97" hidden="1" customWidth="1"/>
    <col min="73" max="73" width="3.33203125" style="97" hidden="1" customWidth="1"/>
    <col min="74" max="74" width="4.33203125" style="97" hidden="1" customWidth="1"/>
    <col min="75" max="75" width="3.33203125" style="97" hidden="1" customWidth="1"/>
    <col min="76" max="76" width="4.88671875" style="97" hidden="1" customWidth="1"/>
    <col min="77" max="77" width="3.33203125" style="97" hidden="1" customWidth="1"/>
    <col min="78" max="78" width="10.6640625" style="97" hidden="1" customWidth="1"/>
    <col min="79" max="79" width="3.33203125" style="97" hidden="1" customWidth="1"/>
    <col min="80" max="80" width="4.33203125" style="97" hidden="1" customWidth="1"/>
    <col min="81" max="81" width="3.33203125" style="97" hidden="1" customWidth="1"/>
    <col min="82" max="82" width="4.88671875" style="97" hidden="1" customWidth="1"/>
    <col min="83" max="83" width="3.33203125" style="97" hidden="1" customWidth="1"/>
    <col min="84" max="84" width="10.6640625" style="97" hidden="1" customWidth="1"/>
    <col min="85" max="85" width="9" style="100" hidden="1" customWidth="1"/>
    <col min="86" max="86" width="29.33203125" style="96" hidden="1" customWidth="1"/>
    <col min="87" max="87" width="40.6640625" style="96" hidden="1" customWidth="1"/>
    <col min="88" max="88" width="10.88671875" style="95" hidden="1" customWidth="1"/>
    <col min="89" max="90" width="9" style="96" hidden="1" customWidth="1"/>
    <col min="91" max="91" width="9" style="95" hidden="1" customWidth="1"/>
    <col min="92" max="92" width="9" style="97" hidden="1" customWidth="1"/>
    <col min="93" max="94" width="9" style="96" hidden="1" customWidth="1"/>
    <col min="95" max="96" width="9" style="97" hidden="1" customWidth="1"/>
    <col min="97" max="97" width="11" style="96" hidden="1" customWidth="1"/>
    <col min="98" max="98" width="3.33203125" style="96" hidden="1" customWidth="1"/>
    <col min="99" max="99" width="3.88671875" style="96" hidden="1" customWidth="1"/>
    <col min="100" max="100" width="4.44140625" style="96" hidden="1" customWidth="1"/>
    <col min="101" max="101" width="3.88671875" style="96" hidden="1" customWidth="1"/>
    <col min="102" max="102" width="3.44140625" style="96" hidden="1" customWidth="1"/>
    <col min="103" max="103" width="4.44140625" style="96" hidden="1" customWidth="1"/>
    <col min="104" max="104" width="9" style="96"/>
    <col min="105" max="105" width="8.88671875" style="96" bestFit="1" customWidth="1"/>
    <col min="106" max="107" width="6.6640625" style="99" customWidth="1"/>
    <col min="108" max="108" width="10.109375" style="99" customWidth="1"/>
    <col min="109" max="112" width="6.6640625" style="99" customWidth="1"/>
    <col min="113" max="113" width="10.109375" style="99" customWidth="1"/>
    <col min="114" max="120" width="6.6640625" style="99" customWidth="1"/>
    <col min="121" max="121" width="6.88671875" style="99" bestFit="1" customWidth="1"/>
    <col min="122" max="122" width="12.109375" style="99" customWidth="1"/>
    <col min="123" max="123" width="9.6640625" style="99" customWidth="1"/>
    <col min="124" max="129" width="6.6640625" style="99" customWidth="1"/>
    <col min="130" max="130" width="9.6640625" style="99" customWidth="1"/>
    <col min="131" max="134" width="6.6640625" style="99" customWidth="1"/>
    <col min="135" max="136" width="6.6640625" style="99" customWidth="1" outlineLevel="1"/>
    <col min="137" max="139" width="6.6640625" style="99" customWidth="1"/>
    <col min="140" max="141" width="6.6640625" style="99" customWidth="1" outlineLevel="1"/>
    <col min="142" max="157" width="6.6640625" style="99" customWidth="1"/>
    <col min="158" max="159" width="8.6640625" style="99" customWidth="1"/>
    <col min="160" max="160" width="6.6640625" style="99" customWidth="1"/>
    <col min="161" max="161" width="8.88671875" style="99" bestFit="1" customWidth="1"/>
    <col min="162" max="162" width="9" style="99"/>
    <col min="163" max="163" width="6.6640625" style="99" customWidth="1"/>
    <col min="164" max="164" width="10.109375" style="99" customWidth="1"/>
    <col min="165" max="165" width="6.6640625" style="99" customWidth="1"/>
    <col min="166" max="166" width="10" style="99" customWidth="1"/>
    <col min="167" max="169" width="6.6640625" style="99" customWidth="1"/>
    <col min="170" max="171" width="6.6640625" style="99" customWidth="1" outlineLevel="1"/>
    <col min="172" max="174" width="6.6640625" style="99" customWidth="1"/>
    <col min="175" max="177" width="6.6640625" style="99" hidden="1" customWidth="1" outlineLevel="1"/>
    <col min="178" max="178" width="6.6640625" style="99" customWidth="1" collapsed="1"/>
    <col min="179" max="180" width="6.6640625" style="99" customWidth="1"/>
    <col min="181" max="183" width="6.6640625" style="99" customWidth="1" outlineLevel="1"/>
    <col min="184" max="186" width="6.6640625" style="99" customWidth="1"/>
    <col min="187" max="187" width="10.88671875" style="99" customWidth="1"/>
    <col min="188" max="189" width="6.6640625" style="99" customWidth="1"/>
    <col min="190" max="190" width="6.6640625" style="96" customWidth="1"/>
    <col min="191" max="191" width="9.88671875" style="97" customWidth="1"/>
    <col min="192" max="192" width="9.44140625" style="97" customWidth="1"/>
    <col min="193" max="193" width="9.44140625" style="97" bestFit="1" customWidth="1"/>
    <col min="194" max="196" width="9" style="100"/>
    <col min="197" max="16384" width="9" style="96"/>
  </cols>
  <sheetData>
    <row r="1" spans="2:874" x14ac:dyDescent="0.2">
      <c r="C1" t="s">
        <v>404</v>
      </c>
      <c r="I1" s="98" t="s">
        <v>206</v>
      </c>
    </row>
    <row r="2" spans="2:874" x14ac:dyDescent="0.2">
      <c r="H2" s="101" t="s">
        <v>207</v>
      </c>
      <c r="I2" s="102"/>
      <c r="J2" s="103"/>
      <c r="K2" s="102"/>
      <c r="L2" s="103"/>
      <c r="M2" s="103"/>
      <c r="N2" s="102"/>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1"/>
      <c r="BU2" s="101"/>
      <c r="BV2" s="101"/>
      <c r="BW2" s="101"/>
      <c r="BX2" s="101"/>
      <c r="BY2" s="101"/>
      <c r="BZ2" s="101"/>
      <c r="CA2" s="101"/>
      <c r="CB2" s="101"/>
      <c r="CC2" s="101"/>
      <c r="CD2" s="101"/>
      <c r="CE2" s="101"/>
      <c r="CF2" s="101"/>
      <c r="CG2" s="105"/>
      <c r="CH2" s="102"/>
      <c r="CI2" s="102"/>
      <c r="CJ2" s="103"/>
      <c r="CK2" s="102"/>
      <c r="CL2" s="102"/>
      <c r="CM2" s="103"/>
      <c r="CN2" s="102"/>
      <c r="CO2" s="102"/>
      <c r="CP2" s="102"/>
      <c r="CQ2" s="102"/>
      <c r="CR2" s="102"/>
      <c r="CS2" s="102"/>
      <c r="CT2" s="102"/>
      <c r="CU2" s="102"/>
      <c r="CV2" s="102"/>
      <c r="CW2" s="102"/>
      <c r="CX2" s="102"/>
      <c r="CY2" s="102"/>
      <c r="DA2" s="106" t="s">
        <v>208</v>
      </c>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row>
    <row r="3" spans="2:874" s="132" customFormat="1" ht="54" x14ac:dyDescent="0.2">
      <c r="B3" s="107" t="s">
        <v>209</v>
      </c>
      <c r="C3" s="108" t="s">
        <v>210</v>
      </c>
      <c r="D3" s="109" t="s">
        <v>211</v>
      </c>
      <c r="E3" s="109"/>
      <c r="F3" s="110" t="s">
        <v>212</v>
      </c>
      <c r="G3" s="111" t="s">
        <v>213</v>
      </c>
      <c r="H3" s="113" t="s">
        <v>215</v>
      </c>
      <c r="I3" s="114" t="s">
        <v>216</v>
      </c>
      <c r="J3" s="115"/>
      <c r="K3" s="116"/>
      <c r="L3" s="117"/>
      <c r="M3" s="118" t="s">
        <v>217</v>
      </c>
      <c r="N3" s="119"/>
      <c r="O3" s="120" t="s">
        <v>218</v>
      </c>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507" t="s">
        <v>219</v>
      </c>
      <c r="AZ3" s="122" t="s">
        <v>220</v>
      </c>
      <c r="BA3" s="122"/>
      <c r="BB3" s="122"/>
      <c r="BC3" s="122"/>
      <c r="BD3" s="122"/>
      <c r="BE3" s="122"/>
      <c r="BF3" s="122"/>
      <c r="BG3" s="122"/>
      <c r="BH3" s="122"/>
      <c r="BI3" s="122"/>
      <c r="BJ3" s="122"/>
      <c r="BK3" s="122"/>
      <c r="BL3" s="122"/>
      <c r="BM3" s="122"/>
      <c r="BN3" s="122"/>
      <c r="BO3" s="122"/>
      <c r="BP3" s="122"/>
      <c r="BQ3" s="122"/>
      <c r="BR3" s="122"/>
      <c r="BS3" s="122"/>
      <c r="BT3" s="123" t="s">
        <v>221</v>
      </c>
      <c r="BU3" s="124"/>
      <c r="BV3" s="124"/>
      <c r="BW3" s="124"/>
      <c r="BX3" s="124"/>
      <c r="BY3" s="124"/>
      <c r="BZ3" s="124"/>
      <c r="CA3" s="124"/>
      <c r="CB3" s="124"/>
      <c r="CC3" s="124"/>
      <c r="CD3" s="124"/>
      <c r="CE3" s="124"/>
      <c r="CF3" s="125" t="s">
        <v>222</v>
      </c>
      <c r="CG3" s="126"/>
      <c r="CH3" s="127" t="s">
        <v>223</v>
      </c>
      <c r="CI3" s="128"/>
      <c r="CJ3" s="129" t="s">
        <v>224</v>
      </c>
      <c r="CK3" s="110" t="s">
        <v>225</v>
      </c>
      <c r="CL3" s="110" t="s">
        <v>226</v>
      </c>
      <c r="CM3" s="109" t="s">
        <v>227</v>
      </c>
      <c r="CN3" s="123" t="s">
        <v>228</v>
      </c>
      <c r="CO3" s="128"/>
      <c r="CP3" s="130" t="s">
        <v>229</v>
      </c>
      <c r="CQ3" s="124"/>
      <c r="CR3" s="124"/>
      <c r="CS3" s="131"/>
      <c r="CT3" s="128"/>
      <c r="CU3" s="130" t="s">
        <v>230</v>
      </c>
      <c r="CV3" s="128"/>
      <c r="CW3" s="509" t="s">
        <v>231</v>
      </c>
      <c r="CX3" s="510"/>
      <c r="CY3" s="511"/>
      <c r="DA3" s="112" t="s">
        <v>214</v>
      </c>
      <c r="DB3" s="120" t="s">
        <v>232</v>
      </c>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33"/>
      <c r="FF3" s="134" t="s">
        <v>233</v>
      </c>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22"/>
      <c r="GE3" s="122"/>
      <c r="GF3" s="122"/>
      <c r="GG3" s="122"/>
      <c r="GH3" s="130" t="s">
        <v>234</v>
      </c>
      <c r="GI3" s="136"/>
      <c r="GJ3" s="136"/>
      <c r="GK3" s="136"/>
      <c r="GL3" s="137"/>
      <c r="GM3" s="137"/>
      <c r="GN3" s="126"/>
    </row>
    <row r="4" spans="2:874" ht="36" x14ac:dyDescent="0.15">
      <c r="B4" s="138"/>
      <c r="C4" s="139"/>
      <c r="D4" s="140"/>
      <c r="E4" s="140"/>
      <c r="F4" s="141"/>
      <c r="G4" s="141"/>
      <c r="H4" s="142"/>
      <c r="I4" s="143" t="s">
        <v>235</v>
      </c>
      <c r="J4" s="144" t="s">
        <v>236</v>
      </c>
      <c r="K4" s="145" t="s">
        <v>237</v>
      </c>
      <c r="L4" s="144" t="s">
        <v>238</v>
      </c>
      <c r="M4" s="144"/>
      <c r="N4" s="143"/>
      <c r="O4" s="146"/>
      <c r="P4" s="147" t="s">
        <v>239</v>
      </c>
      <c r="Q4" s="148"/>
      <c r="R4" s="149" t="s">
        <v>240</v>
      </c>
      <c r="S4" s="150"/>
      <c r="T4" s="151"/>
      <c r="U4" s="152" t="s">
        <v>241</v>
      </c>
      <c r="V4" s="153"/>
      <c r="W4" s="154"/>
      <c r="X4" s="501" t="s">
        <v>242</v>
      </c>
      <c r="Y4" s="502"/>
      <c r="Z4" s="502"/>
      <c r="AA4" s="155"/>
      <c r="AB4" s="501" t="s">
        <v>243</v>
      </c>
      <c r="AC4" s="502"/>
      <c r="AD4" s="503"/>
      <c r="AE4" s="156" t="s">
        <v>244</v>
      </c>
      <c r="AF4" s="157"/>
      <c r="AG4" s="157"/>
      <c r="AH4" s="158"/>
      <c r="AI4" s="159" t="s">
        <v>245</v>
      </c>
      <c r="AJ4" s="160"/>
      <c r="AK4" s="160"/>
      <c r="AL4" s="161"/>
      <c r="AM4" s="162" t="s">
        <v>246</v>
      </c>
      <c r="AN4" s="163"/>
      <c r="AO4" s="163"/>
      <c r="AP4" s="163"/>
      <c r="AQ4" s="163"/>
      <c r="AR4" s="163"/>
      <c r="AS4" s="163"/>
      <c r="AT4" s="163"/>
      <c r="AU4" s="163"/>
      <c r="AV4" s="163"/>
      <c r="AW4" s="163"/>
      <c r="AX4" s="164"/>
      <c r="AY4" s="507"/>
      <c r="AZ4" s="146"/>
      <c r="BA4" s="165" t="s">
        <v>247</v>
      </c>
      <c r="BB4" s="165"/>
      <c r="BC4" s="166"/>
      <c r="BD4" s="156" t="s">
        <v>244</v>
      </c>
      <c r="BE4" s="157"/>
      <c r="BF4" s="157"/>
      <c r="BG4" s="158"/>
      <c r="BH4" s="152" t="s">
        <v>245</v>
      </c>
      <c r="BI4" s="153"/>
      <c r="BJ4" s="153"/>
      <c r="BK4" s="153"/>
      <c r="BL4" s="154"/>
      <c r="BM4" s="162" t="s">
        <v>248</v>
      </c>
      <c r="BN4" s="163"/>
      <c r="BO4" s="163"/>
      <c r="BP4" s="163"/>
      <c r="BQ4" s="163"/>
      <c r="BR4" s="164"/>
      <c r="BS4" s="167" t="s">
        <v>249</v>
      </c>
      <c r="BT4" s="168"/>
      <c r="BU4" s="169"/>
      <c r="BV4" s="169"/>
      <c r="BW4" s="169"/>
      <c r="BX4" s="169"/>
      <c r="BY4" s="169"/>
      <c r="BZ4" s="169"/>
      <c r="CA4" s="170"/>
      <c r="CB4" s="170"/>
      <c r="CC4" s="170"/>
      <c r="CD4" s="170"/>
      <c r="CE4" s="170"/>
      <c r="CF4" s="171"/>
      <c r="CG4" s="172"/>
      <c r="CH4" s="173"/>
      <c r="CI4" s="174"/>
      <c r="CJ4" s="175"/>
      <c r="CK4" s="141"/>
      <c r="CL4" s="176"/>
      <c r="CM4" s="140"/>
      <c r="CN4" s="177"/>
      <c r="CO4" s="178"/>
      <c r="CP4" s="173"/>
      <c r="CT4" s="174"/>
      <c r="CU4" s="173"/>
      <c r="CV4" s="174"/>
      <c r="CW4" s="512"/>
      <c r="CX4" s="513"/>
      <c r="CY4" s="514"/>
      <c r="DA4" s="141"/>
      <c r="DB4" s="146"/>
      <c r="DC4" s="147" t="s">
        <v>239</v>
      </c>
      <c r="DD4" s="179"/>
      <c r="DE4" s="179"/>
      <c r="DF4" s="179"/>
      <c r="DG4" s="149" t="s">
        <v>250</v>
      </c>
      <c r="DH4" s="150"/>
      <c r="DI4" s="150"/>
      <c r="DJ4" s="150"/>
      <c r="DK4" s="150"/>
      <c r="DL4" s="152" t="s">
        <v>405</v>
      </c>
      <c r="DM4" s="153"/>
      <c r="DN4" s="153"/>
      <c r="DO4" s="153"/>
      <c r="DP4" s="153"/>
      <c r="DQ4" s="153"/>
      <c r="DR4" s="153"/>
      <c r="DS4" s="153"/>
      <c r="DT4" s="154"/>
      <c r="DU4" s="502" t="s">
        <v>242</v>
      </c>
      <c r="DV4" s="502"/>
      <c r="DW4" s="502"/>
      <c r="DX4" s="502" t="s">
        <v>243</v>
      </c>
      <c r="DY4" s="502"/>
      <c r="DZ4" s="502"/>
      <c r="EA4" s="503"/>
      <c r="EB4" s="180"/>
      <c r="EC4" s="155"/>
      <c r="ED4" s="156" t="s">
        <v>244</v>
      </c>
      <c r="EE4" s="157"/>
      <c r="EF4" s="157"/>
      <c r="EG4" s="157"/>
      <c r="EH4" s="157"/>
      <c r="EI4" s="159" t="s">
        <v>245</v>
      </c>
      <c r="EJ4" s="160"/>
      <c r="EK4" s="160"/>
      <c r="EL4" s="160"/>
      <c r="EM4" s="161"/>
      <c r="EN4" s="162" t="s">
        <v>406</v>
      </c>
      <c r="EO4" s="163"/>
      <c r="EP4" s="163"/>
      <c r="EQ4" s="163"/>
      <c r="ER4" s="163"/>
      <c r="ES4" s="163"/>
      <c r="ET4" s="163"/>
      <c r="EU4" s="163"/>
      <c r="EV4" s="163"/>
      <c r="EW4" s="163"/>
      <c r="EX4" s="163"/>
      <c r="EY4" s="163"/>
      <c r="EZ4" s="163"/>
      <c r="FA4" s="163"/>
      <c r="FB4" s="163"/>
      <c r="FC4" s="163"/>
      <c r="FD4" s="181" t="s">
        <v>251</v>
      </c>
      <c r="FE4" s="181" t="s">
        <v>252</v>
      </c>
      <c r="FG4" s="182" t="s">
        <v>247</v>
      </c>
      <c r="FH4" s="165"/>
      <c r="FI4" s="165"/>
      <c r="FJ4" s="165"/>
      <c r="FK4" s="165"/>
      <c r="FL4" s="166"/>
      <c r="FM4" s="156" t="s">
        <v>244</v>
      </c>
      <c r="FN4" s="157"/>
      <c r="FO4" s="157"/>
      <c r="FP4" s="157"/>
      <c r="FQ4" s="158"/>
      <c r="FR4" s="152" t="s">
        <v>245</v>
      </c>
      <c r="FS4" s="153"/>
      <c r="FT4" s="153"/>
      <c r="FU4" s="153"/>
      <c r="FV4" s="153"/>
      <c r="FW4" s="154"/>
      <c r="FX4" s="162" t="s">
        <v>407</v>
      </c>
      <c r="FY4" s="163"/>
      <c r="FZ4" s="163"/>
      <c r="GA4" s="163"/>
      <c r="GB4" s="163"/>
      <c r="GC4" s="163"/>
      <c r="GD4" s="183"/>
      <c r="GE4" s="183"/>
      <c r="GF4" s="184" t="s">
        <v>253</v>
      </c>
      <c r="GG4" s="184" t="s">
        <v>252</v>
      </c>
      <c r="GH4" s="185"/>
      <c r="GI4" s="186"/>
      <c r="GJ4" s="186"/>
      <c r="GK4" s="186"/>
      <c r="GL4" s="187" t="s">
        <v>254</v>
      </c>
      <c r="GM4" s="187" t="s">
        <v>254</v>
      </c>
      <c r="GN4" s="188" t="s">
        <v>255</v>
      </c>
    </row>
    <row r="5" spans="2:874" s="214" customFormat="1" ht="183.6" x14ac:dyDescent="0.2">
      <c r="B5" s="189" t="s">
        <v>256</v>
      </c>
      <c r="C5" s="190"/>
      <c r="D5" s="191"/>
      <c r="E5" s="192" t="s">
        <v>257</v>
      </c>
      <c r="F5" s="193" t="s">
        <v>258</v>
      </c>
      <c r="G5" s="193"/>
      <c r="H5" s="194"/>
      <c r="I5" s="195"/>
      <c r="J5" s="196"/>
      <c r="K5" s="110"/>
      <c r="L5" s="196"/>
      <c r="M5" s="109" t="s">
        <v>259</v>
      </c>
      <c r="N5" s="110" t="s">
        <v>260</v>
      </c>
      <c r="O5" s="197" t="s">
        <v>261</v>
      </c>
      <c r="P5" s="198" t="s">
        <v>262</v>
      </c>
      <c r="Q5" s="184" t="s">
        <v>263</v>
      </c>
      <c r="R5" s="199" t="s">
        <v>264</v>
      </c>
      <c r="S5" s="198" t="s">
        <v>262</v>
      </c>
      <c r="T5" s="184" t="s">
        <v>263</v>
      </c>
      <c r="U5" s="199" t="s">
        <v>264</v>
      </c>
      <c r="V5" s="198" t="s">
        <v>262</v>
      </c>
      <c r="W5" s="184" t="s">
        <v>263</v>
      </c>
      <c r="X5" s="200" t="s">
        <v>264</v>
      </c>
      <c r="Y5" s="201" t="s">
        <v>265</v>
      </c>
      <c r="Z5" s="200" t="s">
        <v>266</v>
      </c>
      <c r="AA5" s="202" t="s">
        <v>267</v>
      </c>
      <c r="AB5" s="200" t="s">
        <v>264</v>
      </c>
      <c r="AC5" s="201" t="s">
        <v>268</v>
      </c>
      <c r="AD5" s="200" t="s">
        <v>266</v>
      </c>
      <c r="AE5" s="199" t="s">
        <v>264</v>
      </c>
      <c r="AF5" s="198" t="s">
        <v>269</v>
      </c>
      <c r="AG5" s="203" t="s">
        <v>270</v>
      </c>
      <c r="AH5" s="184" t="s">
        <v>263</v>
      </c>
      <c r="AI5" s="199" t="s">
        <v>271</v>
      </c>
      <c r="AJ5" s="198" t="s">
        <v>272</v>
      </c>
      <c r="AK5" s="198" t="s">
        <v>273</v>
      </c>
      <c r="AL5" s="184" t="s">
        <v>263</v>
      </c>
      <c r="AM5" s="200" t="s">
        <v>271</v>
      </c>
      <c r="AN5" s="197" t="s">
        <v>274</v>
      </c>
      <c r="AO5" s="197" t="s">
        <v>275</v>
      </c>
      <c r="AP5" s="197" t="s">
        <v>276</v>
      </c>
      <c r="AQ5" s="197" t="s">
        <v>277</v>
      </c>
      <c r="AR5" s="197" t="s">
        <v>278</v>
      </c>
      <c r="AS5" s="197" t="s">
        <v>279</v>
      </c>
      <c r="AT5" s="197" t="s">
        <v>280</v>
      </c>
      <c r="AU5" s="200" t="s">
        <v>281</v>
      </c>
      <c r="AV5" s="202" t="s">
        <v>263</v>
      </c>
      <c r="AW5" s="197" t="s">
        <v>282</v>
      </c>
      <c r="AX5" s="197" t="s">
        <v>283</v>
      </c>
      <c r="AY5" s="508"/>
      <c r="AZ5" s="204" t="s">
        <v>284</v>
      </c>
      <c r="BA5" s="205" t="s">
        <v>285</v>
      </c>
      <c r="BB5" s="206" t="s">
        <v>286</v>
      </c>
      <c r="BC5" s="202" t="s">
        <v>287</v>
      </c>
      <c r="BD5" s="199" t="s">
        <v>264</v>
      </c>
      <c r="BE5" s="198" t="s">
        <v>288</v>
      </c>
      <c r="BF5" s="203" t="s">
        <v>289</v>
      </c>
      <c r="BG5" s="184" t="s">
        <v>287</v>
      </c>
      <c r="BH5" s="199" t="s">
        <v>264</v>
      </c>
      <c r="BI5" s="198" t="s">
        <v>290</v>
      </c>
      <c r="BJ5" s="198" t="s">
        <v>291</v>
      </c>
      <c r="BK5" s="198" t="s">
        <v>292</v>
      </c>
      <c r="BL5" s="184" t="s">
        <v>287</v>
      </c>
      <c r="BM5" s="199" t="s">
        <v>271</v>
      </c>
      <c r="BN5" s="198" t="s">
        <v>293</v>
      </c>
      <c r="BO5" s="198" t="s">
        <v>294</v>
      </c>
      <c r="BP5" s="198" t="s">
        <v>295</v>
      </c>
      <c r="BQ5" s="184" t="s">
        <v>296</v>
      </c>
      <c r="BR5" s="197" t="s">
        <v>283</v>
      </c>
      <c r="BS5" s="207" t="s">
        <v>297</v>
      </c>
      <c r="BT5" s="504" t="s">
        <v>298</v>
      </c>
      <c r="BU5" s="505"/>
      <c r="BV5" s="505"/>
      <c r="BW5" s="505"/>
      <c r="BX5" s="505"/>
      <c r="BY5" s="506"/>
      <c r="BZ5" s="504" t="s">
        <v>299</v>
      </c>
      <c r="CA5" s="505"/>
      <c r="CB5" s="505"/>
      <c r="CC5" s="505"/>
      <c r="CD5" s="505"/>
      <c r="CE5" s="506"/>
      <c r="CF5" s="208" t="s">
        <v>300</v>
      </c>
      <c r="CG5" s="209" t="s">
        <v>301</v>
      </c>
      <c r="CH5" s="210" t="s">
        <v>302</v>
      </c>
      <c r="CI5" s="210" t="s">
        <v>303</v>
      </c>
      <c r="CJ5" s="211" t="s">
        <v>304</v>
      </c>
      <c r="CK5" s="210" t="s">
        <v>305</v>
      </c>
      <c r="CL5" s="210" t="s">
        <v>306</v>
      </c>
      <c r="CM5" s="211" t="s">
        <v>307</v>
      </c>
      <c r="CN5" s="208" t="s">
        <v>308</v>
      </c>
      <c r="CO5" s="143" t="s">
        <v>309</v>
      </c>
      <c r="CP5" s="210" t="s">
        <v>310</v>
      </c>
      <c r="CQ5" s="212" t="s">
        <v>311</v>
      </c>
      <c r="CR5" s="212" t="s">
        <v>312</v>
      </c>
      <c r="CS5" s="210" t="s">
        <v>313</v>
      </c>
      <c r="CT5" s="210" t="s">
        <v>314</v>
      </c>
      <c r="CU5" s="210" t="s">
        <v>315</v>
      </c>
      <c r="CV5" s="210" t="s">
        <v>316</v>
      </c>
      <c r="CW5" s="213" t="s">
        <v>317</v>
      </c>
      <c r="CX5" s="213" t="s">
        <v>318</v>
      </c>
      <c r="CY5" s="213" t="s">
        <v>319</v>
      </c>
      <c r="DA5" s="193"/>
      <c r="DB5" s="197" t="s">
        <v>261</v>
      </c>
      <c r="DC5" s="197" t="s">
        <v>262</v>
      </c>
      <c r="DD5" s="197" t="s">
        <v>320</v>
      </c>
      <c r="DE5" s="215" t="s">
        <v>321</v>
      </c>
      <c r="DF5" s="215" t="s">
        <v>322</v>
      </c>
      <c r="DG5" s="200" t="s">
        <v>264</v>
      </c>
      <c r="DH5" s="197" t="s">
        <v>262</v>
      </c>
      <c r="DI5" s="197" t="s">
        <v>323</v>
      </c>
      <c r="DJ5" s="216" t="s">
        <v>321</v>
      </c>
      <c r="DK5" s="216" t="s">
        <v>322</v>
      </c>
      <c r="DL5" s="200" t="s">
        <v>264</v>
      </c>
      <c r="DM5" s="278" t="s">
        <v>408</v>
      </c>
      <c r="DN5" s="200" t="s">
        <v>266</v>
      </c>
      <c r="DO5" s="200" t="s">
        <v>264</v>
      </c>
      <c r="DP5" s="279" t="s">
        <v>409</v>
      </c>
      <c r="DQ5" s="200" t="s">
        <v>266</v>
      </c>
      <c r="DR5" s="197" t="s">
        <v>410</v>
      </c>
      <c r="DS5" s="216" t="s">
        <v>321</v>
      </c>
      <c r="DT5" s="216" t="s">
        <v>322</v>
      </c>
      <c r="DU5" s="200" t="s">
        <v>264</v>
      </c>
      <c r="DV5" s="201" t="s">
        <v>265</v>
      </c>
      <c r="DW5" s="200" t="s">
        <v>266</v>
      </c>
      <c r="DX5" s="200" t="s">
        <v>264</v>
      </c>
      <c r="DY5" s="201" t="s">
        <v>268</v>
      </c>
      <c r="DZ5" s="217" t="s">
        <v>325</v>
      </c>
      <c r="EA5" s="200" t="s">
        <v>266</v>
      </c>
      <c r="EB5" s="216" t="s">
        <v>321</v>
      </c>
      <c r="EC5" s="216" t="s">
        <v>322</v>
      </c>
      <c r="ED5" s="200" t="s">
        <v>264</v>
      </c>
      <c r="EE5" s="197" t="s">
        <v>269</v>
      </c>
      <c r="EF5" s="197" t="s">
        <v>270</v>
      </c>
      <c r="EG5" s="216" t="s">
        <v>321</v>
      </c>
      <c r="EH5" s="216" t="s">
        <v>322</v>
      </c>
      <c r="EI5" s="200" t="s">
        <v>271</v>
      </c>
      <c r="EJ5" s="197" t="s">
        <v>272</v>
      </c>
      <c r="EK5" s="197" t="s">
        <v>273</v>
      </c>
      <c r="EL5" s="216" t="s">
        <v>321</v>
      </c>
      <c r="EM5" s="216" t="s">
        <v>322</v>
      </c>
      <c r="EN5" s="200" t="s">
        <v>271</v>
      </c>
      <c r="EO5" s="197" t="s">
        <v>274</v>
      </c>
      <c r="EP5" s="197" t="s">
        <v>275</v>
      </c>
      <c r="EQ5" s="197" t="s">
        <v>276</v>
      </c>
      <c r="ER5" s="197" t="s">
        <v>277</v>
      </c>
      <c r="ES5" s="197" t="s">
        <v>278</v>
      </c>
      <c r="ET5" s="197" t="s">
        <v>279</v>
      </c>
      <c r="EU5" s="197" t="s">
        <v>280</v>
      </c>
      <c r="EV5" s="200" t="s">
        <v>281</v>
      </c>
      <c r="EW5" s="216" t="s">
        <v>321</v>
      </c>
      <c r="EX5" s="216" t="s">
        <v>322</v>
      </c>
      <c r="EY5" s="197" t="s">
        <v>282</v>
      </c>
      <c r="EZ5" s="197" t="s">
        <v>283</v>
      </c>
      <c r="FA5" s="197" t="s">
        <v>283</v>
      </c>
      <c r="FB5" s="197" t="s">
        <v>326</v>
      </c>
      <c r="FC5" s="197" t="s">
        <v>327</v>
      </c>
      <c r="FD5" s="218"/>
      <c r="FE5" s="218"/>
      <c r="FF5" s="219" t="s">
        <v>284</v>
      </c>
      <c r="FG5" s="220" t="s">
        <v>285</v>
      </c>
      <c r="FH5" s="221" t="s">
        <v>328</v>
      </c>
      <c r="FI5" s="222" t="s">
        <v>286</v>
      </c>
      <c r="FJ5" s="222" t="s">
        <v>325</v>
      </c>
      <c r="FK5" s="216" t="s">
        <v>321</v>
      </c>
      <c r="FL5" s="216" t="s">
        <v>322</v>
      </c>
      <c r="FM5" s="200" t="s">
        <v>264</v>
      </c>
      <c r="FN5" s="197" t="s">
        <v>329</v>
      </c>
      <c r="FO5" s="197" t="s">
        <v>330</v>
      </c>
      <c r="FP5" s="216" t="s">
        <v>321</v>
      </c>
      <c r="FQ5" s="216" t="s">
        <v>322</v>
      </c>
      <c r="FR5" s="200" t="s">
        <v>331</v>
      </c>
      <c r="FS5" s="197" t="s">
        <v>332</v>
      </c>
      <c r="FT5" s="197" t="s">
        <v>333</v>
      </c>
      <c r="FU5" s="197" t="s">
        <v>334</v>
      </c>
      <c r="FV5" s="216" t="s">
        <v>321</v>
      </c>
      <c r="FW5" s="216" t="s">
        <v>322</v>
      </c>
      <c r="FX5" s="200" t="s">
        <v>331</v>
      </c>
      <c r="FY5" s="197" t="s">
        <v>293</v>
      </c>
      <c r="FZ5" s="197" t="s">
        <v>294</v>
      </c>
      <c r="GA5" s="197" t="s">
        <v>295</v>
      </c>
      <c r="GB5" s="216" t="s">
        <v>321</v>
      </c>
      <c r="GC5" s="216" t="s">
        <v>322</v>
      </c>
      <c r="GD5" s="223" t="s">
        <v>283</v>
      </c>
      <c r="GE5" s="223" t="s">
        <v>326</v>
      </c>
      <c r="GF5" s="216"/>
      <c r="GG5" s="216"/>
      <c r="GH5" s="224" t="s">
        <v>335</v>
      </c>
      <c r="GI5" s="225" t="s">
        <v>336</v>
      </c>
      <c r="GJ5" s="225" t="s">
        <v>337</v>
      </c>
      <c r="GK5" s="225" t="s">
        <v>338</v>
      </c>
      <c r="GL5" s="226" t="s">
        <v>339</v>
      </c>
      <c r="GM5" s="226" t="s">
        <v>340</v>
      </c>
      <c r="GN5" s="226" t="s">
        <v>341</v>
      </c>
    </row>
    <row r="6" spans="2:874" s="247" customFormat="1" ht="16.2" outlineLevel="1" x14ac:dyDescent="0.2">
      <c r="B6" s="227" t="str">
        <f t="shared" ref="B6" si="0">IF(GK6&gt;0,"支払済",IF(GH6="取下",GH6,IF(GH6="取消",GH6,"")))</f>
        <v/>
      </c>
      <c r="C6" s="264"/>
      <c r="D6" s="234" t="s">
        <v>343</v>
      </c>
      <c r="E6" s="230" t="e">
        <f>IF(D6="登録","登録",IF(#REF!="登録","建売購入",""))</f>
        <v>#REF!</v>
      </c>
      <c r="F6" s="231"/>
      <c r="G6" s="234" t="s">
        <v>393</v>
      </c>
      <c r="H6" s="232"/>
      <c r="I6" s="233" t="s">
        <v>385</v>
      </c>
      <c r="J6" s="234" t="s">
        <v>385</v>
      </c>
      <c r="K6" s="233" t="s">
        <v>385</v>
      </c>
      <c r="L6" s="234" t="s">
        <v>385</v>
      </c>
      <c r="M6" s="234" t="s">
        <v>385</v>
      </c>
      <c r="N6" s="233" t="s">
        <v>385</v>
      </c>
      <c r="O6" s="235" t="s">
        <v>385</v>
      </c>
      <c r="P6" s="235" t="s">
        <v>385</v>
      </c>
      <c r="Q6" s="236">
        <f>IF(P6="",0,IF(P6&gt;=10,150,0))</f>
        <v>0</v>
      </c>
      <c r="R6" s="235" t="str">
        <f>IF(S6="","",IF(S6&gt;=1,1,""))</f>
        <v/>
      </c>
      <c r="S6" s="235" t="s">
        <v>385</v>
      </c>
      <c r="T6" s="237">
        <f t="shared" ref="T6" si="1">IF(Q6=0,0,IF(S6&gt;=25,MIN(250,ROUNDDOWN(S6*10,-1)),IF(S6&gt;=20,MIN(200,ROUNDDOWN(S6*10,-1)),IF(S6&gt;=15,MIN(150,ROUNDDOWN(S6*10,-1)),MIN(100,ROUNDDOWN(S6*10,-1))))))</f>
        <v>0</v>
      </c>
      <c r="U6" s="235" t="str">
        <f>IF(V6="","",IF(V6&gt;=1,1,""))</f>
        <v/>
      </c>
      <c r="V6" s="235" t="s">
        <v>385</v>
      </c>
      <c r="W6" s="237">
        <f t="shared" ref="W6" si="2">IF(AND(Q6&gt;0,V6&gt;=1),MIN(INT(V6)*20,200),0)</f>
        <v>0</v>
      </c>
      <c r="X6" s="235" t="str">
        <f>IF(Y6="","",IF(Y6&gt;=1,1,""))</f>
        <v/>
      </c>
      <c r="Y6" s="235">
        <v>0</v>
      </c>
      <c r="Z6" s="235">
        <f t="shared" ref="Z6" si="3">IF(Y6&gt;=1,50,0)</f>
        <v>0</v>
      </c>
      <c r="AA6" s="236">
        <f t="shared" ref="AA6" si="4">IF(OR(AD6&gt;0,Z6&gt;0),MIN(AD6+Z6,150),0)</f>
        <v>0</v>
      </c>
      <c r="AB6" s="235" t="str">
        <f>IF(AC6="","",IF(AC6&gt;=1,1,""))</f>
        <v/>
      </c>
      <c r="AC6" s="235" t="s">
        <v>385</v>
      </c>
      <c r="AD6" s="235">
        <f t="shared" ref="AD6" si="5">IF(AND(Q6&gt;0,AC6&gt;=1),MIN(INT(AC6)*2,150),0)</f>
        <v>0</v>
      </c>
      <c r="AE6" s="235" t="str">
        <f t="shared" ref="AE6" si="6">IF(OR(AF6=1,AG6=1),1,"")</f>
        <v/>
      </c>
      <c r="AF6" s="235" t="s">
        <v>385</v>
      </c>
      <c r="AG6" s="235" t="s">
        <v>385</v>
      </c>
      <c r="AH6" s="236"/>
      <c r="AI6" s="235" t="str">
        <f>IF(OR(AJ6=1,AK6=1),1,"")</f>
        <v/>
      </c>
      <c r="AJ6" s="235" t="s">
        <v>385</v>
      </c>
      <c r="AK6" s="235" t="s">
        <v>385</v>
      </c>
      <c r="AL6" s="236">
        <f t="shared" ref="AL6" si="7">IF(AND(Q6&gt;0,AE6=1,AI6=1),100,0)</f>
        <v>0</v>
      </c>
      <c r="AM6" s="235" t="str">
        <f t="shared" ref="AM6" si="8">IF(AU6&gt;=4,1,"")</f>
        <v/>
      </c>
      <c r="AN6" s="235" t="s">
        <v>385</v>
      </c>
      <c r="AO6" s="235" t="s">
        <v>385</v>
      </c>
      <c r="AP6" s="235" t="s">
        <v>385</v>
      </c>
      <c r="AQ6" s="235" t="s">
        <v>385</v>
      </c>
      <c r="AR6" s="235" t="s">
        <v>385</v>
      </c>
      <c r="AS6" s="235" t="s">
        <v>385</v>
      </c>
      <c r="AT6" s="235" t="s">
        <v>385</v>
      </c>
      <c r="AU6" s="235">
        <f t="shared" ref="AU6" si="9">SUM(AN6:AT6)</f>
        <v>0</v>
      </c>
      <c r="AV6" s="236">
        <f t="shared" ref="AV6" si="10">IF(AU6&gt;=4,200,0)</f>
        <v>0</v>
      </c>
      <c r="AW6" s="238"/>
      <c r="AX6" s="238"/>
      <c r="AY6" s="236">
        <f t="shared" ref="AY6" si="11">IF(OR(D6="新築",D6="登録"),MIN(1000,Q6+T6+W6+AA6+AH6+AL6+AV6),0)</f>
        <v>0</v>
      </c>
      <c r="AZ6" s="238"/>
      <c r="BA6" s="239"/>
      <c r="BB6" s="238"/>
      <c r="BC6" s="236">
        <f t="shared" ref="BC6" si="12">MIN(ROUNDDOWN(BA6,1)*20+INT(BB6)*2,250)</f>
        <v>0</v>
      </c>
      <c r="BD6" s="235" t="str">
        <f>IF(OR(BE6=1,BF6=1),1,"")</f>
        <v/>
      </c>
      <c r="BE6" s="238"/>
      <c r="BF6" s="238"/>
      <c r="BG6" s="236" t="e">
        <f>IF(AND(BC6&gt;0,BD6=1,#REF!=""),100,0)</f>
        <v>#REF!</v>
      </c>
      <c r="BH6" s="235" t="str">
        <f t="shared" ref="BH6" si="13">IF(OR(BI6=1,BJ6=1,BK6=1),1,"")</f>
        <v/>
      </c>
      <c r="BI6" s="238"/>
      <c r="BJ6" s="238"/>
      <c r="BK6" s="238"/>
      <c r="BL6" s="236">
        <f t="shared" ref="BL6" si="14">IF(AND(BC6&gt;0,BH6=1),100,IF(AND(BC6&gt;0,BK6=1),100,0))</f>
        <v>0</v>
      </c>
      <c r="BM6" s="235" t="str">
        <f t="shared" ref="BM6" si="15">IF(OR(AND(BN6&gt;=7,BO6&gt;=7,BN6+BO6&gt;=14),AND(BN6&gt;=7,BP6&gt;=3,BN6+BP6&gt;=10),AND(BO6&gt;=7,BP6&gt;=3,BO6+BP6&gt;=10)),1,"")</f>
        <v/>
      </c>
      <c r="BN6" s="238"/>
      <c r="BO6" s="238"/>
      <c r="BP6" s="238"/>
      <c r="BQ6" s="236">
        <f t="shared" ref="BQ6" si="16">IF(AND(BM6=1,BC6&gt;0),MIN(150,ROUNDDOWN(BN6*11+BO6*13+BP6*19,0)),0)</f>
        <v>0</v>
      </c>
      <c r="BR6" s="238"/>
      <c r="BS6" s="236">
        <f t="shared" ref="BS6" si="17">IF(D6="改修",MIN(500,BC6+BG6+BL6+BQ6,INT(CL6*10/2)),0)</f>
        <v>0</v>
      </c>
      <c r="BT6" s="265" t="s">
        <v>385</v>
      </c>
      <c r="BU6" s="241" t="s">
        <v>8</v>
      </c>
      <c r="BV6" s="241" t="s">
        <v>385</v>
      </c>
      <c r="BW6" s="241" t="s">
        <v>351</v>
      </c>
      <c r="BX6" s="241" t="s">
        <v>385</v>
      </c>
      <c r="BY6" s="243" t="s">
        <v>7</v>
      </c>
      <c r="BZ6" s="265" t="s">
        <v>385</v>
      </c>
      <c r="CA6" s="241" t="s">
        <v>8</v>
      </c>
      <c r="CB6" s="241" t="s">
        <v>385</v>
      </c>
      <c r="CC6" s="241" t="s">
        <v>351</v>
      </c>
      <c r="CD6" s="241" t="s">
        <v>385</v>
      </c>
      <c r="CE6" s="243" t="s">
        <v>7</v>
      </c>
      <c r="CF6" s="231"/>
      <c r="CG6" s="244">
        <f t="shared" ref="CG6" si="18">AY6+BS6</f>
        <v>0</v>
      </c>
      <c r="CH6" s="233" t="s">
        <v>385</v>
      </c>
      <c r="CI6" s="233" t="s">
        <v>385</v>
      </c>
      <c r="CJ6" s="229"/>
      <c r="CK6" s="233" t="s">
        <v>385</v>
      </c>
      <c r="CL6" s="233" t="s">
        <v>385</v>
      </c>
      <c r="CM6" s="233" t="s">
        <v>385</v>
      </c>
      <c r="CN6" s="231"/>
      <c r="CO6" s="231"/>
      <c r="CP6" s="231"/>
      <c r="CQ6" s="232"/>
      <c r="CR6" s="232"/>
      <c r="CS6" s="231"/>
      <c r="CT6" s="231"/>
      <c r="CU6" s="231"/>
      <c r="CV6" s="231"/>
      <c r="CW6" s="231"/>
      <c r="CX6" s="231"/>
      <c r="CY6" s="231"/>
      <c r="CZ6" t="s">
        <v>386</v>
      </c>
      <c r="DA6" s="229"/>
      <c r="DB6" s="280"/>
      <c r="DC6" s="280"/>
      <c r="DD6" s="280"/>
      <c r="DE6" s="280"/>
      <c r="DF6" s="280"/>
      <c r="DG6" s="280"/>
      <c r="DH6" s="280"/>
      <c r="DI6" s="280"/>
      <c r="DJ6" s="281"/>
      <c r="DK6" s="280"/>
      <c r="DL6" s="280"/>
      <c r="DM6" s="280"/>
      <c r="DN6" s="280"/>
      <c r="DO6" s="280"/>
      <c r="DP6" s="280"/>
      <c r="DQ6" s="280"/>
      <c r="DR6" s="280"/>
      <c r="DS6" s="281"/>
      <c r="DT6" s="280"/>
      <c r="DU6" s="280"/>
      <c r="DV6" s="280"/>
      <c r="DW6" s="280"/>
      <c r="DX6" s="280"/>
      <c r="DY6" s="280"/>
      <c r="DZ6" s="280"/>
      <c r="EA6" s="280"/>
      <c r="EB6" s="280"/>
      <c r="EC6" s="280"/>
      <c r="ED6" s="280"/>
      <c r="EE6" s="280"/>
      <c r="EF6" s="280"/>
      <c r="EG6" s="280"/>
      <c r="EH6" s="280"/>
      <c r="EI6" s="280"/>
      <c r="EJ6" s="280"/>
      <c r="EK6" s="280"/>
      <c r="EL6" s="280"/>
      <c r="EM6" s="280"/>
      <c r="EN6" s="280"/>
      <c r="EO6" s="280"/>
      <c r="EP6" s="280"/>
      <c r="EQ6" s="280"/>
      <c r="ER6" s="280"/>
      <c r="ES6" s="280"/>
      <c r="ET6" s="280"/>
      <c r="EU6" s="280"/>
      <c r="EV6" s="280"/>
      <c r="EW6" s="280"/>
      <c r="EX6" s="280"/>
      <c r="EY6" s="280"/>
      <c r="EZ6" s="282"/>
      <c r="FA6" s="282"/>
      <c r="FB6" s="280"/>
      <c r="FC6" s="280"/>
      <c r="FD6" s="280"/>
      <c r="FE6" s="283"/>
      <c r="FF6" s="284">
        <f>【様式第６号の２】事業報告書兼チェックシート!Q88</f>
        <v>0</v>
      </c>
      <c r="FG6" s="284">
        <f>【様式第６号の２】事業報告書兼チェックシート!Q89</f>
        <v>0</v>
      </c>
      <c r="FH6" s="284"/>
      <c r="FI6" s="284">
        <f>【様式第６号の２】事業報告書兼チェックシート!Q90</f>
        <v>0</v>
      </c>
      <c r="FJ6" s="284"/>
      <c r="FK6" s="285" t="e">
        <f>【様式第６号の２】事業報告書兼チェックシート!Y91*10</f>
        <v>#VALUE!</v>
      </c>
      <c r="FL6" s="285" t="e">
        <f>MIN(FK6,'要入力　登録決定状況入力シート'!D3/1000)</f>
        <v>#VALUE!</v>
      </c>
      <c r="FM6" s="284">
        <f>IF(FN6=1,1,IF(FO6=1,1,0))</f>
        <v>0</v>
      </c>
      <c r="FN6" s="284">
        <f>IF(【様式第６号の２】事業報告書兼チェックシート!B105="✔",1,0)</f>
        <v>0</v>
      </c>
      <c r="FO6" s="284">
        <f>IF(【様式第６号の２】事業報告書兼チェックシート!P105="✔",1,0)</f>
        <v>0</v>
      </c>
      <c r="FP6" s="285">
        <f>IF(【様式第６号の２】事業報告書兼チェックシート!Y103="",0,【様式第６号の２】事業報告書兼チェックシート!Y103*10)</f>
        <v>0</v>
      </c>
      <c r="FQ6" s="285">
        <f>MIN(FP6,'要入力　登録決定状況入力シート'!D5/1000)</f>
        <v>0</v>
      </c>
      <c r="FR6" s="284">
        <f>IF(【様式第６号の２】事業報告書兼チェックシート!Y121="",0,【様式第６号の２】事業報告書兼チェックシート!Y121*1)</f>
        <v>0</v>
      </c>
      <c r="FS6" s="284" t="e">
        <f>IF(AND(【様式第６号の２】事業報告書兼チェックシート!#REF!="✔",【様式第６号の２】事業報告書兼チェックシート!#REF!="✔",【様式第６号の２】事業報告書兼チェックシート!#REF!="✔",【様式第６号の２】事業報告書兼チェックシート!B122="✔"),1,0)</f>
        <v>#REF!</v>
      </c>
      <c r="FT6" s="284"/>
      <c r="FU6" s="284"/>
      <c r="FV6" s="285">
        <f>IF(【様式第６号の２】事業報告書兼チェックシート!Y121="",0,【様式第６号の２】事業報告書兼チェックシート!Y121*10)</f>
        <v>0</v>
      </c>
      <c r="FW6" s="285">
        <f>MIN(FV6,'要入力　登録決定状況入力シート'!D6/1000)</f>
        <v>0</v>
      </c>
      <c r="FX6" s="284"/>
      <c r="FY6" s="284">
        <f>【様式第６号の２】事業報告書兼チェックシート!N152</f>
        <v>0</v>
      </c>
      <c r="FZ6" s="284">
        <f>【様式第６号の２】事業報告書兼チェックシート!N159</f>
        <v>0</v>
      </c>
      <c r="GA6" s="284">
        <f>【様式第６号の２】事業報告書兼チェックシート!N170</f>
        <v>0</v>
      </c>
      <c r="GB6" s="285">
        <f>(IF(【様式第６号の２】事業報告書兼チェックシート!Y153="",0,【様式第６号の２】事業報告書兼チェックシート!Y153)+IF(【様式第６号の２】事業報告書兼チェックシート!Y163="",0,【様式第６号の２】事業報告書兼チェックシート!Y163)+IF(【様式第６号の２】事業報告書兼チェックシート!Y170="",0,【様式第６号の２】事業報告書兼チェックシート!Y170))*10</f>
        <v>0</v>
      </c>
      <c r="GC6" s="285">
        <f>MIN(GB6,'要入力　登録決定状況入力シート'!D4/1000)</f>
        <v>0</v>
      </c>
      <c r="GD6" s="284"/>
      <c r="GE6" s="284"/>
      <c r="GF6" s="285" t="e">
        <f>MIN(FL6+FQ6+FW6+GC6,500)</f>
        <v>#VALUE!</v>
      </c>
      <c r="GG6" s="285" t="e">
        <f>'要入力　登録決定状況入力シート'!D9/1000-GF6</f>
        <v>#VALUE!</v>
      </c>
      <c r="GH6" s="231"/>
      <c r="GI6" s="232"/>
      <c r="GJ6" s="232"/>
      <c r="GK6" s="232"/>
      <c r="GL6" s="244">
        <f>IFERROR(IF(D6="新築",'要入力　交付決定状況入力シート'!D12/1000,IF(D6="改修",BS6,0)),0)</f>
        <v>0</v>
      </c>
      <c r="GM6" s="244">
        <f>IF(D6="新築",FD6,IF(D6="改修",GF6,0))</f>
        <v>0</v>
      </c>
      <c r="GN6" s="244">
        <f>GL6-GM6</f>
        <v>0</v>
      </c>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c r="IW6" s="96"/>
      <c r="IX6" s="96"/>
      <c r="IY6" s="96"/>
      <c r="IZ6" s="96"/>
      <c r="JA6" s="96"/>
      <c r="JB6" s="96"/>
      <c r="JC6" s="96"/>
      <c r="JD6" s="96"/>
      <c r="JE6" s="96"/>
      <c r="JF6" s="96"/>
      <c r="JG6" s="96"/>
      <c r="JH6" s="96"/>
      <c r="JI6" s="96"/>
      <c r="JJ6" s="96"/>
      <c r="JK6" s="96"/>
      <c r="JL6" s="96"/>
      <c r="JM6" s="96"/>
      <c r="JN6" s="96"/>
      <c r="JO6" s="96"/>
      <c r="JP6" s="96"/>
      <c r="JQ6" s="96"/>
      <c r="JR6" s="96"/>
      <c r="JS6" s="96"/>
      <c r="JT6" s="96"/>
      <c r="JU6" s="96"/>
      <c r="JV6" s="96"/>
      <c r="JW6" s="96"/>
      <c r="JX6" s="96"/>
      <c r="JY6" s="96"/>
      <c r="JZ6" s="96"/>
      <c r="KA6" s="96"/>
      <c r="KB6" s="96"/>
      <c r="KC6" s="96"/>
      <c r="KD6" s="96"/>
      <c r="KE6" s="96"/>
      <c r="KF6" s="96"/>
      <c r="KG6" s="96"/>
      <c r="KH6" s="96"/>
      <c r="KI6" s="96"/>
      <c r="KJ6" s="96"/>
      <c r="KK6" s="96"/>
      <c r="KL6" s="96"/>
      <c r="KM6" s="96"/>
      <c r="KN6" s="96"/>
      <c r="KO6" s="96"/>
      <c r="KP6" s="96"/>
      <c r="KQ6" s="96"/>
      <c r="KR6" s="96"/>
      <c r="KS6" s="96"/>
      <c r="KT6" s="96"/>
      <c r="KU6" s="96"/>
      <c r="KV6" s="96"/>
      <c r="KW6" s="96"/>
      <c r="KX6" s="96"/>
      <c r="KY6" s="96"/>
      <c r="KZ6" s="96"/>
      <c r="LA6" s="96"/>
      <c r="LB6" s="96"/>
      <c r="LC6" s="96"/>
      <c r="LD6" s="96"/>
      <c r="LE6" s="96"/>
      <c r="LF6" s="96"/>
      <c r="LG6" s="96"/>
      <c r="LH6" s="96"/>
      <c r="LI6" s="96"/>
      <c r="LJ6" s="96"/>
      <c r="LK6" s="96"/>
      <c r="LL6" s="96"/>
      <c r="LM6" s="96"/>
      <c r="LN6" s="96"/>
      <c r="LO6" s="96"/>
      <c r="LP6" s="96"/>
      <c r="LQ6" s="96"/>
      <c r="LR6" s="96"/>
      <c r="LS6" s="96"/>
      <c r="LT6" s="96"/>
      <c r="LU6" s="96"/>
      <c r="LV6" s="96"/>
      <c r="LW6" s="96"/>
      <c r="LX6" s="96"/>
      <c r="LY6" s="96"/>
      <c r="LZ6" s="96"/>
      <c r="MA6" s="96"/>
      <c r="MB6" s="96"/>
      <c r="MC6" s="96"/>
      <c r="MD6" s="96"/>
      <c r="ME6" s="96"/>
      <c r="MF6" s="96"/>
      <c r="MG6" s="96"/>
      <c r="MH6" s="96"/>
      <c r="MI6" s="96"/>
      <c r="MJ6" s="96"/>
      <c r="MK6" s="96"/>
      <c r="ML6" s="96"/>
      <c r="MM6" s="96"/>
      <c r="MN6" s="96"/>
      <c r="MO6" s="96"/>
      <c r="MP6" s="96"/>
      <c r="MQ6" s="96"/>
      <c r="MR6" s="96"/>
      <c r="MS6" s="96"/>
      <c r="MT6" s="96"/>
      <c r="MU6" s="96"/>
      <c r="MV6" s="96"/>
      <c r="MW6" s="96"/>
      <c r="MX6" s="96"/>
      <c r="MY6" s="96"/>
      <c r="MZ6" s="96"/>
      <c r="NA6" s="96"/>
      <c r="NB6" s="96"/>
      <c r="NC6" s="96"/>
      <c r="ND6" s="96"/>
      <c r="NE6" s="96"/>
      <c r="NF6" s="96"/>
      <c r="NG6" s="96"/>
      <c r="NH6" s="96"/>
      <c r="NI6" s="96"/>
      <c r="NJ6" s="96"/>
      <c r="NK6" s="96"/>
      <c r="NL6" s="96"/>
      <c r="NM6" s="96"/>
      <c r="NN6" s="96"/>
      <c r="NO6" s="96"/>
      <c r="NP6" s="96"/>
      <c r="NQ6" s="96"/>
      <c r="NR6" s="96"/>
      <c r="NS6" s="96"/>
      <c r="NT6" s="96"/>
      <c r="NU6" s="96"/>
      <c r="NV6" s="96"/>
      <c r="NW6" s="96"/>
      <c r="NX6" s="96"/>
      <c r="NY6" s="96"/>
      <c r="NZ6" s="96"/>
      <c r="OA6" s="96"/>
      <c r="OB6" s="96"/>
      <c r="OC6" s="96"/>
      <c r="OD6" s="96"/>
      <c r="OE6" s="96"/>
      <c r="OF6" s="96"/>
      <c r="OG6" s="96"/>
      <c r="OH6" s="96"/>
      <c r="OI6" s="96"/>
      <c r="OJ6" s="96"/>
      <c r="OK6" s="96"/>
      <c r="OL6" s="96"/>
      <c r="OM6" s="96"/>
      <c r="ON6" s="96"/>
      <c r="OO6" s="96"/>
      <c r="OP6" s="96"/>
      <c r="OQ6" s="96"/>
      <c r="OR6" s="96"/>
      <c r="OS6" s="96"/>
      <c r="OT6" s="96"/>
      <c r="OU6" s="96"/>
      <c r="OV6" s="96"/>
      <c r="OW6" s="96"/>
      <c r="OX6" s="96"/>
      <c r="OY6" s="96"/>
      <c r="OZ6" s="96"/>
      <c r="PA6" s="96"/>
      <c r="PB6" s="96"/>
      <c r="PC6" s="96"/>
      <c r="PD6" s="96"/>
      <c r="PE6" s="96"/>
      <c r="PF6" s="96"/>
      <c r="PG6" s="96"/>
      <c r="PH6" s="96"/>
      <c r="PI6" s="96"/>
      <c r="PJ6" s="96"/>
      <c r="PK6" s="96"/>
      <c r="PL6" s="96"/>
      <c r="PM6" s="96"/>
      <c r="PN6" s="96"/>
      <c r="PO6" s="96"/>
      <c r="PP6" s="96"/>
      <c r="PQ6" s="96"/>
      <c r="PR6" s="96"/>
      <c r="PS6" s="96"/>
      <c r="PT6" s="96"/>
      <c r="PU6" s="96"/>
      <c r="PV6" s="96"/>
      <c r="PW6" s="96"/>
      <c r="PX6" s="96"/>
      <c r="PY6" s="96"/>
      <c r="PZ6" s="96"/>
      <c r="QA6" s="96"/>
      <c r="QB6" s="96"/>
      <c r="QC6" s="96"/>
      <c r="QD6" s="96"/>
      <c r="QE6" s="96"/>
      <c r="QF6" s="96"/>
      <c r="QG6" s="96"/>
      <c r="QH6" s="96"/>
      <c r="QI6" s="96"/>
      <c r="QJ6" s="96"/>
      <c r="QK6" s="96"/>
      <c r="QL6" s="96"/>
      <c r="QM6" s="96"/>
      <c r="QN6" s="96"/>
      <c r="QO6" s="96"/>
      <c r="QP6" s="96"/>
      <c r="QQ6" s="96"/>
      <c r="QR6" s="96"/>
      <c r="QS6" s="96"/>
      <c r="QT6" s="96"/>
      <c r="QU6" s="96"/>
      <c r="QV6" s="96"/>
      <c r="QW6" s="96"/>
      <c r="QX6" s="96"/>
      <c r="QY6" s="96"/>
      <c r="QZ6" s="96"/>
      <c r="RA6" s="96"/>
      <c r="RB6" s="96"/>
      <c r="RC6" s="96"/>
      <c r="RD6" s="96"/>
      <c r="RE6" s="96"/>
      <c r="RF6" s="96"/>
      <c r="RG6" s="96"/>
      <c r="RH6" s="96"/>
      <c r="RI6" s="96"/>
      <c r="RJ6" s="96"/>
      <c r="RK6" s="96"/>
      <c r="RL6" s="96"/>
      <c r="RM6" s="96"/>
      <c r="RN6" s="96"/>
      <c r="RO6" s="96"/>
      <c r="RP6" s="96"/>
      <c r="RQ6" s="96"/>
      <c r="RR6" s="96"/>
      <c r="RS6" s="96"/>
      <c r="RT6" s="96"/>
      <c r="RU6" s="96"/>
      <c r="RV6" s="96"/>
      <c r="RW6" s="96"/>
      <c r="RX6" s="96"/>
      <c r="RY6" s="96"/>
      <c r="RZ6" s="96"/>
      <c r="SA6" s="96"/>
      <c r="SB6" s="96"/>
      <c r="SC6" s="96"/>
      <c r="SD6" s="96"/>
      <c r="SE6" s="96"/>
      <c r="SF6" s="96"/>
      <c r="SG6" s="96"/>
      <c r="SH6" s="96"/>
      <c r="SI6" s="96"/>
      <c r="SJ6" s="96"/>
      <c r="SK6" s="96"/>
      <c r="SL6" s="96"/>
      <c r="SM6" s="96"/>
      <c r="SN6" s="96"/>
      <c r="SO6" s="96"/>
      <c r="SP6" s="96"/>
      <c r="SQ6" s="96"/>
      <c r="SR6" s="96"/>
      <c r="SS6" s="96"/>
      <c r="ST6" s="96"/>
      <c r="SU6" s="96"/>
      <c r="SV6" s="96"/>
      <c r="SW6" s="96"/>
      <c r="SX6" s="96"/>
      <c r="SY6" s="96"/>
      <c r="SZ6" s="96"/>
      <c r="TA6" s="96"/>
      <c r="TB6" s="96"/>
      <c r="TC6" s="96"/>
      <c r="TD6" s="96"/>
      <c r="TE6" s="96"/>
      <c r="TF6" s="96"/>
      <c r="TG6" s="96"/>
      <c r="TH6" s="96"/>
      <c r="TI6" s="96"/>
      <c r="TJ6" s="96"/>
      <c r="TK6" s="96"/>
      <c r="TL6" s="96"/>
      <c r="TM6" s="96"/>
      <c r="TN6" s="96"/>
      <c r="TO6" s="96"/>
      <c r="TP6" s="96"/>
      <c r="TQ6" s="96"/>
      <c r="TR6" s="96"/>
      <c r="TS6" s="96"/>
      <c r="TT6" s="96"/>
      <c r="TU6" s="96"/>
      <c r="TV6" s="96"/>
      <c r="TW6" s="96"/>
      <c r="TX6" s="96"/>
      <c r="TY6" s="96"/>
      <c r="TZ6" s="96"/>
      <c r="UA6" s="96"/>
      <c r="UB6" s="96"/>
      <c r="UC6" s="96"/>
      <c r="UD6" s="96"/>
      <c r="UE6" s="96"/>
      <c r="UF6" s="96"/>
      <c r="UG6" s="96"/>
      <c r="UH6" s="96"/>
      <c r="UI6" s="96"/>
      <c r="UJ6" s="96"/>
      <c r="UK6" s="96"/>
      <c r="UL6" s="96"/>
      <c r="UM6" s="96"/>
      <c r="UN6" s="96"/>
      <c r="UO6" s="96"/>
      <c r="UP6" s="96"/>
      <c r="UQ6" s="96"/>
      <c r="UR6" s="96"/>
      <c r="US6" s="96"/>
      <c r="UT6" s="96"/>
      <c r="UU6" s="96"/>
      <c r="UV6" s="96"/>
      <c r="UW6" s="96"/>
      <c r="UX6" s="96"/>
      <c r="UY6" s="96"/>
      <c r="UZ6" s="96"/>
      <c r="VA6" s="96"/>
      <c r="VB6" s="96"/>
      <c r="VC6" s="96"/>
      <c r="VD6" s="96"/>
      <c r="VE6" s="96"/>
      <c r="VF6" s="96"/>
      <c r="VG6" s="96"/>
      <c r="VH6" s="96"/>
      <c r="VI6" s="96"/>
      <c r="VJ6" s="96"/>
      <c r="VK6" s="96"/>
      <c r="VL6" s="96"/>
      <c r="VM6" s="96"/>
      <c r="VN6" s="96"/>
      <c r="VO6" s="96"/>
      <c r="VP6" s="96"/>
      <c r="VQ6" s="96"/>
      <c r="VR6" s="96"/>
      <c r="VS6" s="96"/>
      <c r="VT6" s="96"/>
      <c r="VU6" s="96"/>
      <c r="VV6" s="96"/>
      <c r="VW6" s="96"/>
      <c r="VX6" s="96"/>
      <c r="VY6" s="96"/>
      <c r="VZ6" s="96"/>
      <c r="WA6" s="96"/>
      <c r="WB6" s="96"/>
      <c r="WC6" s="96"/>
      <c r="WD6" s="96"/>
      <c r="WE6" s="96"/>
      <c r="WF6" s="96"/>
      <c r="WG6" s="96"/>
      <c r="WH6" s="96"/>
      <c r="WI6" s="96"/>
      <c r="WJ6" s="96"/>
      <c r="WK6" s="96"/>
      <c r="WL6" s="96"/>
      <c r="WM6" s="96"/>
      <c r="WN6" s="96"/>
      <c r="WO6" s="96"/>
      <c r="WP6" s="96"/>
      <c r="WQ6" s="96"/>
      <c r="WR6" s="96"/>
      <c r="WS6" s="96"/>
      <c r="WT6" s="96"/>
      <c r="WU6" s="96"/>
      <c r="WV6" s="96"/>
      <c r="WW6" s="96"/>
      <c r="WX6" s="96"/>
      <c r="WY6" s="96"/>
      <c r="WZ6" s="96"/>
      <c r="XA6" s="96"/>
      <c r="XB6" s="96"/>
      <c r="XC6" s="96"/>
      <c r="XD6" s="96"/>
      <c r="XE6" s="96"/>
      <c r="XF6" s="96"/>
      <c r="XG6" s="96"/>
      <c r="XH6" s="96"/>
      <c r="XI6" s="96"/>
      <c r="XJ6" s="96"/>
      <c r="XK6" s="96"/>
      <c r="XL6" s="96"/>
      <c r="XM6" s="96"/>
      <c r="XN6" s="96"/>
      <c r="XO6" s="96"/>
      <c r="XP6" s="96"/>
      <c r="XQ6" s="96"/>
      <c r="XR6" s="96"/>
      <c r="XS6" s="96"/>
      <c r="XT6" s="96"/>
      <c r="XU6" s="96"/>
      <c r="XV6" s="96"/>
      <c r="XW6" s="96"/>
      <c r="XX6" s="96"/>
      <c r="XY6" s="96"/>
      <c r="XZ6" s="96"/>
      <c r="YA6" s="96"/>
      <c r="YB6" s="96"/>
      <c r="YC6" s="96"/>
      <c r="YD6" s="96"/>
      <c r="YE6" s="96"/>
      <c r="YF6" s="96"/>
      <c r="YG6" s="96"/>
      <c r="YH6" s="96"/>
      <c r="YI6" s="96"/>
      <c r="YJ6" s="96"/>
      <c r="YK6" s="96"/>
      <c r="YL6" s="96"/>
      <c r="YM6" s="96"/>
      <c r="YN6" s="96"/>
      <c r="YO6" s="96"/>
      <c r="YP6" s="96"/>
      <c r="YQ6" s="96"/>
      <c r="YR6" s="96"/>
      <c r="YS6" s="96"/>
      <c r="YT6" s="96"/>
      <c r="YU6" s="96"/>
      <c r="YV6" s="96"/>
      <c r="YW6" s="96"/>
      <c r="YX6" s="96"/>
      <c r="YY6" s="96"/>
      <c r="YZ6" s="96"/>
      <c r="ZA6" s="96"/>
      <c r="ZB6" s="96"/>
      <c r="ZC6" s="96"/>
      <c r="ZD6" s="96"/>
      <c r="ZE6" s="96"/>
      <c r="ZF6" s="96"/>
      <c r="ZG6" s="96"/>
      <c r="ZH6" s="96"/>
      <c r="ZI6" s="96"/>
      <c r="ZJ6" s="96"/>
      <c r="ZK6" s="96"/>
      <c r="ZL6" s="96"/>
      <c r="ZM6" s="96"/>
      <c r="ZN6" s="96"/>
      <c r="ZO6" s="96"/>
      <c r="ZP6" s="96"/>
      <c r="ZQ6" s="96"/>
      <c r="ZR6" s="96"/>
      <c r="ZS6" s="96"/>
      <c r="ZT6" s="96"/>
      <c r="ZU6" s="96"/>
      <c r="ZV6" s="96"/>
      <c r="ZW6" s="96"/>
      <c r="ZX6" s="96"/>
      <c r="ZY6" s="96"/>
      <c r="ZZ6" s="96"/>
      <c r="AAA6" s="96"/>
      <c r="AAB6" s="96"/>
      <c r="AAC6" s="96"/>
      <c r="AAD6" s="96"/>
      <c r="AAE6" s="96"/>
      <c r="AAF6" s="96"/>
      <c r="AAG6" s="96"/>
      <c r="AAH6" s="96"/>
      <c r="AAI6" s="96"/>
      <c r="AAJ6" s="96"/>
      <c r="AAK6" s="96"/>
      <c r="AAL6" s="96"/>
      <c r="AAM6" s="96"/>
      <c r="AAN6" s="96"/>
      <c r="AAO6" s="96"/>
      <c r="AAP6" s="96"/>
      <c r="AAQ6" s="96"/>
      <c r="AAR6" s="96"/>
      <c r="AAS6" s="96"/>
      <c r="AAT6" s="96"/>
      <c r="AAU6" s="96"/>
      <c r="AAV6" s="96"/>
      <c r="AAW6" s="96"/>
      <c r="AAX6" s="96"/>
      <c r="AAY6" s="96"/>
      <c r="AAZ6" s="96"/>
      <c r="ABA6" s="96"/>
      <c r="ABB6" s="96"/>
      <c r="ABC6" s="96"/>
      <c r="ABD6" s="96"/>
      <c r="ABE6" s="96"/>
      <c r="ABF6" s="96"/>
      <c r="ABG6" s="96"/>
      <c r="ABH6" s="96"/>
      <c r="ABI6" s="96"/>
      <c r="ABJ6" s="96"/>
      <c r="ABK6" s="96"/>
      <c r="ABL6" s="96"/>
      <c r="ABM6" s="96"/>
      <c r="ABN6" s="96"/>
      <c r="ABO6" s="96"/>
      <c r="ABP6" s="96"/>
      <c r="ABQ6" s="96"/>
      <c r="ABR6" s="96"/>
      <c r="ABS6" s="96"/>
      <c r="ABT6" s="96"/>
      <c r="ABU6" s="96"/>
      <c r="ABV6" s="96"/>
      <c r="ABW6" s="96"/>
      <c r="ABX6" s="96"/>
      <c r="ABY6" s="96"/>
      <c r="ABZ6" s="96"/>
      <c r="ACA6" s="96"/>
      <c r="ACB6" s="96"/>
      <c r="ACC6" s="96"/>
      <c r="ACD6" s="96"/>
      <c r="ACE6" s="96"/>
      <c r="ACF6" s="96"/>
      <c r="ACG6" s="96"/>
      <c r="ACH6" s="96"/>
      <c r="ACI6" s="96"/>
      <c r="ACJ6" s="96"/>
      <c r="ACK6" s="96"/>
      <c r="ACL6" s="96"/>
      <c r="ACM6" s="96"/>
      <c r="ACN6" s="96"/>
      <c r="ACO6" s="96"/>
      <c r="ACP6" s="96"/>
      <c r="ACQ6" s="96"/>
      <c r="ACR6" s="96"/>
      <c r="ACS6" s="96"/>
      <c r="ACT6" s="96"/>
      <c r="ACU6" s="96"/>
      <c r="ACV6" s="96"/>
      <c r="ACW6" s="96"/>
      <c r="ACX6" s="96"/>
      <c r="ACY6" s="96"/>
      <c r="ACZ6" s="96"/>
      <c r="ADA6" s="96"/>
      <c r="ADB6" s="96"/>
      <c r="ADC6" s="96"/>
      <c r="ADD6" s="96"/>
      <c r="ADE6" s="96"/>
      <c r="ADF6" s="96"/>
      <c r="ADG6" s="96"/>
      <c r="ADH6" s="96"/>
      <c r="ADI6" s="96"/>
      <c r="ADJ6" s="96"/>
      <c r="ADK6" s="96"/>
      <c r="ADL6" s="96"/>
      <c r="ADM6" s="96"/>
      <c r="ADN6" s="96"/>
      <c r="ADO6" s="96"/>
      <c r="ADP6" s="96"/>
      <c r="ADQ6" s="96"/>
      <c r="ADR6" s="96"/>
      <c r="ADS6" s="96"/>
      <c r="ADT6" s="96"/>
      <c r="ADU6" s="96"/>
      <c r="ADV6" s="96"/>
      <c r="ADW6" s="96"/>
      <c r="ADX6" s="96"/>
      <c r="ADY6" s="96"/>
      <c r="ADZ6" s="96"/>
      <c r="AEA6" s="96"/>
      <c r="AEB6" s="96"/>
      <c r="AEC6" s="96"/>
      <c r="AED6" s="96"/>
      <c r="AEE6" s="96"/>
      <c r="AEF6" s="96"/>
      <c r="AEG6" s="96"/>
      <c r="AEH6" s="96"/>
      <c r="AEI6" s="96"/>
      <c r="AEJ6" s="96"/>
      <c r="AEK6" s="96"/>
      <c r="AEL6" s="96"/>
      <c r="AEM6" s="96"/>
      <c r="AEN6" s="96"/>
      <c r="AEO6" s="96"/>
      <c r="AEP6" s="96"/>
      <c r="AEQ6" s="96"/>
      <c r="AER6" s="96"/>
      <c r="AES6" s="96"/>
      <c r="AET6" s="96"/>
      <c r="AEU6" s="96"/>
      <c r="AEV6" s="96"/>
      <c r="AEW6" s="96"/>
      <c r="AEX6" s="96"/>
      <c r="AEY6" s="96"/>
      <c r="AEZ6" s="96"/>
      <c r="AFA6" s="96"/>
      <c r="AFB6" s="96"/>
      <c r="AFC6" s="96"/>
      <c r="AFD6" s="96"/>
      <c r="AFE6" s="96"/>
      <c r="AFF6" s="96"/>
      <c r="AFG6" s="96"/>
      <c r="AFH6" s="96"/>
      <c r="AFI6" s="96"/>
      <c r="AFJ6" s="96"/>
      <c r="AFK6" s="96"/>
      <c r="AFL6" s="96"/>
      <c r="AFM6" s="96"/>
      <c r="AFN6" s="96"/>
      <c r="AFO6" s="96"/>
      <c r="AFP6" s="96"/>
      <c r="AFQ6" s="96"/>
      <c r="AFR6" s="96"/>
      <c r="AFS6" s="96"/>
      <c r="AFT6" s="96"/>
      <c r="AFU6" s="96"/>
      <c r="AFV6" s="96"/>
      <c r="AFW6" s="96"/>
      <c r="AFX6" s="96"/>
      <c r="AFY6" s="96"/>
      <c r="AFZ6" s="96"/>
      <c r="AGA6" s="96"/>
      <c r="AGB6" s="96"/>
      <c r="AGC6" s="96"/>
      <c r="AGD6" s="96"/>
      <c r="AGE6" s="96"/>
      <c r="AGF6" s="96"/>
      <c r="AGG6" s="96"/>
      <c r="AGH6" s="96"/>
      <c r="AGI6" s="96"/>
      <c r="AGJ6" s="96"/>
      <c r="AGK6" s="96"/>
      <c r="AGL6" s="96"/>
      <c r="AGM6" s="96"/>
      <c r="AGN6" s="96"/>
      <c r="AGO6" s="96"/>
      <c r="AGP6" s="96"/>
    </row>
    <row r="7" spans="2:874" ht="30" customHeight="1" outlineLevel="1" x14ac:dyDescent="0.2">
      <c r="K7" s="96" t="s">
        <v>387</v>
      </c>
      <c r="DB7" s="267" t="s">
        <v>411</v>
      </c>
    </row>
    <row r="8" spans="2:874" s="247" customFormat="1" ht="30" customHeight="1" x14ac:dyDescent="0.2">
      <c r="B8" s="268">
        <f>SUBTOTAL(3,B6:B6)</f>
        <v>1</v>
      </c>
      <c r="C8" s="269" t="s">
        <v>388</v>
      </c>
      <c r="D8" s="270">
        <f>SUBTOTAL(3,D6:D6)</f>
        <v>1</v>
      </c>
      <c r="E8" s="270">
        <f>SUBTOTAL(3,E6:E6)</f>
        <v>1</v>
      </c>
      <c r="G8" s="270">
        <f>SUBTOTAL(3,G6:G6)</f>
        <v>1</v>
      </c>
      <c r="H8" s="271"/>
      <c r="J8" s="272"/>
      <c r="K8" s="268">
        <f>SUBTOTAL(3,K6:K6)</f>
        <v>1</v>
      </c>
      <c r="L8" s="272"/>
      <c r="M8" s="272"/>
      <c r="O8" s="268">
        <f t="shared" ref="O8:AM8" si="19">SUBTOTAL(9,O6:O6)</f>
        <v>0</v>
      </c>
      <c r="P8" s="268">
        <f t="shared" si="19"/>
        <v>0</v>
      </c>
      <c r="Q8" s="268">
        <f t="shared" si="19"/>
        <v>0</v>
      </c>
      <c r="R8" s="268">
        <f t="shared" si="19"/>
        <v>0</v>
      </c>
      <c r="S8" s="268">
        <f t="shared" si="19"/>
        <v>0</v>
      </c>
      <c r="T8" s="268">
        <f t="shared" si="19"/>
        <v>0</v>
      </c>
      <c r="U8" s="268">
        <f t="shared" si="19"/>
        <v>0</v>
      </c>
      <c r="V8" s="268">
        <f t="shared" si="19"/>
        <v>0</v>
      </c>
      <c r="W8" s="268">
        <f t="shared" si="19"/>
        <v>0</v>
      </c>
      <c r="X8" s="268">
        <f t="shared" si="19"/>
        <v>0</v>
      </c>
      <c r="Y8" s="268">
        <f t="shared" si="19"/>
        <v>0</v>
      </c>
      <c r="Z8" s="268">
        <f t="shared" si="19"/>
        <v>0</v>
      </c>
      <c r="AA8" s="268">
        <f t="shared" si="19"/>
        <v>0</v>
      </c>
      <c r="AB8" s="268">
        <f t="shared" si="19"/>
        <v>0</v>
      </c>
      <c r="AC8" s="268">
        <f t="shared" si="19"/>
        <v>0</v>
      </c>
      <c r="AD8" s="268">
        <f t="shared" si="19"/>
        <v>0</v>
      </c>
      <c r="AE8" s="268">
        <f t="shared" si="19"/>
        <v>0</v>
      </c>
      <c r="AF8" s="268">
        <f t="shared" si="19"/>
        <v>0</v>
      </c>
      <c r="AG8" s="268">
        <f t="shared" si="19"/>
        <v>0</v>
      </c>
      <c r="AH8" s="268">
        <f t="shared" si="19"/>
        <v>0</v>
      </c>
      <c r="AI8" s="268">
        <f t="shared" si="19"/>
        <v>0</v>
      </c>
      <c r="AJ8" s="268">
        <f t="shared" si="19"/>
        <v>0</v>
      </c>
      <c r="AK8" s="268">
        <f t="shared" si="19"/>
        <v>0</v>
      </c>
      <c r="AL8" s="268">
        <f t="shared" si="19"/>
        <v>0</v>
      </c>
      <c r="AM8" s="268">
        <f t="shared" si="19"/>
        <v>0</v>
      </c>
      <c r="AN8" s="268">
        <f t="shared" ref="AN8:AT8" si="20">SUBTOTAL(3,AN6:AN6)</f>
        <v>1</v>
      </c>
      <c r="AO8" s="268">
        <f t="shared" si="20"/>
        <v>1</v>
      </c>
      <c r="AP8" s="268">
        <f t="shared" si="20"/>
        <v>1</v>
      </c>
      <c r="AQ8" s="268">
        <f t="shared" si="20"/>
        <v>1</v>
      </c>
      <c r="AR8" s="268">
        <f t="shared" si="20"/>
        <v>1</v>
      </c>
      <c r="AS8" s="268">
        <f t="shared" si="20"/>
        <v>1</v>
      </c>
      <c r="AT8" s="268">
        <f t="shared" si="20"/>
        <v>1</v>
      </c>
      <c r="AU8" s="268">
        <f>SUBTOTAL(9,AU6:AU6)</f>
        <v>0</v>
      </c>
      <c r="AV8" s="268">
        <f>SUBTOTAL(9,AV6:AV6)</f>
        <v>0</v>
      </c>
      <c r="AW8" s="268">
        <f>SUBTOTAL(3,AW6:AW6)</f>
        <v>0</v>
      </c>
      <c r="AX8" s="268">
        <f>SUBTOTAL(3,AX6:AX6)</f>
        <v>0</v>
      </c>
      <c r="AY8" s="268">
        <f t="shared" ref="AY8:BM8" si="21">SUBTOTAL(9,AY6:AY6)</f>
        <v>0</v>
      </c>
      <c r="AZ8" s="268">
        <f t="shared" si="21"/>
        <v>0</v>
      </c>
      <c r="BA8" s="268">
        <f t="shared" si="21"/>
        <v>0</v>
      </c>
      <c r="BB8" s="268">
        <f t="shared" si="21"/>
        <v>0</v>
      </c>
      <c r="BC8" s="268">
        <f t="shared" si="21"/>
        <v>0</v>
      </c>
      <c r="BD8" s="268">
        <f t="shared" si="21"/>
        <v>0</v>
      </c>
      <c r="BE8" s="268">
        <f t="shared" si="21"/>
        <v>0</v>
      </c>
      <c r="BF8" s="268">
        <f t="shared" si="21"/>
        <v>0</v>
      </c>
      <c r="BG8" s="268" t="e">
        <f t="shared" si="21"/>
        <v>#REF!</v>
      </c>
      <c r="BH8" s="268">
        <f t="shared" si="21"/>
        <v>0</v>
      </c>
      <c r="BI8" s="268">
        <f t="shared" si="21"/>
        <v>0</v>
      </c>
      <c r="BJ8" s="268">
        <f t="shared" si="21"/>
        <v>0</v>
      </c>
      <c r="BK8" s="268">
        <f t="shared" si="21"/>
        <v>0</v>
      </c>
      <c r="BL8" s="268">
        <f t="shared" si="21"/>
        <v>0</v>
      </c>
      <c r="BM8" s="268">
        <f t="shared" si="21"/>
        <v>0</v>
      </c>
      <c r="BN8" s="268">
        <f>SUBTOTAL(3,BN6:BN6)</f>
        <v>0</v>
      </c>
      <c r="BO8" s="268">
        <f>SUBTOTAL(3,BO6:BO6)</f>
        <v>0</v>
      </c>
      <c r="BP8" s="268">
        <f>SUBTOTAL(3,BP6:BP6)</f>
        <v>0</v>
      </c>
      <c r="BQ8" s="268">
        <f>SUBTOTAL(9,BQ6:BQ6)</f>
        <v>0</v>
      </c>
      <c r="BR8" s="268">
        <f>SUBTOTAL(3,BR6:BR6)</f>
        <v>0</v>
      </c>
      <c r="BS8" s="268">
        <f>SUBTOTAL(9,BS6:BS6)</f>
        <v>0</v>
      </c>
      <c r="BT8" s="271"/>
      <c r="BU8" s="271"/>
      <c r="BV8" s="271"/>
      <c r="BW8" s="271"/>
      <c r="BX8" s="271"/>
      <c r="BY8" s="271"/>
      <c r="BZ8" s="271"/>
      <c r="CA8" s="271"/>
      <c r="CB8" s="271"/>
      <c r="CC8" s="271"/>
      <c r="CD8" s="271"/>
      <c r="CE8" s="271"/>
      <c r="CF8" s="271"/>
      <c r="CG8" s="268">
        <f>SUBTOTAL(9,CG6:CG6)</f>
        <v>0</v>
      </c>
      <c r="CH8" s="268">
        <f>SUBTOTAL(3,CH6:CH6)</f>
        <v>1</v>
      </c>
      <c r="CJ8" s="270">
        <f>SUBTOTAL(3,CJ6:CJ6)</f>
        <v>0</v>
      </c>
      <c r="CK8" s="268">
        <f>SUBTOTAL(9,CK6:CK6)</f>
        <v>0</v>
      </c>
      <c r="CL8" s="268">
        <f>SUBTOTAL(9,CL6:CL6)</f>
        <v>0</v>
      </c>
      <c r="CM8" s="272"/>
      <c r="CN8" s="271"/>
      <c r="CQ8" s="271"/>
      <c r="CR8" s="271"/>
      <c r="CU8" s="268">
        <f>SUBTOTAL(3,CU6:CU6)</f>
        <v>0</v>
      </c>
      <c r="DA8" s="270">
        <f>SUBTOTAL(3,DA6:DA6)</f>
        <v>0</v>
      </c>
      <c r="DB8" s="268">
        <f>SUBTOTAL(9,DB6:DB6)</f>
        <v>0</v>
      </c>
      <c r="DC8" s="268">
        <f>SUBTOTAL(9,DC6:DC6)</f>
        <v>0</v>
      </c>
      <c r="DD8" s="268">
        <f>SUBTOTAL(3,DD6:DD6)</f>
        <v>0</v>
      </c>
      <c r="DE8" s="268">
        <f>SUBTOTAL(9,DE6:DE6)</f>
        <v>0</v>
      </c>
      <c r="DF8" s="268">
        <f>SUBTOTAL(9,DF6:DF6)</f>
        <v>0</v>
      </c>
      <c r="DG8" s="268">
        <f>SUBTOTAL(9,DG6:DG6)</f>
        <v>0</v>
      </c>
      <c r="DH8" s="268">
        <f>SUBTOTAL(9,DH6:DH6)</f>
        <v>0</v>
      </c>
      <c r="DI8" s="268">
        <f>SUBTOTAL(3,DI6:DI6)</f>
        <v>0</v>
      </c>
      <c r="DJ8" s="268">
        <f>SUBTOTAL(9,DJ6:DJ6)</f>
        <v>0</v>
      </c>
      <c r="DK8" s="268">
        <f>SUBTOTAL(9,DK6:DK6)</f>
        <v>0</v>
      </c>
      <c r="DL8" s="268">
        <f>SUBTOTAL(9,DL6:DL6)</f>
        <v>0</v>
      </c>
      <c r="DM8" s="268">
        <f>SUBTOTAL(9,DM6:DM6)</f>
        <v>0</v>
      </c>
      <c r="DN8" s="268"/>
      <c r="DO8" s="268"/>
      <c r="DP8" s="268"/>
      <c r="DQ8" s="268"/>
      <c r="DR8" s="268"/>
      <c r="DS8" s="268">
        <f t="shared" ref="DS8:DY8" si="22">SUBTOTAL(9,DS6:DS6)</f>
        <v>0</v>
      </c>
      <c r="DT8" s="268">
        <f t="shared" si="22"/>
        <v>0</v>
      </c>
      <c r="DU8" s="268">
        <f t="shared" si="22"/>
        <v>0</v>
      </c>
      <c r="DV8" s="268">
        <f t="shared" si="22"/>
        <v>0</v>
      </c>
      <c r="DW8" s="268">
        <f t="shared" si="22"/>
        <v>0</v>
      </c>
      <c r="DX8" s="268">
        <f t="shared" si="22"/>
        <v>0</v>
      </c>
      <c r="DY8" s="268">
        <f t="shared" si="22"/>
        <v>0</v>
      </c>
      <c r="DZ8" s="268">
        <f>SUBTOTAL(3,DZ6:DZ6)</f>
        <v>0</v>
      </c>
      <c r="EA8" s="268">
        <f t="shared" ref="EA8:EN8" si="23">SUBTOTAL(9,EA6:EA6)</f>
        <v>0</v>
      </c>
      <c r="EB8" s="268">
        <f t="shared" si="23"/>
        <v>0</v>
      </c>
      <c r="EC8" s="268">
        <f t="shared" si="23"/>
        <v>0</v>
      </c>
      <c r="ED8" s="268">
        <f t="shared" si="23"/>
        <v>0</v>
      </c>
      <c r="EE8" s="268">
        <f t="shared" si="23"/>
        <v>0</v>
      </c>
      <c r="EF8" s="268">
        <f t="shared" si="23"/>
        <v>0</v>
      </c>
      <c r="EG8" s="268">
        <f t="shared" si="23"/>
        <v>0</v>
      </c>
      <c r="EH8" s="268">
        <f t="shared" si="23"/>
        <v>0</v>
      </c>
      <c r="EI8" s="268">
        <f t="shared" si="23"/>
        <v>0</v>
      </c>
      <c r="EJ8" s="268">
        <f t="shared" si="23"/>
        <v>0</v>
      </c>
      <c r="EK8" s="268">
        <f t="shared" si="23"/>
        <v>0</v>
      </c>
      <c r="EL8" s="268">
        <f t="shared" si="23"/>
        <v>0</v>
      </c>
      <c r="EM8" s="268">
        <f t="shared" si="23"/>
        <v>0</v>
      </c>
      <c r="EN8" s="268">
        <f t="shared" si="23"/>
        <v>0</v>
      </c>
      <c r="EO8" s="268">
        <f t="shared" ref="EO8:EU8" si="24">SUBTOTAL(3,EO6:EO6)</f>
        <v>0</v>
      </c>
      <c r="EP8" s="268">
        <f t="shared" si="24"/>
        <v>0</v>
      </c>
      <c r="EQ8" s="268">
        <f t="shared" si="24"/>
        <v>0</v>
      </c>
      <c r="ER8" s="268">
        <f t="shared" si="24"/>
        <v>0</v>
      </c>
      <c r="ES8" s="268">
        <f t="shared" si="24"/>
        <v>0</v>
      </c>
      <c r="ET8" s="268">
        <f t="shared" si="24"/>
        <v>0</v>
      </c>
      <c r="EU8" s="268">
        <f t="shared" si="24"/>
        <v>0</v>
      </c>
      <c r="EV8" s="268">
        <f>SUBTOTAL(9,EV6:EV6)</f>
        <v>0</v>
      </c>
      <c r="EW8" s="268">
        <f>SUBTOTAL(9,EW6:EW6)</f>
        <v>0</v>
      </c>
      <c r="EX8" s="268">
        <f>SUBTOTAL(9,EX6:EX6)</f>
        <v>0</v>
      </c>
      <c r="EY8" s="268">
        <f>SUBTOTAL(3,EY6:EY6)</f>
        <v>0</v>
      </c>
      <c r="EZ8" s="268">
        <f>SUBTOTAL(3,EZ6:EZ6)</f>
        <v>0</v>
      </c>
      <c r="FA8" s="268">
        <f>SUBTOTAL(3,FA6:FA6)</f>
        <v>0</v>
      </c>
      <c r="FB8" s="268">
        <f>SUBTOTAL(3,FB6:FB6)</f>
        <v>0</v>
      </c>
      <c r="FC8" s="268">
        <f>SUBTOTAL(3,FC6:FC6)</f>
        <v>0</v>
      </c>
      <c r="FD8" s="268">
        <f>SUBTOTAL(9,FD6:FD6)</f>
        <v>0</v>
      </c>
      <c r="FE8" s="268">
        <f>SUBTOTAL(9,FE6:FE6)</f>
        <v>0</v>
      </c>
      <c r="FF8" s="268">
        <f>SUBTOTAL(9,FF6:FF6)</f>
        <v>0</v>
      </c>
      <c r="FG8" s="268">
        <f>SUBTOTAL(9,FG6:FG6)</f>
        <v>0</v>
      </c>
      <c r="FH8" s="268">
        <f>SUBTOTAL(3,FH6:FH6)</f>
        <v>0</v>
      </c>
      <c r="FI8" s="268">
        <f>SUBTOTAL(9,FI6:FI6)</f>
        <v>0</v>
      </c>
      <c r="FJ8" s="268">
        <f>SUBTOTAL(3,FJ6:FJ6)</f>
        <v>0</v>
      </c>
      <c r="FK8" s="268" t="e">
        <f t="shared" ref="FK8:FX8" si="25">SUBTOTAL(9,FK6:FK6)</f>
        <v>#VALUE!</v>
      </c>
      <c r="FL8" s="268" t="e">
        <f t="shared" si="25"/>
        <v>#VALUE!</v>
      </c>
      <c r="FM8" s="268">
        <f t="shared" si="25"/>
        <v>0</v>
      </c>
      <c r="FN8" s="268">
        <f t="shared" si="25"/>
        <v>0</v>
      </c>
      <c r="FO8" s="268">
        <f t="shared" si="25"/>
        <v>0</v>
      </c>
      <c r="FP8" s="268">
        <f t="shared" si="25"/>
        <v>0</v>
      </c>
      <c r="FQ8" s="268">
        <f t="shared" si="25"/>
        <v>0</v>
      </c>
      <c r="FR8" s="268">
        <f t="shared" si="25"/>
        <v>0</v>
      </c>
      <c r="FS8" s="268" t="e">
        <f t="shared" si="25"/>
        <v>#REF!</v>
      </c>
      <c r="FT8" s="268">
        <f t="shared" si="25"/>
        <v>0</v>
      </c>
      <c r="FU8" s="268">
        <f t="shared" si="25"/>
        <v>0</v>
      </c>
      <c r="FV8" s="268">
        <f t="shared" si="25"/>
        <v>0</v>
      </c>
      <c r="FW8" s="268">
        <f t="shared" si="25"/>
        <v>0</v>
      </c>
      <c r="FX8" s="268">
        <f t="shared" si="25"/>
        <v>0</v>
      </c>
      <c r="FY8" s="268">
        <f>SUBTOTAL(3,FY6:FY6)</f>
        <v>1</v>
      </c>
      <c r="FZ8" s="268">
        <f>SUBTOTAL(3,FZ6:FZ6)</f>
        <v>1</v>
      </c>
      <c r="GA8" s="268">
        <f>SUBTOTAL(3,GA6:GA6)</f>
        <v>1</v>
      </c>
      <c r="GB8" s="268">
        <f>SUBTOTAL(9,GB6:GB6)</f>
        <v>0</v>
      </c>
      <c r="GC8" s="268">
        <f>SUBTOTAL(9,GC6:GC6)</f>
        <v>0</v>
      </c>
      <c r="GD8" s="268">
        <f>SUBTOTAL(3,GD6:GD6)</f>
        <v>0</v>
      </c>
      <c r="GE8" s="268">
        <f>SUBTOTAL(3,GE6:GE6)</f>
        <v>0</v>
      </c>
      <c r="GF8" s="268" t="e">
        <f>SUBTOTAL(9,GF6:GF6)</f>
        <v>#VALUE!</v>
      </c>
      <c r="GG8" s="268" t="e">
        <f>SUBTOTAL(9,GG6:GG6)</f>
        <v>#VALUE!</v>
      </c>
      <c r="GI8" s="271"/>
      <c r="GJ8" s="271"/>
      <c r="GK8" s="271"/>
      <c r="GL8" s="268">
        <f>SUBTOTAL(9,GL6:GL6)</f>
        <v>0</v>
      </c>
      <c r="GM8" s="268">
        <f>SUBTOTAL(9,GM6:GM6)</f>
        <v>0</v>
      </c>
      <c r="GN8" s="268">
        <f>SUBTOTAL(9,GN6:GN6)</f>
        <v>0</v>
      </c>
    </row>
    <row r="9" spans="2:874" ht="30" customHeight="1" x14ac:dyDescent="0.2"/>
    <row r="10" spans="2:874" ht="30" customHeight="1" x14ac:dyDescent="0.2"/>
    <row r="11" spans="2:874" ht="30" customHeight="1" x14ac:dyDescent="0.2"/>
    <row r="12" spans="2:874" ht="30" customHeight="1" x14ac:dyDescent="0.2"/>
    <row r="13" spans="2:874" ht="30" customHeight="1" x14ac:dyDescent="0.2"/>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BB542juWjeD2EQyHe5/1pY/5h63lg8BhGuiohWksYxtHtwd9uCxcEEbqlUyLGmG5Bj7Jjp9xdwTK2aZgjdyxCw==" saltValue="sVMETZlNZODIcf37aMkk3A==" spinCount="100000" sheet="1" objects="1" scenarios="1"/>
  <mergeCells count="8">
    <mergeCell ref="X4:Z4"/>
    <mergeCell ref="AB4:AD4"/>
    <mergeCell ref="DU4:DW4"/>
    <mergeCell ref="DX4:EA4"/>
    <mergeCell ref="BT5:BY5"/>
    <mergeCell ref="BZ5:CE5"/>
    <mergeCell ref="AY3:AY5"/>
    <mergeCell ref="CW3:CY4"/>
  </mergeCells>
  <phoneticPr fontId="1"/>
  <conditionalFormatting sqref="O6:AY6">
    <cfRule type="expression" dxfId="5" priority="3">
      <formula>($D6="改修")</formula>
    </cfRule>
  </conditionalFormatting>
  <conditionalFormatting sqref="AZ6:BS6">
    <cfRule type="expression" dxfId="4" priority="2">
      <formula>OR($D6="新築",$D6="登録")</formula>
    </cfRule>
  </conditionalFormatting>
  <conditionalFormatting sqref="DB6:FE6">
    <cfRule type="expression" dxfId="3" priority="1">
      <formula>OR($D6="改修",$D6="登録")</formula>
    </cfRule>
  </conditionalFormatting>
  <dataValidations count="24">
    <dataValidation type="list" allowBlank="1" showInputMessage="1" showErrorMessage="1" sqref="DA6 G6" xr:uid="{A099EDFC-F377-450A-BDD9-8587FFA93F3C}">
      <formula1>"〇"</formula1>
    </dataValidation>
    <dataValidation operator="lessThanOrEqual" allowBlank="1" showInputMessage="1" showErrorMessage="1" error="県産材の実使用量より大きな値は入力しないでください（整数値入力）。" sqref="S6 V6 AC6 Y6 AF6:AG6 AJ6:AK6 AN6:AT6" xr:uid="{606E286C-2132-4C5A-AE5E-B22C7936AFE1}"/>
    <dataValidation allowBlank="1" showInputMessage="1" showErrorMessage="1" error="実木材使用量より大きな値は入力しないでください。補助対象は10m3以上です（整数値で入力）。" sqref="P6" xr:uid="{2E070194-B279-4DA2-9CBC-FF8DD5932CB0}"/>
    <dataValidation operator="greaterThanOrEqual" allowBlank="1" showInputMessage="1" showErrorMessage="1" error="10以上の整数値を入力してください。" sqref="O6 DB6:DD6 DH6:DI6 EY6:FC6 DY6:DZ6 DV6 EE6:EF6 EJ6:EK6 EO6:EU6 DM6:DN6 DP6:DR6" xr:uid="{E7880AE8-607A-4200-946B-1EA6B2106522}"/>
    <dataValidation operator="greaterThanOrEqual" allowBlank="1" showInputMessage="1" showErrorMessage="1" error="日付以外の内容は入力できません" sqref="BT6:CF6" xr:uid="{552551CC-83DE-40CF-8173-EA5E250664D6}"/>
    <dataValidation operator="greaterThanOrEqual" allowBlank="1" showInputMessage="1" showErrorMessage="1" error="数値以外は入力できません" sqref="CK6:CO6 CS6:CY6" xr:uid="{6E45E110-F961-49BA-A191-9725AE3EB80F}"/>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 xr:uid="{C4E5E31C-7265-407F-B7AA-5E1DDA3E41CF}">
      <formula1>7</formula1>
    </dataValidation>
    <dataValidation allowBlank="1" showInputMessage="1" showErrorMessage="1" prompt="自動計算" sqref="EV6:EX6 E6 DW6:DX6 DS6:DU6 DJ6:DL6 W6:X6 Z6:AB6 AY6 AH6:AI6 CG6 BS6 BQ6 BL6:BM6 BC6:BD6 AL6:AM6 AU6:AV6 T6:U6 GL6:GN6 Q6:R6 BG6:BH6 B6 AD6:AE6 DO6 FD6:FE6 EA6:ED6 EG6:EI6 DE6:DG6 EL6:EN6" xr:uid="{38C54FDF-0B0E-497F-B9E3-235405AFB2F5}"/>
    <dataValidation type="list" allowBlank="1" showInputMessage="1" showErrorMessage="1" sqref="BR6 AX6" xr:uid="{EBA8D21B-3179-443D-9808-6C31C8EED0D7}">
      <formula1>"モルタル塗,漆喰塗,土壁塗,そとん壁,じゅらく塗,珪藻土塗,その他"</formula1>
    </dataValidation>
    <dataValidation type="list" allowBlank="1" showInputMessage="1" showErrorMessage="1" sqref="AW6" xr:uid="{F2167E74-A96A-4F42-908A-B3CF729DB3F0}">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FDC80BD7-E307-49EF-865F-B469B163E432}">
      <formula1>"新築,改修,登録"</formula1>
    </dataValidation>
    <dataValidation type="list" allowBlank="1" showInputMessage="1" showErrorMessage="1" sqref="CJ6" xr:uid="{C77EDF0C-F828-4FA3-88A6-0C50A7518AFE}">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P6" xr:uid="{A2FE365E-0A9B-4B65-836D-118354ADDBB0}">
      <formula1>3</formula1>
    </dataValidation>
    <dataValidation type="whole" operator="greaterThanOrEqual" allowBlank="1" showInputMessage="1" showErrorMessage="1" error="７未満の値は入力しないでください。（補助対象となるのは最低７平方メートル以上です）" sqref="BN6" xr:uid="{3A7E225D-96E1-4593-9FC7-0EC5F21DBA01}">
      <formula1>7</formula1>
    </dataValidation>
    <dataValidation type="whole" operator="greaterThanOrEqual" allowBlank="1" showInputMessage="1" showErrorMessage="1" error="整数値で入力" sqref="BB6" xr:uid="{469BC690-B2C7-44A8-A7F0-7D03CA515137}">
      <formula1>0</formula1>
    </dataValidation>
    <dataValidation type="list" allowBlank="1" showInputMessage="1" showErrorMessage="1" sqref="F6" xr:uid="{22E882C6-A666-47A6-B388-A380E79EAAAF}">
      <formula1>"債,支→債,債→支"</formula1>
    </dataValidation>
    <dataValidation type="date" operator="greaterThanOrEqual" allowBlank="1" showInputMessage="1" showErrorMessage="1" error="日付以外は入力できません" sqref="GI6:GK6 CQ6:CR6" xr:uid="{6D1B5294-CA99-4DF5-9CB4-7B0DF914CF59}">
      <formula1>1</formula1>
    </dataValidation>
    <dataValidation type="date" operator="greaterThanOrEqual" allowBlank="1" showInputMessage="1" showErrorMessage="1" error="日付以外の値は入力できません" sqref="H6" xr:uid="{6E741076-1649-4A9D-BB08-5CB24C0D8214}">
      <formula1>1</formula1>
    </dataValidation>
    <dataValidation type="list" allowBlank="1" showInputMessage="1" showErrorMessage="1" sqref="GH6" xr:uid="{07D7E9E9-B3C6-4632-BBC3-DAFBD73ADFD3}">
      <formula1>"実績,取下,取消"</formula1>
    </dataValidation>
    <dataValidation type="list" allowBlank="1" showInputMessage="1" showErrorMessage="1" sqref="CP6" xr:uid="{FF349D70-66D1-42EF-A951-BCBD722A0D72}">
      <formula1>"若年子育て,三世代近居,三世代同居"</formula1>
    </dataValidation>
    <dataValidation type="list" allowBlank="1" showInputMessage="1" showErrorMessage="1" sqref="BE6:BF6 BI6:BK6" xr:uid="{948703D9-C0BD-4AB5-AE6E-37A241C945DB}">
      <formula1>"1"</formula1>
    </dataValidation>
    <dataValidation type="decimal" operator="greaterThanOrEqual" allowBlank="1" showInputMessage="1" showErrorMessage="1" sqref="AZ6" xr:uid="{BF0E4777-F69C-4A9A-8BA2-FFCB7FBF3EEA}">
      <formula1>0</formula1>
    </dataValidation>
    <dataValidation imeMode="halfAlpha" allowBlank="1" showInputMessage="1" showErrorMessage="1" sqref="J1:J1048576 L1:L1048576" xr:uid="{F0FC69E5-2233-4F7F-A042-A313E7381173}"/>
    <dataValidation type="decimal" allowBlank="1" showInputMessage="1" showErrorMessage="1" error="0.3以上が補助対象、実木材使用量以下の数値を入力" sqref="BA6" xr:uid="{3A3CDB8E-05DC-4C6A-8D27-BD4FC8338CA6}">
      <formula1>0.3</formula1>
      <formula2>AZ6</formula2>
    </dataValidation>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M27"/>
  <sheetViews>
    <sheetView topLeftCell="A2" workbookViewId="0">
      <selection activeCell="I11" sqref="I11"/>
    </sheetView>
  </sheetViews>
  <sheetFormatPr defaultColWidth="9" defaultRowHeight="13.2" outlineLevelRow="1" outlineLevelCol="1" x14ac:dyDescent="0.2"/>
  <cols>
    <col min="1" max="1" width="9" style="96"/>
    <col min="2" max="2" width="6.6640625" style="94" customWidth="1"/>
    <col min="3" max="3" width="6.6640625" customWidth="1"/>
    <col min="4" max="5" width="7.6640625" style="95" customWidth="1"/>
    <col min="6" max="6" width="9.6640625" style="96" customWidth="1"/>
    <col min="7" max="7" width="8.77734375" style="96" customWidth="1"/>
    <col min="8" max="8" width="11.6640625" style="97" customWidth="1"/>
    <col min="9" max="9" width="26.44140625" style="96" customWidth="1"/>
    <col min="10" max="10" width="10.6640625" style="95" customWidth="1"/>
    <col min="11" max="11" width="50" style="96" customWidth="1"/>
    <col min="12" max="12" width="16.6640625" style="95" customWidth="1"/>
    <col min="13" max="13" width="10.6640625" style="95" customWidth="1"/>
    <col min="14" max="14" width="57" style="96" customWidth="1"/>
    <col min="15" max="31" width="6.6640625" style="99" hidden="1" customWidth="1"/>
    <col min="32" max="33" width="6.6640625" style="99" hidden="1" customWidth="1" outlineLevel="1"/>
    <col min="34" max="35" width="6.6640625" style="99" hidden="1" customWidth="1"/>
    <col min="36" max="37" width="6.6640625" style="99" hidden="1" customWidth="1" outlineLevel="1"/>
    <col min="38" max="50" width="6.6640625" style="99" hidden="1" customWidth="1"/>
    <col min="51" max="51" width="6.109375" style="99" hidden="1" customWidth="1"/>
    <col min="52" max="52" width="6.6640625" style="99" hidden="1" customWidth="1"/>
    <col min="53" max="53" width="9" style="99" hidden="1" customWidth="1"/>
    <col min="54" max="57" width="6.6640625" style="99" hidden="1" customWidth="1"/>
    <col min="58" max="59" width="6.6640625" style="99" hidden="1" customWidth="1" outlineLevel="1"/>
    <col min="60" max="61" width="6.6640625" style="99" hidden="1" customWidth="1"/>
    <col min="62" max="64" width="6.6640625" style="99" hidden="1" customWidth="1" outlineLevel="1"/>
    <col min="65" max="66" width="6.6640625" style="99" hidden="1" customWidth="1"/>
    <col min="67" max="69" width="6.6640625" style="99" hidden="1" customWidth="1" outlineLevel="1"/>
    <col min="70" max="72" width="6.6640625" style="99" hidden="1" customWidth="1"/>
    <col min="73" max="73" width="10.6640625" style="97" hidden="1" customWidth="1"/>
    <col min="74" max="74" width="3.33203125" style="97" hidden="1" customWidth="1"/>
    <col min="75" max="75" width="4.33203125" style="97" hidden="1" customWidth="1"/>
    <col min="76" max="76" width="3.33203125" style="97" hidden="1" customWidth="1"/>
    <col min="77" max="77" width="4.88671875" style="97" hidden="1" customWidth="1"/>
    <col min="78" max="78" width="3.33203125" style="97" hidden="1" customWidth="1"/>
    <col min="79" max="79" width="10.6640625" style="97" hidden="1" customWidth="1"/>
    <col min="80" max="80" width="3.33203125" style="97" hidden="1" customWidth="1"/>
    <col min="81" max="81" width="4.33203125" style="97" hidden="1" customWidth="1"/>
    <col min="82" max="82" width="3.33203125" style="97" hidden="1" customWidth="1"/>
    <col min="83" max="83" width="4.88671875" style="97" hidden="1" customWidth="1"/>
    <col min="84" max="84" width="3.33203125" style="97" hidden="1" customWidth="1"/>
    <col min="85" max="85" width="10.6640625" style="97" hidden="1" customWidth="1"/>
    <col min="86" max="86" width="9" style="100" hidden="1" customWidth="1"/>
    <col min="87" max="87" width="29.33203125" style="96" hidden="1" customWidth="1"/>
    <col min="88" max="88" width="40.6640625" style="96" hidden="1" customWidth="1"/>
    <col min="89" max="89" width="10.77734375" style="95" hidden="1" customWidth="1"/>
    <col min="90" max="91" width="9" style="96" hidden="1" customWidth="1"/>
    <col min="92" max="92" width="9" style="95" hidden="1" customWidth="1"/>
    <col min="93" max="93" width="9" style="97" hidden="1" customWidth="1"/>
    <col min="94" max="95" width="9" style="96" hidden="1" customWidth="1"/>
    <col min="96" max="97" width="9" style="97" hidden="1" customWidth="1"/>
    <col min="98" max="98" width="11" style="96" hidden="1" customWidth="1"/>
    <col min="99" max="99" width="3.33203125" style="96" hidden="1" customWidth="1"/>
    <col min="100" max="100" width="3.88671875" style="96" hidden="1" customWidth="1"/>
    <col min="101" max="101" width="4.44140625" style="96" hidden="1" customWidth="1"/>
    <col min="102" max="102" width="3.88671875" style="96" hidden="1" customWidth="1"/>
    <col min="103" max="103" width="3.44140625" style="96" hidden="1" customWidth="1"/>
    <col min="104" max="104" width="4.44140625" style="96" hidden="1" customWidth="1"/>
    <col min="105" max="105" width="9" style="96" hidden="1" customWidth="1"/>
    <col min="106" max="106" width="8.77734375" style="96" hidden="1" customWidth="1"/>
    <col min="107" max="108" width="6.6640625" style="99" hidden="1" customWidth="1"/>
    <col min="109" max="109" width="10.21875" style="99" hidden="1" customWidth="1"/>
    <col min="110" max="113" width="6.6640625" style="99" hidden="1" customWidth="1"/>
    <col min="114" max="114" width="10.109375" style="99" hidden="1" customWidth="1"/>
    <col min="115" max="118" width="6.6640625" style="99" hidden="1" customWidth="1"/>
    <col min="119" max="119" width="10" style="99" hidden="1" customWidth="1"/>
    <col min="120" max="126" width="6.6640625" style="99" hidden="1" customWidth="1"/>
    <col min="127" max="127" width="9.6640625" style="99" hidden="1" customWidth="1"/>
    <col min="128" max="131" width="6.6640625" style="99" hidden="1" customWidth="1"/>
    <col min="132" max="133" width="6.6640625" style="99" hidden="1" customWidth="1" outlineLevel="1"/>
    <col min="134" max="136" width="6.6640625" style="99" hidden="1" customWidth="1"/>
    <col min="137" max="138" width="6.6640625" style="99" hidden="1" customWidth="1" outlineLevel="1"/>
    <col min="139" max="154" width="6.6640625" style="99" hidden="1" customWidth="1"/>
    <col min="155" max="156" width="8.6640625" style="99" hidden="1" customWidth="1"/>
    <col min="157" max="157" width="6.6640625" style="99" hidden="1" customWidth="1"/>
    <col min="158" max="158" width="8.77734375" style="99" hidden="1" customWidth="1"/>
    <col min="159" max="159" width="9" style="99" customWidth="1"/>
    <col min="160" max="160" width="6.6640625" style="99" customWidth="1"/>
    <col min="161" max="161" width="10.109375" style="99" customWidth="1"/>
    <col min="162" max="162" width="6.6640625" style="99" customWidth="1"/>
    <col min="163" max="163" width="10" style="99" customWidth="1"/>
    <col min="164" max="164" width="8.109375" style="99" customWidth="1"/>
    <col min="165" max="166" width="6.6640625" style="99" customWidth="1"/>
    <col min="167" max="168" width="6.6640625" style="99" customWidth="1" outlineLevel="1"/>
    <col min="169" max="169" width="8.88671875" style="99" customWidth="1"/>
    <col min="170" max="171" width="6.6640625" style="99" customWidth="1"/>
    <col min="172" max="174" width="6.6640625" style="99" customWidth="1" outlineLevel="1"/>
    <col min="175" max="176" width="8.88671875" style="99" customWidth="1"/>
    <col min="177" max="177" width="8.33203125" style="99" customWidth="1"/>
    <col min="178" max="180" width="6.6640625" style="99" customWidth="1" outlineLevel="1"/>
    <col min="181" max="181" width="9" style="99" customWidth="1"/>
    <col min="182" max="182" width="8.44140625" style="99" customWidth="1"/>
    <col min="183" max="183" width="6.6640625" style="99" customWidth="1"/>
    <col min="184" max="184" width="10.88671875" style="99" customWidth="1"/>
    <col min="185" max="185" width="6.6640625" style="99" customWidth="1"/>
    <col min="186" max="186" width="10.109375" style="99" customWidth="1"/>
    <col min="187" max="187" width="6.6640625" style="96" customWidth="1"/>
    <col min="188" max="188" width="9.77734375" style="97" customWidth="1"/>
    <col min="189" max="189" width="9.44140625" style="97" customWidth="1"/>
    <col min="190" max="190" width="9.44140625" style="97" bestFit="1" customWidth="1"/>
    <col min="191" max="193" width="9" style="100"/>
    <col min="194" max="16384" width="9" style="96"/>
  </cols>
  <sheetData>
    <row r="1" spans="2:871" x14ac:dyDescent="0.2">
      <c r="C1" t="s">
        <v>392</v>
      </c>
      <c r="I1" s="98" t="s">
        <v>206</v>
      </c>
    </row>
    <row r="2" spans="2:871" x14ac:dyDescent="0.2">
      <c r="H2" s="101" t="s">
        <v>207</v>
      </c>
      <c r="I2" s="102"/>
      <c r="J2" s="103"/>
      <c r="K2" s="102"/>
      <c r="L2" s="103"/>
      <c r="M2" s="103"/>
      <c r="N2" s="102"/>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1"/>
      <c r="BV2" s="101"/>
      <c r="BW2" s="101"/>
      <c r="BX2" s="101"/>
      <c r="BY2" s="101"/>
      <c r="BZ2" s="101"/>
      <c r="CA2" s="101"/>
      <c r="CB2" s="101"/>
      <c r="CC2" s="101"/>
      <c r="CD2" s="101"/>
      <c r="CE2" s="101"/>
      <c r="CF2" s="101"/>
      <c r="CG2" s="101"/>
      <c r="CH2" s="105"/>
      <c r="CI2" s="102"/>
      <c r="CJ2" s="102"/>
      <c r="CK2" s="103"/>
      <c r="CL2" s="102"/>
      <c r="CM2" s="102"/>
      <c r="CN2" s="103"/>
      <c r="CO2" s="102"/>
      <c r="CP2" s="102"/>
      <c r="CQ2" s="102"/>
      <c r="CR2" s="102"/>
      <c r="CS2" s="102"/>
      <c r="CT2" s="102"/>
      <c r="CU2" s="102"/>
      <c r="CV2" s="102"/>
      <c r="CW2" s="102"/>
      <c r="CX2" s="102"/>
      <c r="CY2" s="102"/>
      <c r="CZ2" s="102"/>
      <c r="DC2" s="106" t="s">
        <v>208</v>
      </c>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row>
    <row r="3" spans="2:871" s="132" customFormat="1" ht="54" x14ac:dyDescent="0.2">
      <c r="B3" s="107" t="s">
        <v>209</v>
      </c>
      <c r="C3" s="108" t="s">
        <v>210</v>
      </c>
      <c r="D3" s="109" t="s">
        <v>211</v>
      </c>
      <c r="E3" s="109"/>
      <c r="F3" s="110" t="s">
        <v>212</v>
      </c>
      <c r="G3" s="111" t="s">
        <v>213</v>
      </c>
      <c r="H3" s="113" t="s">
        <v>215</v>
      </c>
      <c r="I3" s="114" t="s">
        <v>216</v>
      </c>
      <c r="J3" s="115"/>
      <c r="K3" s="116"/>
      <c r="L3" s="117"/>
      <c r="M3" s="118" t="s">
        <v>217</v>
      </c>
      <c r="N3" s="119"/>
      <c r="O3" s="120" t="s">
        <v>218</v>
      </c>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507" t="s">
        <v>219</v>
      </c>
      <c r="BA3" s="122" t="s">
        <v>220</v>
      </c>
      <c r="BB3" s="122"/>
      <c r="BC3" s="122"/>
      <c r="BD3" s="122"/>
      <c r="BE3" s="122"/>
      <c r="BF3" s="122"/>
      <c r="BG3" s="122"/>
      <c r="BH3" s="122"/>
      <c r="BI3" s="122"/>
      <c r="BJ3" s="122"/>
      <c r="BK3" s="122"/>
      <c r="BL3" s="122"/>
      <c r="BM3" s="122"/>
      <c r="BN3" s="122"/>
      <c r="BO3" s="122"/>
      <c r="BP3" s="122"/>
      <c r="BQ3" s="122"/>
      <c r="BR3" s="122"/>
      <c r="BS3" s="122"/>
      <c r="BT3" s="122"/>
      <c r="BU3" s="123" t="s">
        <v>221</v>
      </c>
      <c r="BV3" s="124"/>
      <c r="BW3" s="124"/>
      <c r="BX3" s="124"/>
      <c r="BY3" s="124"/>
      <c r="BZ3" s="124"/>
      <c r="CA3" s="124"/>
      <c r="CB3" s="124"/>
      <c r="CC3" s="124"/>
      <c r="CD3" s="124"/>
      <c r="CE3" s="124"/>
      <c r="CF3" s="124"/>
      <c r="CG3" s="125" t="s">
        <v>222</v>
      </c>
      <c r="CH3" s="126"/>
      <c r="CI3" s="127" t="s">
        <v>223</v>
      </c>
      <c r="CJ3" s="128"/>
      <c r="CK3" s="129" t="s">
        <v>224</v>
      </c>
      <c r="CL3" s="110" t="s">
        <v>225</v>
      </c>
      <c r="CM3" s="110" t="s">
        <v>226</v>
      </c>
      <c r="CN3" s="109" t="s">
        <v>227</v>
      </c>
      <c r="CO3" s="123" t="s">
        <v>228</v>
      </c>
      <c r="CP3" s="128"/>
      <c r="CQ3" s="130" t="s">
        <v>229</v>
      </c>
      <c r="CR3" s="124"/>
      <c r="CS3" s="124"/>
      <c r="CT3" s="131"/>
      <c r="CU3" s="128"/>
      <c r="CV3" s="130" t="s">
        <v>230</v>
      </c>
      <c r="CW3" s="128"/>
      <c r="CX3" s="509" t="s">
        <v>231</v>
      </c>
      <c r="CY3" s="510"/>
      <c r="CZ3" s="511"/>
      <c r="DB3" s="112" t="s">
        <v>214</v>
      </c>
      <c r="DC3" s="120" t="s">
        <v>232</v>
      </c>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33"/>
      <c r="FC3" s="134" t="s">
        <v>233</v>
      </c>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22"/>
      <c r="GB3" s="122"/>
      <c r="GC3" s="122"/>
      <c r="GD3" s="122"/>
      <c r="GE3" s="130" t="s">
        <v>234</v>
      </c>
      <c r="GF3" s="136"/>
      <c r="GG3" s="136"/>
      <c r="GH3" s="136"/>
      <c r="GI3" s="137"/>
      <c r="GJ3" s="137"/>
      <c r="GK3" s="126"/>
    </row>
    <row r="4" spans="2:871" ht="36" x14ac:dyDescent="0.15">
      <c r="B4" s="138"/>
      <c r="C4" s="139"/>
      <c r="D4" s="140"/>
      <c r="E4" s="140"/>
      <c r="F4" s="141"/>
      <c r="G4" s="141"/>
      <c r="H4" s="142"/>
      <c r="I4" s="143" t="s">
        <v>235</v>
      </c>
      <c r="J4" s="144" t="s">
        <v>236</v>
      </c>
      <c r="K4" s="145" t="s">
        <v>237</v>
      </c>
      <c r="L4" s="144" t="s">
        <v>238</v>
      </c>
      <c r="M4" s="144"/>
      <c r="N4" s="143"/>
      <c r="O4" s="146"/>
      <c r="P4" s="147" t="s">
        <v>239</v>
      </c>
      <c r="Q4" s="148"/>
      <c r="R4" s="149" t="s">
        <v>240</v>
      </c>
      <c r="S4" s="150"/>
      <c r="T4" s="151"/>
      <c r="U4" s="152" t="s">
        <v>241</v>
      </c>
      <c r="V4" s="153"/>
      <c r="W4" s="154"/>
      <c r="X4" s="501" t="s">
        <v>242</v>
      </c>
      <c r="Y4" s="502"/>
      <c r="Z4" s="502"/>
      <c r="AA4" s="155"/>
      <c r="AB4" s="501" t="s">
        <v>243</v>
      </c>
      <c r="AC4" s="502"/>
      <c r="AD4" s="503"/>
      <c r="AE4" s="156" t="s">
        <v>244</v>
      </c>
      <c r="AF4" s="157"/>
      <c r="AG4" s="157"/>
      <c r="AH4" s="158"/>
      <c r="AI4" s="159" t="s">
        <v>245</v>
      </c>
      <c r="AJ4" s="160"/>
      <c r="AK4" s="160"/>
      <c r="AL4" s="161"/>
      <c r="AM4" s="162" t="s">
        <v>246</v>
      </c>
      <c r="AN4" s="163"/>
      <c r="AO4" s="163"/>
      <c r="AP4" s="163"/>
      <c r="AQ4" s="163"/>
      <c r="AR4" s="163"/>
      <c r="AS4" s="163"/>
      <c r="AT4" s="163"/>
      <c r="AU4" s="163"/>
      <c r="AV4" s="163"/>
      <c r="AW4" s="163"/>
      <c r="AX4" s="164"/>
      <c r="AY4" s="164"/>
      <c r="AZ4" s="507"/>
      <c r="BA4" s="146"/>
      <c r="BB4" s="165" t="s">
        <v>247</v>
      </c>
      <c r="BC4" s="165"/>
      <c r="BD4" s="166"/>
      <c r="BE4" s="156" t="s">
        <v>244</v>
      </c>
      <c r="BF4" s="157"/>
      <c r="BG4" s="157"/>
      <c r="BH4" s="158"/>
      <c r="BI4" s="152" t="s">
        <v>245</v>
      </c>
      <c r="BJ4" s="153"/>
      <c r="BK4" s="153"/>
      <c r="BL4" s="153"/>
      <c r="BM4" s="154"/>
      <c r="BN4" s="162" t="s">
        <v>248</v>
      </c>
      <c r="BO4" s="163"/>
      <c r="BP4" s="163"/>
      <c r="BQ4" s="163"/>
      <c r="BR4" s="163"/>
      <c r="BS4" s="164"/>
      <c r="BT4" s="167" t="s">
        <v>249</v>
      </c>
      <c r="BU4" s="168"/>
      <c r="BV4" s="169"/>
      <c r="BW4" s="169"/>
      <c r="BX4" s="169"/>
      <c r="BY4" s="169"/>
      <c r="BZ4" s="169"/>
      <c r="CA4" s="169"/>
      <c r="CB4" s="170"/>
      <c r="CC4" s="170"/>
      <c r="CD4" s="170"/>
      <c r="CE4" s="170"/>
      <c r="CF4" s="170"/>
      <c r="CG4" s="171"/>
      <c r="CH4" s="172"/>
      <c r="CI4" s="173"/>
      <c r="CJ4" s="174"/>
      <c r="CK4" s="175"/>
      <c r="CL4" s="141"/>
      <c r="CM4" s="176"/>
      <c r="CN4" s="140"/>
      <c r="CO4" s="177"/>
      <c r="CP4" s="178"/>
      <c r="CQ4" s="173"/>
      <c r="CU4" s="174"/>
      <c r="CV4" s="173"/>
      <c r="CW4" s="174"/>
      <c r="CX4" s="512"/>
      <c r="CY4" s="513"/>
      <c r="CZ4" s="514"/>
      <c r="DB4" s="141"/>
      <c r="DC4" s="146"/>
      <c r="DD4" s="147" t="s">
        <v>239</v>
      </c>
      <c r="DE4" s="179"/>
      <c r="DF4" s="179"/>
      <c r="DG4" s="179"/>
      <c r="DH4" s="149" t="s">
        <v>250</v>
      </c>
      <c r="DI4" s="150"/>
      <c r="DJ4" s="150"/>
      <c r="DK4" s="150"/>
      <c r="DL4" s="150"/>
      <c r="DM4" s="152" t="s">
        <v>241</v>
      </c>
      <c r="DN4" s="153"/>
      <c r="DO4" s="153"/>
      <c r="DP4" s="153"/>
      <c r="DQ4" s="154"/>
      <c r="DR4" s="502" t="s">
        <v>242</v>
      </c>
      <c r="DS4" s="502"/>
      <c r="DT4" s="502"/>
      <c r="DU4" s="502" t="s">
        <v>243</v>
      </c>
      <c r="DV4" s="502"/>
      <c r="DW4" s="502"/>
      <c r="DX4" s="503"/>
      <c r="DY4" s="180"/>
      <c r="DZ4" s="155"/>
      <c r="EA4" s="156" t="s">
        <v>244</v>
      </c>
      <c r="EB4" s="157"/>
      <c r="EC4" s="157"/>
      <c r="ED4" s="157"/>
      <c r="EE4" s="157"/>
      <c r="EF4" s="159" t="s">
        <v>245</v>
      </c>
      <c r="EG4" s="160"/>
      <c r="EH4" s="160"/>
      <c r="EI4" s="160"/>
      <c r="EJ4" s="161"/>
      <c r="EK4" s="162" t="s">
        <v>246</v>
      </c>
      <c r="EL4" s="163"/>
      <c r="EM4" s="163"/>
      <c r="EN4" s="163"/>
      <c r="EO4" s="163"/>
      <c r="EP4" s="163"/>
      <c r="EQ4" s="163"/>
      <c r="ER4" s="163"/>
      <c r="ES4" s="163"/>
      <c r="ET4" s="163"/>
      <c r="EU4" s="163"/>
      <c r="EV4" s="163"/>
      <c r="EW4" s="163"/>
      <c r="EX4" s="163"/>
      <c r="EY4" s="163"/>
      <c r="EZ4" s="163"/>
      <c r="FA4" s="181" t="s">
        <v>251</v>
      </c>
      <c r="FB4" s="181" t="s">
        <v>252</v>
      </c>
      <c r="FD4" s="182" t="s">
        <v>247</v>
      </c>
      <c r="FE4" s="165"/>
      <c r="FF4" s="165"/>
      <c r="FG4" s="165"/>
      <c r="FH4" s="165"/>
      <c r="FI4" s="166"/>
      <c r="FJ4" s="156" t="s">
        <v>244</v>
      </c>
      <c r="FK4" s="157"/>
      <c r="FL4" s="157"/>
      <c r="FM4" s="157"/>
      <c r="FN4" s="158"/>
      <c r="FO4" s="152" t="s">
        <v>245</v>
      </c>
      <c r="FP4" s="153"/>
      <c r="FQ4" s="153"/>
      <c r="FR4" s="153"/>
      <c r="FS4" s="153"/>
      <c r="FT4" s="154"/>
      <c r="FU4" s="162" t="s">
        <v>248</v>
      </c>
      <c r="FV4" s="163"/>
      <c r="FW4" s="163"/>
      <c r="FX4" s="163"/>
      <c r="FY4" s="163"/>
      <c r="FZ4" s="163"/>
      <c r="GA4" s="183"/>
      <c r="GB4" s="183"/>
      <c r="GC4" s="184" t="s">
        <v>253</v>
      </c>
      <c r="GD4" s="184" t="s">
        <v>252</v>
      </c>
      <c r="GE4" s="185"/>
      <c r="GF4" s="186"/>
      <c r="GG4" s="186"/>
      <c r="GH4" s="186"/>
      <c r="GI4" s="187" t="s">
        <v>254</v>
      </c>
      <c r="GJ4" s="187" t="s">
        <v>254</v>
      </c>
      <c r="GK4" s="188" t="s">
        <v>255</v>
      </c>
    </row>
    <row r="5" spans="2:871" s="214" customFormat="1" ht="183.6" x14ac:dyDescent="0.2">
      <c r="B5" s="189" t="s">
        <v>256</v>
      </c>
      <c r="C5" s="190"/>
      <c r="D5" s="191"/>
      <c r="E5" s="192" t="s">
        <v>257</v>
      </c>
      <c r="F5" s="193" t="s">
        <v>258</v>
      </c>
      <c r="G5" s="193"/>
      <c r="H5" s="194"/>
      <c r="I5" s="195"/>
      <c r="J5" s="196"/>
      <c r="K5" s="110"/>
      <c r="L5" s="196"/>
      <c r="M5" s="109" t="s">
        <v>259</v>
      </c>
      <c r="N5" s="110" t="s">
        <v>260</v>
      </c>
      <c r="O5" s="197" t="s">
        <v>261</v>
      </c>
      <c r="P5" s="198" t="s">
        <v>262</v>
      </c>
      <c r="Q5" s="184" t="s">
        <v>263</v>
      </c>
      <c r="R5" s="199" t="s">
        <v>264</v>
      </c>
      <c r="S5" s="198" t="s">
        <v>262</v>
      </c>
      <c r="T5" s="184" t="s">
        <v>263</v>
      </c>
      <c r="U5" s="199" t="s">
        <v>264</v>
      </c>
      <c r="V5" s="198" t="s">
        <v>262</v>
      </c>
      <c r="W5" s="184" t="s">
        <v>263</v>
      </c>
      <c r="X5" s="200" t="s">
        <v>264</v>
      </c>
      <c r="Y5" s="201" t="s">
        <v>265</v>
      </c>
      <c r="Z5" s="200" t="s">
        <v>266</v>
      </c>
      <c r="AA5" s="202" t="s">
        <v>267</v>
      </c>
      <c r="AB5" s="200" t="s">
        <v>264</v>
      </c>
      <c r="AC5" s="201" t="s">
        <v>268</v>
      </c>
      <c r="AD5" s="200" t="s">
        <v>266</v>
      </c>
      <c r="AE5" s="199" t="s">
        <v>264</v>
      </c>
      <c r="AF5" s="198" t="s">
        <v>269</v>
      </c>
      <c r="AG5" s="203" t="s">
        <v>270</v>
      </c>
      <c r="AH5" s="184" t="s">
        <v>263</v>
      </c>
      <c r="AI5" s="199" t="s">
        <v>271</v>
      </c>
      <c r="AJ5" s="198" t="s">
        <v>272</v>
      </c>
      <c r="AK5" s="198" t="s">
        <v>273</v>
      </c>
      <c r="AL5" s="184" t="s">
        <v>263</v>
      </c>
      <c r="AM5" s="200" t="s">
        <v>271</v>
      </c>
      <c r="AN5" s="197" t="s">
        <v>274</v>
      </c>
      <c r="AO5" s="197" t="s">
        <v>275</v>
      </c>
      <c r="AP5" s="197" t="s">
        <v>276</v>
      </c>
      <c r="AQ5" s="197" t="s">
        <v>277</v>
      </c>
      <c r="AR5" s="197" t="s">
        <v>278</v>
      </c>
      <c r="AS5" s="197" t="s">
        <v>279</v>
      </c>
      <c r="AT5" s="197" t="s">
        <v>280</v>
      </c>
      <c r="AU5" s="200" t="s">
        <v>281</v>
      </c>
      <c r="AV5" s="202" t="s">
        <v>263</v>
      </c>
      <c r="AW5" s="197" t="s">
        <v>282</v>
      </c>
      <c r="AX5" s="197" t="s">
        <v>283</v>
      </c>
      <c r="AY5" s="197" t="s">
        <v>283</v>
      </c>
      <c r="AZ5" s="508"/>
      <c r="BA5" s="204" t="s">
        <v>284</v>
      </c>
      <c r="BB5" s="205" t="s">
        <v>285</v>
      </c>
      <c r="BC5" s="206" t="s">
        <v>286</v>
      </c>
      <c r="BD5" s="202" t="s">
        <v>287</v>
      </c>
      <c r="BE5" s="199" t="s">
        <v>264</v>
      </c>
      <c r="BF5" s="198" t="s">
        <v>288</v>
      </c>
      <c r="BG5" s="203" t="s">
        <v>289</v>
      </c>
      <c r="BH5" s="184" t="s">
        <v>287</v>
      </c>
      <c r="BI5" s="199" t="s">
        <v>264</v>
      </c>
      <c r="BJ5" s="198" t="s">
        <v>290</v>
      </c>
      <c r="BK5" s="198" t="s">
        <v>291</v>
      </c>
      <c r="BL5" s="198" t="s">
        <v>292</v>
      </c>
      <c r="BM5" s="184" t="s">
        <v>287</v>
      </c>
      <c r="BN5" s="199" t="s">
        <v>271</v>
      </c>
      <c r="BO5" s="198" t="s">
        <v>293</v>
      </c>
      <c r="BP5" s="198" t="s">
        <v>294</v>
      </c>
      <c r="BQ5" s="198" t="s">
        <v>295</v>
      </c>
      <c r="BR5" s="184" t="s">
        <v>296</v>
      </c>
      <c r="BS5" s="197" t="s">
        <v>283</v>
      </c>
      <c r="BT5" s="207" t="s">
        <v>297</v>
      </c>
      <c r="BU5" s="504" t="s">
        <v>298</v>
      </c>
      <c r="BV5" s="505"/>
      <c r="BW5" s="505"/>
      <c r="BX5" s="505"/>
      <c r="BY5" s="505"/>
      <c r="BZ5" s="506"/>
      <c r="CA5" s="504" t="s">
        <v>299</v>
      </c>
      <c r="CB5" s="505"/>
      <c r="CC5" s="505"/>
      <c r="CD5" s="505"/>
      <c r="CE5" s="505"/>
      <c r="CF5" s="506"/>
      <c r="CG5" s="208" t="s">
        <v>300</v>
      </c>
      <c r="CH5" s="209" t="s">
        <v>301</v>
      </c>
      <c r="CI5" s="210" t="s">
        <v>302</v>
      </c>
      <c r="CJ5" s="210" t="s">
        <v>303</v>
      </c>
      <c r="CK5" s="211" t="s">
        <v>304</v>
      </c>
      <c r="CL5" s="210" t="s">
        <v>305</v>
      </c>
      <c r="CM5" s="210" t="s">
        <v>306</v>
      </c>
      <c r="CN5" s="211" t="s">
        <v>307</v>
      </c>
      <c r="CO5" s="208" t="s">
        <v>308</v>
      </c>
      <c r="CP5" s="143" t="s">
        <v>309</v>
      </c>
      <c r="CQ5" s="210" t="s">
        <v>310</v>
      </c>
      <c r="CR5" s="212" t="s">
        <v>311</v>
      </c>
      <c r="CS5" s="212" t="s">
        <v>312</v>
      </c>
      <c r="CT5" s="210" t="s">
        <v>313</v>
      </c>
      <c r="CU5" s="210" t="s">
        <v>314</v>
      </c>
      <c r="CV5" s="210" t="s">
        <v>315</v>
      </c>
      <c r="CW5" s="210" t="s">
        <v>316</v>
      </c>
      <c r="CX5" s="213" t="s">
        <v>317</v>
      </c>
      <c r="CY5" s="213" t="s">
        <v>318</v>
      </c>
      <c r="CZ5" s="213" t="s">
        <v>319</v>
      </c>
      <c r="DB5" s="193"/>
      <c r="DC5" s="197" t="s">
        <v>261</v>
      </c>
      <c r="DD5" s="197" t="s">
        <v>262</v>
      </c>
      <c r="DE5" s="197" t="s">
        <v>320</v>
      </c>
      <c r="DF5" s="215" t="s">
        <v>321</v>
      </c>
      <c r="DG5" s="215" t="s">
        <v>322</v>
      </c>
      <c r="DH5" s="200" t="s">
        <v>264</v>
      </c>
      <c r="DI5" s="197" t="s">
        <v>262</v>
      </c>
      <c r="DJ5" s="197" t="s">
        <v>323</v>
      </c>
      <c r="DK5" s="216" t="s">
        <v>321</v>
      </c>
      <c r="DL5" s="216" t="s">
        <v>322</v>
      </c>
      <c r="DM5" s="200" t="s">
        <v>264</v>
      </c>
      <c r="DN5" s="197" t="s">
        <v>262</v>
      </c>
      <c r="DO5" s="197" t="s">
        <v>324</v>
      </c>
      <c r="DP5" s="216" t="s">
        <v>321</v>
      </c>
      <c r="DQ5" s="216" t="s">
        <v>322</v>
      </c>
      <c r="DR5" s="200" t="s">
        <v>264</v>
      </c>
      <c r="DS5" s="201" t="s">
        <v>265</v>
      </c>
      <c r="DT5" s="200" t="s">
        <v>266</v>
      </c>
      <c r="DU5" s="200" t="s">
        <v>264</v>
      </c>
      <c r="DV5" s="201" t="s">
        <v>268</v>
      </c>
      <c r="DW5" s="217" t="s">
        <v>325</v>
      </c>
      <c r="DX5" s="200" t="s">
        <v>266</v>
      </c>
      <c r="DY5" s="216" t="s">
        <v>321</v>
      </c>
      <c r="DZ5" s="216" t="s">
        <v>322</v>
      </c>
      <c r="EA5" s="200" t="s">
        <v>264</v>
      </c>
      <c r="EB5" s="197" t="s">
        <v>269</v>
      </c>
      <c r="EC5" s="197" t="s">
        <v>270</v>
      </c>
      <c r="ED5" s="216" t="s">
        <v>321</v>
      </c>
      <c r="EE5" s="216" t="s">
        <v>322</v>
      </c>
      <c r="EF5" s="200" t="s">
        <v>271</v>
      </c>
      <c r="EG5" s="197" t="s">
        <v>272</v>
      </c>
      <c r="EH5" s="197" t="s">
        <v>273</v>
      </c>
      <c r="EI5" s="216" t="s">
        <v>321</v>
      </c>
      <c r="EJ5" s="216" t="s">
        <v>322</v>
      </c>
      <c r="EK5" s="200" t="s">
        <v>271</v>
      </c>
      <c r="EL5" s="197" t="s">
        <v>274</v>
      </c>
      <c r="EM5" s="197" t="s">
        <v>275</v>
      </c>
      <c r="EN5" s="197" t="s">
        <v>276</v>
      </c>
      <c r="EO5" s="197" t="s">
        <v>277</v>
      </c>
      <c r="EP5" s="197" t="s">
        <v>278</v>
      </c>
      <c r="EQ5" s="197" t="s">
        <v>279</v>
      </c>
      <c r="ER5" s="197" t="s">
        <v>280</v>
      </c>
      <c r="ES5" s="200" t="s">
        <v>281</v>
      </c>
      <c r="ET5" s="216" t="s">
        <v>321</v>
      </c>
      <c r="EU5" s="216" t="s">
        <v>322</v>
      </c>
      <c r="EV5" s="197" t="s">
        <v>282</v>
      </c>
      <c r="EW5" s="197" t="s">
        <v>283</v>
      </c>
      <c r="EX5" s="197" t="s">
        <v>283</v>
      </c>
      <c r="EY5" s="197" t="s">
        <v>326</v>
      </c>
      <c r="EZ5" s="197" t="s">
        <v>327</v>
      </c>
      <c r="FA5" s="218"/>
      <c r="FB5" s="218"/>
      <c r="FC5" s="219" t="s">
        <v>284</v>
      </c>
      <c r="FD5" s="220" t="s">
        <v>285</v>
      </c>
      <c r="FE5" s="221" t="s">
        <v>328</v>
      </c>
      <c r="FF5" s="222" t="s">
        <v>286</v>
      </c>
      <c r="FG5" s="222" t="s">
        <v>325</v>
      </c>
      <c r="FH5" s="216" t="s">
        <v>321</v>
      </c>
      <c r="FI5" s="216" t="s">
        <v>322</v>
      </c>
      <c r="FJ5" s="200" t="s">
        <v>264</v>
      </c>
      <c r="FK5" s="197" t="s">
        <v>329</v>
      </c>
      <c r="FL5" s="197" t="s">
        <v>330</v>
      </c>
      <c r="FM5" s="216" t="s">
        <v>321</v>
      </c>
      <c r="FN5" s="216" t="s">
        <v>322</v>
      </c>
      <c r="FO5" s="200" t="s">
        <v>331</v>
      </c>
      <c r="FP5" s="197" t="s">
        <v>332</v>
      </c>
      <c r="FQ5" s="197" t="s">
        <v>333</v>
      </c>
      <c r="FR5" s="197" t="s">
        <v>334</v>
      </c>
      <c r="FS5" s="216" t="s">
        <v>321</v>
      </c>
      <c r="FT5" s="216" t="s">
        <v>322</v>
      </c>
      <c r="FU5" s="200" t="s">
        <v>331</v>
      </c>
      <c r="FV5" s="197" t="s">
        <v>293</v>
      </c>
      <c r="FW5" s="197" t="s">
        <v>294</v>
      </c>
      <c r="FX5" s="197" t="s">
        <v>295</v>
      </c>
      <c r="FY5" s="216" t="s">
        <v>321</v>
      </c>
      <c r="FZ5" s="216" t="s">
        <v>322</v>
      </c>
      <c r="GA5" s="223" t="s">
        <v>283</v>
      </c>
      <c r="GB5" s="223" t="s">
        <v>326</v>
      </c>
      <c r="GC5" s="216"/>
      <c r="GD5" s="216"/>
      <c r="GE5" s="224" t="s">
        <v>335</v>
      </c>
      <c r="GF5" s="225" t="s">
        <v>336</v>
      </c>
      <c r="GG5" s="225" t="s">
        <v>337</v>
      </c>
      <c r="GH5" s="225" t="s">
        <v>338</v>
      </c>
      <c r="GI5" s="226" t="s">
        <v>339</v>
      </c>
      <c r="GJ5" s="226" t="s">
        <v>340</v>
      </c>
      <c r="GK5" s="226" t="s">
        <v>341</v>
      </c>
    </row>
    <row r="6" spans="2:871" customFormat="1" ht="15.75" hidden="1" customHeight="1" x14ac:dyDescent="0.2">
      <c r="B6" s="227" t="str">
        <f t="shared" ref="B6:B11" si="0">IF(GH6&gt;0,"支払済",IF(GE6="取下",GE6,IF(GE6="取消",GE6,"")))</f>
        <v>支払済</v>
      </c>
      <c r="C6" s="228" t="s">
        <v>342</v>
      </c>
      <c r="D6" s="229" t="s">
        <v>343</v>
      </c>
      <c r="E6" s="230" t="str">
        <f>IF(D6="登録","登録",IF(D5="登録","建売購入",""))</f>
        <v/>
      </c>
      <c r="F6" s="231"/>
      <c r="G6" s="231"/>
      <c r="H6" s="232">
        <v>43191</v>
      </c>
      <c r="I6" s="233" t="s">
        <v>344</v>
      </c>
      <c r="J6" s="234" t="s">
        <v>345</v>
      </c>
      <c r="K6" s="233"/>
      <c r="L6" s="234" t="s">
        <v>346</v>
      </c>
      <c r="M6" s="234" t="s">
        <v>347</v>
      </c>
      <c r="N6" s="233" t="s">
        <v>348</v>
      </c>
      <c r="O6" s="235">
        <v>35</v>
      </c>
      <c r="P6" s="235">
        <v>25</v>
      </c>
      <c r="Q6" s="236">
        <f>IF(P6&gt;=10,150,0)</f>
        <v>150</v>
      </c>
      <c r="R6" s="235">
        <f>IF(S6&gt;=1,1,"")</f>
        <v>1</v>
      </c>
      <c r="S6" s="235">
        <v>19</v>
      </c>
      <c r="T6" s="237">
        <f>IF(Q6=0,0,IF(S6&gt;=25,MIN(250,ROUNDDOWN(S6*10,-1)),IF(S6&gt;=20,MIN(200,ROUNDDOWN(S6*10,-1)),IF(S6&gt;=15,MIN(150,ROUNDDOWN(S6*10,-1)),MIN(100,ROUNDDOWN(S6*10,-1))))))</f>
        <v>150</v>
      </c>
      <c r="U6" s="235">
        <f>IF(V6&gt;=1,1,"")</f>
        <v>1</v>
      </c>
      <c r="V6" s="235">
        <v>7</v>
      </c>
      <c r="W6" s="237">
        <f>IF(AND(Q6&gt;0,V6&gt;=1),MIN(INT(V6)*20,200),0)</f>
        <v>140</v>
      </c>
      <c r="X6" s="235">
        <f>IF(Y6&gt;=1,1,"")</f>
        <v>1</v>
      </c>
      <c r="Y6" s="235">
        <v>1</v>
      </c>
      <c r="Z6" s="235">
        <f>IF(Y6&gt;=1,50,0)</f>
        <v>50</v>
      </c>
      <c r="AA6" s="236">
        <f t="shared" ref="AA6:AA10" si="1">IF(OR(AD6&gt;0,Z6&gt;0),MIN(AD6+Z6,150),0)</f>
        <v>72</v>
      </c>
      <c r="AB6" s="235">
        <f>IF(AC6&gt;=1,1,"")</f>
        <v>1</v>
      </c>
      <c r="AC6" s="235">
        <v>11</v>
      </c>
      <c r="AD6" s="235">
        <f t="shared" ref="AD6:AD10" si="2">IF(AND(Q6&gt;0,AC6&gt;=1),MIN(INT(AC6)*2,150),0)</f>
        <v>22</v>
      </c>
      <c r="AE6" s="235">
        <f>IF(OR(AF6=1,AG6=1),1,"")</f>
        <v>1</v>
      </c>
      <c r="AF6" s="235"/>
      <c r="AG6" s="235">
        <v>1</v>
      </c>
      <c r="AH6" s="236" t="e">
        <f>IF(AND(Q6&gt;0,AE6=1,#REF!=""),100,0)</f>
        <v>#REF!</v>
      </c>
      <c r="AI6" s="235">
        <f>IF(OR(AJ6=1,AK6=1),1,"")</f>
        <v>1</v>
      </c>
      <c r="AJ6" s="235">
        <v>1</v>
      </c>
      <c r="AK6" s="235"/>
      <c r="AL6" s="236">
        <f t="shared" ref="AL6:AL10" si="3">IF(AND(Q6&gt;0,AE6=1,AI6=1),100,0)</f>
        <v>100</v>
      </c>
      <c r="AM6" s="235">
        <f>IF(AU6&gt;=4,1,"")</f>
        <v>1</v>
      </c>
      <c r="AN6" s="235"/>
      <c r="AO6" s="235"/>
      <c r="AP6" s="235">
        <v>1</v>
      </c>
      <c r="AQ6" s="235">
        <v>2</v>
      </c>
      <c r="AR6" s="235"/>
      <c r="AS6" s="235">
        <v>1</v>
      </c>
      <c r="AT6" s="235">
        <v>1</v>
      </c>
      <c r="AU6" s="235">
        <f>SUM(AN6:AT6)</f>
        <v>5</v>
      </c>
      <c r="AV6" s="236">
        <f>IF(AU6&gt;=4,200,0)</f>
        <v>200</v>
      </c>
      <c r="AW6" s="238" t="s">
        <v>349</v>
      </c>
      <c r="AX6" s="238" t="s">
        <v>350</v>
      </c>
      <c r="AY6" s="238" t="s">
        <v>350</v>
      </c>
      <c r="AZ6" s="236" t="e">
        <f>IF(OR(D6="新築",D6="登録"),MIN(1000,Q6+T6+W6+AA6+AH6+AL6+AV6),0)</f>
        <v>#REF!</v>
      </c>
      <c r="BA6" s="238"/>
      <c r="BB6" s="239"/>
      <c r="BC6" s="238"/>
      <c r="BD6" s="236">
        <f>MIN(ROUNDDOWN(BB6,1)*20+INT(BC6)*2,250)</f>
        <v>0</v>
      </c>
      <c r="BE6" s="235" t="str">
        <f>IF(OR(BF6=1,BG6=1),1,"")</f>
        <v/>
      </c>
      <c r="BF6" s="238"/>
      <c r="BG6" s="238"/>
      <c r="BH6" s="236" t="e">
        <f>IF(AND(BD6&gt;0,BE6=1,#REF!=""),100,0)</f>
        <v>#REF!</v>
      </c>
      <c r="BI6" s="235" t="str">
        <f>IF(OR(BJ6=1,BK6=1,BL6=1),1,"")</f>
        <v/>
      </c>
      <c r="BJ6" s="238"/>
      <c r="BK6" s="238"/>
      <c r="BL6" s="238"/>
      <c r="BM6" s="236">
        <f>IF(AND(BD6&gt;0,BI6=1),100,IF(AND(BD6&gt;0,BL6=1),100,0))</f>
        <v>0</v>
      </c>
      <c r="BN6" s="235" t="str">
        <f>IF(OR(AND(BO6&gt;=7,BP6&gt;=7,BO6+BP6&gt;=14),AND(BO6&gt;=7,BQ6&gt;=3,BO6+BQ6&gt;=10),AND(BP6&gt;=7,BQ6&gt;=3,BP6+BQ6&gt;=10)),1,"")</f>
        <v/>
      </c>
      <c r="BO6" s="238"/>
      <c r="BP6" s="238"/>
      <c r="BQ6" s="238"/>
      <c r="BR6" s="236">
        <f>IF(AND(BN6=1,BD6&gt;0),MIN(150,ROUNDDOWN(BO6*11+BP6*13+BQ6*19,0)),0)</f>
        <v>0</v>
      </c>
      <c r="BS6" s="238"/>
      <c r="BT6" s="236">
        <f>IF(D6="改修",MIN(500,BD6+BH6+BM6+BR6,INT(CM6*10/2)),0)</f>
        <v>0</v>
      </c>
      <c r="BU6" s="240"/>
      <c r="BV6" s="241" t="s">
        <v>8</v>
      </c>
      <c r="BW6" s="242"/>
      <c r="BX6" s="241" t="s">
        <v>351</v>
      </c>
      <c r="BY6" s="242"/>
      <c r="BZ6" s="243" t="s">
        <v>7</v>
      </c>
      <c r="CA6" s="240"/>
      <c r="CB6" s="241" t="s">
        <v>8</v>
      </c>
      <c r="CC6" s="242"/>
      <c r="CD6" s="241" t="s">
        <v>351</v>
      </c>
      <c r="CE6" s="242"/>
      <c r="CF6" s="243" t="s">
        <v>7</v>
      </c>
      <c r="CG6" s="232">
        <v>43200</v>
      </c>
      <c r="CH6" s="244" t="e">
        <f>AZ6+BT6</f>
        <v>#REF!</v>
      </c>
      <c r="CI6" s="233" t="s">
        <v>352</v>
      </c>
      <c r="CJ6" s="233" t="s">
        <v>353</v>
      </c>
      <c r="CK6" s="229" t="s">
        <v>354</v>
      </c>
      <c r="CL6" s="233">
        <v>120</v>
      </c>
      <c r="CM6" s="245">
        <v>2500</v>
      </c>
      <c r="CN6" s="234" t="s">
        <v>355</v>
      </c>
      <c r="CO6" s="232"/>
      <c r="CP6" s="231"/>
      <c r="CQ6" s="231"/>
      <c r="CR6" s="232"/>
      <c r="CS6" s="232"/>
      <c r="CT6" s="231"/>
      <c r="CU6" s="231"/>
      <c r="CV6" s="231"/>
      <c r="CW6" s="231"/>
      <c r="CX6" s="231"/>
      <c r="CY6" s="231"/>
      <c r="CZ6" s="231"/>
      <c r="DB6" s="231"/>
      <c r="DC6" s="235">
        <v>30</v>
      </c>
      <c r="DD6" s="235">
        <v>25</v>
      </c>
      <c r="DE6" s="238" t="s">
        <v>356</v>
      </c>
      <c r="DF6" s="236">
        <f t="shared" ref="DF6:DF10" si="4">IF(DD6&gt;=10,150,0)</f>
        <v>150</v>
      </c>
      <c r="DG6" s="236">
        <f>MIN(Q6,DF6)</f>
        <v>150</v>
      </c>
      <c r="DH6" s="235">
        <f>IF(DI6&gt;=1,1,"")</f>
        <v>1</v>
      </c>
      <c r="DI6" s="235">
        <v>18</v>
      </c>
      <c r="DJ6" s="238" t="s">
        <v>356</v>
      </c>
      <c r="DK6" s="237">
        <f>IF(DF6=0,0,IF(DI6&gt;=25,MIN(250,ROUNDDOWN(DI6*10,-1)),IF(DI6&gt;=20,MIN(200,ROUNDDOWN(DI6*10,-1)),IF(DI6&gt;=15,MIN(150,ROUNDDOWN(DI6*10,-1)),MIN(100,ROUNDDOWN(DI6*10,-1))))))</f>
        <v>150</v>
      </c>
      <c r="DL6" s="236">
        <f>MIN(T6,DK6)</f>
        <v>150</v>
      </c>
      <c r="DM6" s="235">
        <f>IF(DN6&gt;=1,1,"")</f>
        <v>1</v>
      </c>
      <c r="DN6" s="235">
        <v>10</v>
      </c>
      <c r="DO6" s="238" t="s">
        <v>357</v>
      </c>
      <c r="DP6" s="237">
        <f>IF(AND(DF6&gt;0,DN6&gt;=1),MIN(INT(DN6)*20,200),0)</f>
        <v>200</v>
      </c>
      <c r="DQ6" s="236">
        <f>MIN(W6,DP6)</f>
        <v>140</v>
      </c>
      <c r="DR6" s="235" t="str">
        <f>IF(DS6&gt;=1,1,"")</f>
        <v/>
      </c>
      <c r="DS6" s="235"/>
      <c r="DT6" s="235">
        <f t="shared" ref="DT6:DT10" si="5">IF(AND(DS6&gt;=1,DF6&gt;=1),50,0)</f>
        <v>0</v>
      </c>
      <c r="DU6" s="235">
        <f>IF(DV6&gt;=1,1,"")</f>
        <v>1</v>
      </c>
      <c r="DV6" s="235">
        <v>15</v>
      </c>
      <c r="DW6" s="238" t="s">
        <v>358</v>
      </c>
      <c r="DX6" s="235">
        <f>IF(AND(DF6&gt;0,DV6&gt;=1),MIN(INT(DV6)*2,150),0)</f>
        <v>30</v>
      </c>
      <c r="DY6" s="236">
        <f t="shared" ref="DY6:DY10" si="6">IF(OR(DX6&gt;0,DT6&gt;0),MIN(DX6+DT6,150),0)</f>
        <v>30</v>
      </c>
      <c r="DZ6" s="236">
        <f>MIN(AA6,DY6)</f>
        <v>30</v>
      </c>
      <c r="EA6" s="235">
        <f>IF(OR(EB6=1,EC6=1),1,"")</f>
        <v>1</v>
      </c>
      <c r="EB6" s="235">
        <v>1</v>
      </c>
      <c r="EC6" s="235"/>
      <c r="ED6" s="236" t="e">
        <f>IF(AND(DF6&gt;0,EA6=1,#REF!=""),100,0)</f>
        <v>#REF!</v>
      </c>
      <c r="EE6" s="236" t="e">
        <f>MIN(AH6,ED6)</f>
        <v>#REF!</v>
      </c>
      <c r="EF6" s="235">
        <f>IF(OR(EG6=1,EH6=1),1,"")</f>
        <v>1</v>
      </c>
      <c r="EG6" s="235">
        <v>1</v>
      </c>
      <c r="EH6" s="235"/>
      <c r="EI6" s="236">
        <f t="shared" ref="EI6:EI10" si="7">IF(AND(DF6&gt;0,EA6=1,EF6=1),100,0)</f>
        <v>100</v>
      </c>
      <c r="EJ6" s="236">
        <f>MIN(AL6,EI6)</f>
        <v>100</v>
      </c>
      <c r="EK6" s="235">
        <f>IF(ES6&gt;=4,1,"")</f>
        <v>1</v>
      </c>
      <c r="EL6" s="235"/>
      <c r="EM6" s="235"/>
      <c r="EN6" s="235"/>
      <c r="EO6" s="235">
        <v>2</v>
      </c>
      <c r="EP6" s="235"/>
      <c r="EQ6" s="235">
        <v>1</v>
      </c>
      <c r="ER6" s="235">
        <v>1</v>
      </c>
      <c r="ES6" s="235">
        <f>SUM(EL6:ER6)</f>
        <v>4</v>
      </c>
      <c r="ET6" s="236">
        <f>IF(ES6&gt;=4,200,0)</f>
        <v>200</v>
      </c>
      <c r="EU6" s="236">
        <f>MIN(AV6,ET6)</f>
        <v>200</v>
      </c>
      <c r="EV6" s="238" t="s">
        <v>349</v>
      </c>
      <c r="EW6" s="238"/>
      <c r="EX6" s="238"/>
      <c r="EY6" s="238"/>
      <c r="EZ6" s="238" t="s">
        <v>359</v>
      </c>
      <c r="FA6" s="236" t="e">
        <f>IF(D6="新築",MIN(1500,CH6,MIN(DG6+DL6+DQ6+DZ6+EE6+EJ6+EU6,1000)),0)</f>
        <v>#REF!</v>
      </c>
      <c r="FB6" s="236" t="e">
        <f t="shared" ref="FB6:FB10" si="8">AZ6-FA6</f>
        <v>#REF!</v>
      </c>
      <c r="FC6" s="238"/>
      <c r="FD6" s="246"/>
      <c r="FE6" s="246"/>
      <c r="FF6" s="238"/>
      <c r="FG6" s="238"/>
      <c r="FH6" s="236">
        <f>MIN(ROUNDDOWN(FD6,1)*20+INT(FF6)*2,250)</f>
        <v>0</v>
      </c>
      <c r="FI6" s="236">
        <f t="shared" ref="FI6:FI10" si="9">MIN(BD6,FH6)</f>
        <v>0</v>
      </c>
      <c r="FJ6" s="235" t="str">
        <f>IF(OR(FK6=1,FL6=1),1,"")</f>
        <v/>
      </c>
      <c r="FK6" s="238"/>
      <c r="FL6" s="238"/>
      <c r="FM6" s="236" t="e">
        <f>IF(AND(FH6&gt;0,FJ6=1,#REF!=""),100,0)</f>
        <v>#REF!</v>
      </c>
      <c r="FN6" s="236" t="e">
        <f t="shared" ref="FN6:FN10" si="10">MIN(BH6,FM6)</f>
        <v>#REF!</v>
      </c>
      <c r="FO6" s="235" t="str">
        <f>IF(OR(FP6=1,FQ6=1,FR6=1),1,"")</f>
        <v/>
      </c>
      <c r="FP6" s="238"/>
      <c r="FQ6" s="238"/>
      <c r="FR6" s="238"/>
      <c r="FS6" s="236">
        <f>IF(AND(FH6&gt;0,FO6=1),100,IF(AND(FH6&gt;0,FR6=1),100,0))</f>
        <v>0</v>
      </c>
      <c r="FT6" s="236">
        <f t="shared" ref="FT6:FT10" si="11">MIN(BM6,FS6)</f>
        <v>0</v>
      </c>
      <c r="FU6" s="235" t="str">
        <f>IF(OR(AND(FV6&gt;=7,FW6&gt;=7,FV6+FW6&gt;=14),AND(FV6&gt;=7,FX6&gt;=3,FV6+FX6&gt;=10),AND(FW6&gt;=7,FX6&gt;=3,FW6+FX6&gt;=10)),1,"")</f>
        <v/>
      </c>
      <c r="FV6" s="238"/>
      <c r="FW6" s="238"/>
      <c r="FX6" s="238"/>
      <c r="FY6" s="236">
        <f>IF(AND(FU6=1,FH6&gt;0),MIN(150,ROUNDDOWN(FV6*11+FW6*13+FX6*19,0)),0)</f>
        <v>0</v>
      </c>
      <c r="FZ6" s="236">
        <f t="shared" ref="FZ6:FZ10" si="12">MIN(BR6,FY6)</f>
        <v>0</v>
      </c>
      <c r="GA6" s="238"/>
      <c r="GB6" s="238"/>
      <c r="GC6" s="236">
        <f>IF(D6="改修",MIN(500,FI6+FN6+FT6+FZ6,INT(CM6*10/2)),0)</f>
        <v>0</v>
      </c>
      <c r="GD6" s="236">
        <f t="shared" ref="GD6:GD10" si="13">BT6-GC6</f>
        <v>0</v>
      </c>
      <c r="GE6" s="231" t="s">
        <v>360</v>
      </c>
      <c r="GF6" s="232">
        <v>43374</v>
      </c>
      <c r="GG6" s="232">
        <v>43378</v>
      </c>
      <c r="GH6" s="232">
        <v>43391</v>
      </c>
      <c r="GI6" s="244" t="e">
        <f>IF(D6="新築",AZ6,IF(D6="改修",BT6,0))</f>
        <v>#REF!</v>
      </c>
      <c r="GJ6" s="244" t="e">
        <f t="shared" ref="GJ6:GJ11" si="14">IF(D6="新築",FA6,IF(D6="改修",GC6,0))</f>
        <v>#REF!</v>
      </c>
      <c r="GK6" s="244" t="e">
        <f>GI6-GJ6</f>
        <v>#REF!</v>
      </c>
    </row>
    <row r="7" spans="2:871" s="247" customFormat="1" hidden="1" x14ac:dyDescent="0.2">
      <c r="B7" s="227" t="str">
        <f t="shared" si="0"/>
        <v>支払済</v>
      </c>
      <c r="C7" s="228" t="s">
        <v>361</v>
      </c>
      <c r="D7" s="229" t="s">
        <v>362</v>
      </c>
      <c r="E7" s="230" t="str">
        <f t="shared" ref="E7:E11" si="15">IF(D7="登録","登録",IF(D6="登録","建売購入",""))</f>
        <v/>
      </c>
      <c r="F7" s="231"/>
      <c r="G7" s="231"/>
      <c r="H7" s="232">
        <v>43191</v>
      </c>
      <c r="I7" s="233" t="s">
        <v>363</v>
      </c>
      <c r="J7" s="234" t="s">
        <v>364</v>
      </c>
      <c r="K7" s="233"/>
      <c r="L7" s="234" t="s">
        <v>365</v>
      </c>
      <c r="M7" s="234" t="s">
        <v>102</v>
      </c>
      <c r="N7" s="233" t="s">
        <v>366</v>
      </c>
      <c r="O7" s="238"/>
      <c r="P7" s="238"/>
      <c r="Q7" s="236">
        <f>IF(P7&gt;=10,150,0)</f>
        <v>0</v>
      </c>
      <c r="R7" s="235" t="str">
        <f>IF(S7&gt;=1,1,"")</f>
        <v/>
      </c>
      <c r="S7" s="238"/>
      <c r="T7" s="237">
        <f>IF(Q7=0,0,IF(S7&gt;=25,MIN(250,ROUNDDOWN(S7*10,-1)),IF(S7&gt;=20,MIN(200,ROUNDDOWN(S7*10,-1)),IF(S7&gt;=15,MIN(150,ROUNDDOWN(S7*10,-1)),MIN(100,ROUNDDOWN(S7*10,-1))))))</f>
        <v>0</v>
      </c>
      <c r="U7" s="235" t="str">
        <f>IF(V7&gt;=1,1,"")</f>
        <v/>
      </c>
      <c r="V7" s="238"/>
      <c r="W7" s="237">
        <f>IF(AND(Q7&gt;0,V7&gt;=1),MIN(INT(V7)*20,200),0)</f>
        <v>0</v>
      </c>
      <c r="X7" s="235" t="str">
        <f>IF(Y7&gt;=1,1,"")</f>
        <v/>
      </c>
      <c r="Y7" s="238"/>
      <c r="Z7" s="235">
        <f>IF(Y7&gt;=1,50,0)</f>
        <v>0</v>
      </c>
      <c r="AA7" s="236">
        <f t="shared" si="1"/>
        <v>0</v>
      </c>
      <c r="AB7" s="235" t="str">
        <f>IF(AC7&gt;=1,1,"")</f>
        <v/>
      </c>
      <c r="AC7" s="238"/>
      <c r="AD7" s="235">
        <f t="shared" si="2"/>
        <v>0</v>
      </c>
      <c r="AE7" s="235" t="str">
        <f>IF(OR(AF7=1,AG7=1),1,"")</f>
        <v/>
      </c>
      <c r="AF7" s="238"/>
      <c r="AG7" s="238"/>
      <c r="AH7" s="236" t="e">
        <f>IF(AND(Q7&gt;0,AE7=1,#REF!=""),100,0)</f>
        <v>#REF!</v>
      </c>
      <c r="AI7" s="235" t="str">
        <f>IF(OR(AJ7=1,AK7=1),1,"")</f>
        <v/>
      </c>
      <c r="AJ7" s="238"/>
      <c r="AK7" s="238"/>
      <c r="AL7" s="236">
        <f t="shared" si="3"/>
        <v>0</v>
      </c>
      <c r="AM7" s="235" t="str">
        <f>IF(AU7&gt;=4,1,"")</f>
        <v/>
      </c>
      <c r="AN7" s="238"/>
      <c r="AO7" s="238"/>
      <c r="AP7" s="238"/>
      <c r="AQ7" s="238"/>
      <c r="AR7" s="238"/>
      <c r="AS7" s="238"/>
      <c r="AT7" s="238"/>
      <c r="AU7" s="235">
        <f>SUM(AN7:AT7)</f>
        <v>0</v>
      </c>
      <c r="AV7" s="236">
        <f>IF(AU7&gt;=4,200,0)</f>
        <v>0</v>
      </c>
      <c r="AW7" s="238"/>
      <c r="AX7" s="238"/>
      <c r="AY7" s="238"/>
      <c r="AZ7" s="236">
        <f>IF(OR(D7="新築",D7="登録"),MIN(1000,Q7+T7+W7+AA7+AH7+AL7+AV7),0)</f>
        <v>0</v>
      </c>
      <c r="BA7" s="238">
        <v>5</v>
      </c>
      <c r="BB7" s="239">
        <v>3</v>
      </c>
      <c r="BC7" s="238">
        <v>10</v>
      </c>
      <c r="BD7" s="236">
        <f>MIN(ROUNDDOWN(BB7,1)*20+INT(BC7)*2,250)</f>
        <v>80</v>
      </c>
      <c r="BE7" s="235">
        <f>IF(OR(BF7=1,BG7=1),1,"")</f>
        <v>1</v>
      </c>
      <c r="BF7" s="238">
        <v>1</v>
      </c>
      <c r="BG7" s="238"/>
      <c r="BH7" s="236" t="e">
        <f>IF(AND(BD7&gt;0,BE7=1,#REF!=""),100,0)</f>
        <v>#REF!</v>
      </c>
      <c r="BI7" s="235" t="str">
        <f>IF(OR(BJ7=1,BK7=1,BL7=1),1,"")</f>
        <v/>
      </c>
      <c r="BJ7" s="238"/>
      <c r="BK7" s="238"/>
      <c r="BL7" s="238"/>
      <c r="BM7" s="236">
        <f>IF(AND(BD7&gt;0,BI7=1),100,IF(AND(BD7&gt;0,BL7=1),100,0))</f>
        <v>0</v>
      </c>
      <c r="BN7" s="235">
        <f>IF(OR(AND(BO7&gt;=7,BP7&gt;=7,BO7+BP7&gt;=14),AND(BO7&gt;=7,BQ7&gt;=3,BO7+BQ7&gt;=10),AND(BP7&gt;=7,BQ7&gt;=3,BP7+BQ7&gt;=10)),1,"")</f>
        <v>1</v>
      </c>
      <c r="BO7" s="238">
        <v>7</v>
      </c>
      <c r="BP7" s="238"/>
      <c r="BQ7" s="238">
        <v>3</v>
      </c>
      <c r="BR7" s="236">
        <f>IF(AND(BN7=1,BD7&gt;0),MIN(150,ROUNDDOWN(BO7*11+BP7*13+BQ7*19,0)),0)</f>
        <v>134</v>
      </c>
      <c r="BS7" s="238"/>
      <c r="BT7" s="236" t="e">
        <f>IF(D7="改修",MIN(500,BD7+BH7+BM7+BR7,INT(CM7*10/2)),0)</f>
        <v>#REF!</v>
      </c>
      <c r="BU7" s="240"/>
      <c r="BV7" s="241" t="s">
        <v>8</v>
      </c>
      <c r="BW7" s="242"/>
      <c r="BX7" s="241" t="s">
        <v>351</v>
      </c>
      <c r="BY7" s="242"/>
      <c r="BZ7" s="243" t="s">
        <v>7</v>
      </c>
      <c r="CA7" s="240"/>
      <c r="CB7" s="241" t="s">
        <v>8</v>
      </c>
      <c r="CC7" s="242"/>
      <c r="CD7" s="241" t="s">
        <v>351</v>
      </c>
      <c r="CE7" s="242"/>
      <c r="CF7" s="243" t="s">
        <v>7</v>
      </c>
      <c r="CG7" s="232">
        <v>43205</v>
      </c>
      <c r="CH7" s="244" t="e">
        <f t="shared" ref="CH7:CH10" si="16">AZ7+BT7</f>
        <v>#REF!</v>
      </c>
      <c r="CI7" s="233" t="s">
        <v>352</v>
      </c>
      <c r="CJ7" s="233" t="s">
        <v>353</v>
      </c>
      <c r="CK7" s="229" t="s">
        <v>367</v>
      </c>
      <c r="CL7" s="233">
        <v>200</v>
      </c>
      <c r="CM7" s="245">
        <v>300</v>
      </c>
      <c r="CN7" s="234" t="s">
        <v>368</v>
      </c>
      <c r="CO7" s="232"/>
      <c r="CP7" s="231"/>
      <c r="CQ7" s="231"/>
      <c r="CR7" s="232"/>
      <c r="CS7" s="232"/>
      <c r="CT7" s="231"/>
      <c r="CU7" s="231"/>
      <c r="CV7" s="231"/>
      <c r="CW7" s="231"/>
      <c r="CX7" s="231"/>
      <c r="CY7" s="231"/>
      <c r="CZ7" s="231"/>
      <c r="DA7"/>
      <c r="DB7" s="231"/>
      <c r="DC7" s="238"/>
      <c r="DD7" s="238"/>
      <c r="DE7" s="238"/>
      <c r="DF7" s="236">
        <f t="shared" si="4"/>
        <v>0</v>
      </c>
      <c r="DG7" s="236">
        <f>MIN(Q7,DF7)</f>
        <v>0</v>
      </c>
      <c r="DH7" s="235" t="str">
        <f t="shared" ref="DH7:DH10" si="17">IF(DI7&gt;=1,1,"")</f>
        <v/>
      </c>
      <c r="DI7" s="238"/>
      <c r="DJ7" s="238"/>
      <c r="DK7" s="237">
        <f t="shared" ref="DK7:DK10" si="18">IF(DF7=0,0,IF(DI7&gt;=25,MIN(250,ROUNDDOWN(DI7*10,-1)),IF(DI7&gt;=20,MIN(200,ROUNDDOWN(DI7*10,-1)),IF(DI7&gt;=15,MIN(150,ROUNDDOWN(DI7*10,-1)),MIN(100,ROUNDDOWN(DI7*10,-1))))))</f>
        <v>0</v>
      </c>
      <c r="DL7" s="236">
        <f>MIN(T7,DK7)</f>
        <v>0</v>
      </c>
      <c r="DM7" s="235" t="str">
        <f t="shared" ref="DM7:DM10" si="19">IF(DN7&gt;=1,1,"")</f>
        <v/>
      </c>
      <c r="DN7" s="238"/>
      <c r="DO7" s="238"/>
      <c r="DP7" s="237">
        <f t="shared" ref="DP7:DP10" si="20">IF(AND(DF7&gt;0,DN7&gt;=1),MIN(INT(DN7)*20,200),0)</f>
        <v>0</v>
      </c>
      <c r="DQ7" s="236">
        <f>MIN(W7,DP7)</f>
        <v>0</v>
      </c>
      <c r="DR7" s="235" t="str">
        <f t="shared" ref="DR7:DR10" si="21">IF(DS7&gt;=1,1,"")</f>
        <v/>
      </c>
      <c r="DS7" s="238"/>
      <c r="DT7" s="235">
        <f t="shared" si="5"/>
        <v>0</v>
      </c>
      <c r="DU7" s="235" t="str">
        <f t="shared" ref="DU7:DU10" si="22">IF(DV7&gt;=1,1,"")</f>
        <v/>
      </c>
      <c r="DV7" s="238"/>
      <c r="DW7" s="238"/>
      <c r="DX7" s="235">
        <f t="shared" ref="DX7:DX10" si="23">IF(AND(DF7&gt;0,DV7&gt;=1),MIN(INT(DV7)*2,150),0)</f>
        <v>0</v>
      </c>
      <c r="DY7" s="236">
        <f t="shared" si="6"/>
        <v>0</v>
      </c>
      <c r="DZ7" s="236">
        <f>MIN(AA7,DY7)</f>
        <v>0</v>
      </c>
      <c r="EA7" s="235" t="str">
        <f t="shared" ref="EA7:EA10" si="24">IF(OR(EB7=1,EC7=1),1,"")</f>
        <v/>
      </c>
      <c r="EB7" s="238"/>
      <c r="EC7" s="238"/>
      <c r="ED7" s="236" t="e">
        <f>IF(AND(DF7&gt;0,EA7=1,#REF!=""),100,0)</f>
        <v>#REF!</v>
      </c>
      <c r="EE7" s="236" t="e">
        <f>MIN(AH7,ED7)</f>
        <v>#REF!</v>
      </c>
      <c r="EF7" s="235" t="str">
        <f t="shared" ref="EF7:EF10" si="25">IF(OR(EG7=1,EH7=1),1,"")</f>
        <v/>
      </c>
      <c r="EG7" s="238"/>
      <c r="EH7" s="238"/>
      <c r="EI7" s="236">
        <f t="shared" si="7"/>
        <v>0</v>
      </c>
      <c r="EJ7" s="236">
        <f>MIN(AL7,EI7)</f>
        <v>0</v>
      </c>
      <c r="EK7" s="235" t="str">
        <f t="shared" ref="EK7:EK10" si="26">IF(ES7&gt;=4,1,"")</f>
        <v/>
      </c>
      <c r="EL7" s="238"/>
      <c r="EM7" s="238"/>
      <c r="EN7" s="238"/>
      <c r="EO7" s="238"/>
      <c r="EP7" s="238"/>
      <c r="EQ7" s="238"/>
      <c r="ER7" s="238"/>
      <c r="ES7" s="235">
        <f t="shared" ref="ES7:ES10" si="27">SUM(EL7:ER7)</f>
        <v>0</v>
      </c>
      <c r="ET7" s="236">
        <f t="shared" ref="ET7:ET10" si="28">IF(ES7&gt;=4,200,0)</f>
        <v>0</v>
      </c>
      <c r="EU7" s="236">
        <f>MIN(AV7,ET7)</f>
        <v>0</v>
      </c>
      <c r="EV7" s="238"/>
      <c r="EW7" s="238"/>
      <c r="EX7" s="238"/>
      <c r="EY7" s="238"/>
      <c r="EZ7" s="238"/>
      <c r="FA7" s="236">
        <f>IF(D7="新築",MIN(1500,CH7,MIN(DG7+DL7+DQ7+DZ7+EE7+EJ7+EU7,1000)),0)</f>
        <v>0</v>
      </c>
      <c r="FB7" s="236">
        <f t="shared" si="8"/>
        <v>0</v>
      </c>
      <c r="FC7" s="238">
        <v>5</v>
      </c>
      <c r="FD7" s="246">
        <v>3</v>
      </c>
      <c r="FE7" s="246" t="s">
        <v>369</v>
      </c>
      <c r="FF7" s="238">
        <v>8</v>
      </c>
      <c r="FG7" s="238" t="s">
        <v>370</v>
      </c>
      <c r="FH7" s="236">
        <f t="shared" ref="FH7:FH10" si="29">MIN(ROUNDDOWN(FD7,1)*20+INT(FF7)*2,250)</f>
        <v>76</v>
      </c>
      <c r="FI7" s="236">
        <f t="shared" si="9"/>
        <v>76</v>
      </c>
      <c r="FJ7" s="235">
        <f t="shared" ref="FJ7:FJ10" si="30">IF(OR(FK7=1,FL7=1),1,"")</f>
        <v>1</v>
      </c>
      <c r="FK7" s="238">
        <v>1</v>
      </c>
      <c r="FL7" s="238"/>
      <c r="FM7" s="236" t="e">
        <f>IF(AND(FH7&gt;0,FJ7=1,#REF!=""),100,0)</f>
        <v>#REF!</v>
      </c>
      <c r="FN7" s="236" t="e">
        <f t="shared" si="10"/>
        <v>#REF!</v>
      </c>
      <c r="FO7" s="235" t="str">
        <f t="shared" ref="FO7:FO10" si="31">IF(OR(FP7=1,FQ7=1,FR7=1),1,"")</f>
        <v/>
      </c>
      <c r="FP7" s="238"/>
      <c r="FQ7" s="238"/>
      <c r="FR7" s="238"/>
      <c r="FS7" s="236">
        <f t="shared" ref="FS7:FS10" si="32">IF(AND(FH7&gt;0,FO7=1),100,IF(AND(FH7&gt;0,FR7=1),100,0))</f>
        <v>0</v>
      </c>
      <c r="FT7" s="236">
        <f t="shared" si="11"/>
        <v>0</v>
      </c>
      <c r="FU7" s="235">
        <f t="shared" ref="FU7:FU10" si="33">IF(OR(AND(FV7&gt;=7,FW7&gt;=7,FV7+FW7&gt;=14),AND(FV7&gt;=7,FX7&gt;=3,FV7+FX7&gt;=10),AND(FW7&gt;=7,FX7&gt;=3,FW7+FX7&gt;=10)),1,"")</f>
        <v>1</v>
      </c>
      <c r="FV7" s="238">
        <v>7</v>
      </c>
      <c r="FW7" s="238"/>
      <c r="FX7" s="238">
        <v>3</v>
      </c>
      <c r="FY7" s="236">
        <f t="shared" ref="FY7:FY11" si="34">IF(AND(FU7=1,FH7&gt;0),MIN(150,ROUNDDOWN(FV7*11+FW7*13+FX7*19,0)),0)</f>
        <v>134</v>
      </c>
      <c r="FZ7" s="236">
        <f t="shared" si="12"/>
        <v>134</v>
      </c>
      <c r="GA7" s="238"/>
      <c r="GB7" s="238" t="s">
        <v>371</v>
      </c>
      <c r="GC7" s="236" t="e">
        <f>IF(D7="改修",MIN(500,FI7+FN7+FT7+FZ7,INT(CM7*10/2)),0)</f>
        <v>#REF!</v>
      </c>
      <c r="GD7" s="236" t="e">
        <f t="shared" si="13"/>
        <v>#REF!</v>
      </c>
      <c r="GE7" s="231" t="s">
        <v>360</v>
      </c>
      <c r="GF7" s="232">
        <v>43332</v>
      </c>
      <c r="GG7" s="232">
        <v>43343</v>
      </c>
      <c r="GH7" s="232">
        <v>43358</v>
      </c>
      <c r="GI7" s="244" t="e">
        <f>IF(D7="新築",AZ7,IF(D7="改修",BT7,0))</f>
        <v>#REF!</v>
      </c>
      <c r="GJ7" s="244" t="e">
        <f t="shared" si="14"/>
        <v>#REF!</v>
      </c>
      <c r="GK7" s="244" t="e">
        <f t="shared" ref="GK7:GK10" si="35">GI7-GJ7</f>
        <v>#REF!</v>
      </c>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c r="IW7" s="96"/>
      <c r="IX7" s="96"/>
      <c r="IY7" s="96"/>
      <c r="IZ7" s="96"/>
      <c r="JA7" s="96"/>
      <c r="JB7" s="96"/>
      <c r="JC7" s="96"/>
      <c r="JD7" s="96"/>
      <c r="JE7" s="96"/>
      <c r="JF7" s="96"/>
      <c r="JG7" s="96"/>
      <c r="JH7" s="96"/>
      <c r="JI7" s="96"/>
      <c r="JJ7" s="96"/>
      <c r="JK7" s="96"/>
      <c r="JL7" s="96"/>
      <c r="JM7" s="96"/>
      <c r="JN7" s="96"/>
      <c r="JO7" s="96"/>
      <c r="JP7" s="96"/>
      <c r="JQ7" s="96"/>
      <c r="JR7" s="96"/>
      <c r="JS7" s="96"/>
      <c r="JT7" s="96"/>
      <c r="JU7" s="96"/>
      <c r="JV7" s="96"/>
      <c r="JW7" s="96"/>
      <c r="JX7" s="96"/>
      <c r="JY7" s="96"/>
      <c r="JZ7" s="96"/>
      <c r="KA7" s="96"/>
      <c r="KB7" s="96"/>
      <c r="KC7" s="96"/>
      <c r="KD7" s="96"/>
      <c r="KE7" s="96"/>
      <c r="KF7" s="96"/>
      <c r="KG7" s="96"/>
      <c r="KH7" s="96"/>
      <c r="KI7" s="96"/>
      <c r="KJ7" s="96"/>
      <c r="KK7" s="96"/>
      <c r="KL7" s="96"/>
      <c r="KM7" s="96"/>
      <c r="KN7" s="96"/>
      <c r="KO7" s="96"/>
      <c r="KP7" s="96"/>
      <c r="KQ7" s="96"/>
      <c r="KR7" s="96"/>
      <c r="KS7" s="96"/>
      <c r="KT7" s="96"/>
      <c r="KU7" s="96"/>
      <c r="KV7" s="96"/>
      <c r="KW7" s="96"/>
      <c r="KX7" s="96"/>
      <c r="KY7" s="96"/>
      <c r="KZ7" s="96"/>
      <c r="LA7" s="96"/>
      <c r="LB7" s="96"/>
      <c r="LC7" s="96"/>
      <c r="LD7" s="96"/>
      <c r="LE7" s="96"/>
      <c r="LF7" s="96"/>
      <c r="LG7" s="96"/>
      <c r="LH7" s="96"/>
      <c r="LI7" s="96"/>
      <c r="LJ7" s="96"/>
      <c r="LK7" s="96"/>
      <c r="LL7" s="96"/>
      <c r="LM7" s="96"/>
      <c r="LN7" s="96"/>
      <c r="LO7" s="96"/>
      <c r="LP7" s="96"/>
      <c r="LQ7" s="96"/>
      <c r="LR7" s="96"/>
      <c r="LS7" s="96"/>
      <c r="LT7" s="96"/>
      <c r="LU7" s="96"/>
      <c r="LV7" s="96"/>
      <c r="LW7" s="96"/>
      <c r="LX7" s="96"/>
      <c r="LY7" s="96"/>
      <c r="LZ7" s="96"/>
      <c r="MA7" s="96"/>
      <c r="MB7" s="96"/>
      <c r="MC7" s="96"/>
      <c r="MD7" s="96"/>
      <c r="ME7" s="96"/>
      <c r="MF7" s="96"/>
      <c r="MG7" s="96"/>
      <c r="MH7" s="96"/>
      <c r="MI7" s="96"/>
      <c r="MJ7" s="96"/>
      <c r="MK7" s="96"/>
      <c r="ML7" s="96"/>
      <c r="MM7" s="96"/>
      <c r="MN7" s="96"/>
      <c r="MO7" s="96"/>
      <c r="MP7" s="96"/>
      <c r="MQ7" s="96"/>
      <c r="MR7" s="96"/>
      <c r="MS7" s="96"/>
      <c r="MT7" s="96"/>
      <c r="MU7" s="96"/>
      <c r="MV7" s="96"/>
      <c r="MW7" s="96"/>
      <c r="MX7" s="96"/>
      <c r="MY7" s="96"/>
      <c r="MZ7" s="96"/>
      <c r="NA7" s="96"/>
      <c r="NB7" s="96"/>
      <c r="NC7" s="96"/>
      <c r="ND7" s="96"/>
      <c r="NE7" s="96"/>
      <c r="NF7" s="96"/>
      <c r="NG7" s="96"/>
      <c r="NH7" s="96"/>
      <c r="NI7" s="96"/>
      <c r="NJ7" s="96"/>
      <c r="NK7" s="96"/>
      <c r="NL7" s="96"/>
      <c r="NM7" s="96"/>
      <c r="NN7" s="96"/>
      <c r="NO7" s="96"/>
      <c r="NP7" s="96"/>
      <c r="NQ7" s="96"/>
      <c r="NR7" s="96"/>
      <c r="NS7" s="96"/>
      <c r="NT7" s="96"/>
      <c r="NU7" s="96"/>
      <c r="NV7" s="96"/>
      <c r="NW7" s="96"/>
      <c r="NX7" s="96"/>
      <c r="NY7" s="96"/>
      <c r="NZ7" s="96"/>
      <c r="OA7" s="96"/>
      <c r="OB7" s="96"/>
      <c r="OC7" s="96"/>
      <c r="OD7" s="96"/>
      <c r="OE7" s="96"/>
      <c r="OF7" s="96"/>
      <c r="OG7" s="96"/>
      <c r="OH7" s="96"/>
      <c r="OI7" s="96"/>
      <c r="OJ7" s="96"/>
      <c r="OK7" s="96"/>
      <c r="OL7" s="96"/>
      <c r="OM7" s="96"/>
      <c r="ON7" s="96"/>
      <c r="OO7" s="96"/>
      <c r="OP7" s="96"/>
      <c r="OQ7" s="96"/>
      <c r="OR7" s="96"/>
      <c r="OS7" s="96"/>
      <c r="OT7" s="96"/>
      <c r="OU7" s="96"/>
      <c r="OV7" s="96"/>
      <c r="OW7" s="96"/>
      <c r="OX7" s="96"/>
      <c r="OY7" s="96"/>
      <c r="OZ7" s="96"/>
      <c r="PA7" s="96"/>
      <c r="PB7" s="96"/>
      <c r="PC7" s="96"/>
      <c r="PD7" s="96"/>
      <c r="PE7" s="96"/>
      <c r="PF7" s="96"/>
      <c r="PG7" s="96"/>
      <c r="PH7" s="96"/>
      <c r="PI7" s="96"/>
      <c r="PJ7" s="96"/>
      <c r="PK7" s="96"/>
      <c r="PL7" s="96"/>
      <c r="PM7" s="96"/>
      <c r="PN7" s="96"/>
      <c r="PO7" s="96"/>
      <c r="PP7" s="96"/>
      <c r="PQ7" s="96"/>
      <c r="PR7" s="96"/>
      <c r="PS7" s="96"/>
      <c r="PT7" s="96"/>
      <c r="PU7" s="96"/>
      <c r="PV7" s="96"/>
      <c r="PW7" s="96"/>
      <c r="PX7" s="96"/>
      <c r="PY7" s="96"/>
      <c r="PZ7" s="96"/>
      <c r="QA7" s="96"/>
      <c r="QB7" s="96"/>
      <c r="QC7" s="96"/>
      <c r="QD7" s="96"/>
      <c r="QE7" s="96"/>
      <c r="QF7" s="96"/>
      <c r="QG7" s="96"/>
      <c r="QH7" s="96"/>
      <c r="QI7" s="96"/>
      <c r="QJ7" s="96"/>
      <c r="QK7" s="96"/>
      <c r="QL7" s="96"/>
      <c r="QM7" s="96"/>
      <c r="QN7" s="96"/>
      <c r="QO7" s="96"/>
      <c r="QP7" s="96"/>
      <c r="QQ7" s="96"/>
      <c r="QR7" s="96"/>
      <c r="QS7" s="96"/>
      <c r="QT7" s="96"/>
      <c r="QU7" s="96"/>
      <c r="QV7" s="96"/>
      <c r="QW7" s="96"/>
      <c r="QX7" s="96"/>
      <c r="QY7" s="96"/>
      <c r="QZ7" s="96"/>
      <c r="RA7" s="96"/>
      <c r="RB7" s="96"/>
      <c r="RC7" s="96"/>
      <c r="RD7" s="96"/>
      <c r="RE7" s="96"/>
      <c r="RF7" s="96"/>
      <c r="RG7" s="96"/>
      <c r="RH7" s="96"/>
      <c r="RI7" s="96"/>
      <c r="RJ7" s="96"/>
      <c r="RK7" s="96"/>
      <c r="RL7" s="96"/>
      <c r="RM7" s="96"/>
      <c r="RN7" s="96"/>
      <c r="RO7" s="96"/>
      <c r="RP7" s="96"/>
      <c r="RQ7" s="96"/>
      <c r="RR7" s="96"/>
      <c r="RS7" s="96"/>
      <c r="RT7" s="96"/>
      <c r="RU7" s="96"/>
      <c r="RV7" s="96"/>
      <c r="RW7" s="96"/>
      <c r="RX7" s="96"/>
      <c r="RY7" s="96"/>
      <c r="RZ7" s="96"/>
      <c r="SA7" s="96"/>
      <c r="SB7" s="96"/>
      <c r="SC7" s="96"/>
      <c r="SD7" s="96"/>
      <c r="SE7" s="96"/>
      <c r="SF7" s="96"/>
      <c r="SG7" s="96"/>
      <c r="SH7" s="96"/>
      <c r="SI7" s="96"/>
      <c r="SJ7" s="96"/>
      <c r="SK7" s="96"/>
      <c r="SL7" s="96"/>
      <c r="SM7" s="96"/>
      <c r="SN7" s="96"/>
      <c r="SO7" s="96"/>
      <c r="SP7" s="96"/>
      <c r="SQ7" s="96"/>
      <c r="SR7" s="96"/>
      <c r="SS7" s="96"/>
      <c r="ST7" s="96"/>
      <c r="SU7" s="96"/>
      <c r="SV7" s="96"/>
      <c r="SW7" s="96"/>
      <c r="SX7" s="96"/>
      <c r="SY7" s="96"/>
      <c r="SZ7" s="96"/>
      <c r="TA7" s="96"/>
      <c r="TB7" s="96"/>
      <c r="TC7" s="96"/>
      <c r="TD7" s="96"/>
      <c r="TE7" s="96"/>
      <c r="TF7" s="96"/>
      <c r="TG7" s="96"/>
      <c r="TH7" s="96"/>
      <c r="TI7" s="96"/>
      <c r="TJ7" s="96"/>
      <c r="TK7" s="96"/>
      <c r="TL7" s="96"/>
      <c r="TM7" s="96"/>
      <c r="TN7" s="96"/>
      <c r="TO7" s="96"/>
      <c r="TP7" s="96"/>
      <c r="TQ7" s="96"/>
      <c r="TR7" s="96"/>
      <c r="TS7" s="96"/>
      <c r="TT7" s="96"/>
      <c r="TU7" s="96"/>
      <c r="TV7" s="96"/>
      <c r="TW7" s="96"/>
      <c r="TX7" s="96"/>
      <c r="TY7" s="96"/>
      <c r="TZ7" s="96"/>
      <c r="UA7" s="96"/>
      <c r="UB7" s="96"/>
      <c r="UC7" s="96"/>
      <c r="UD7" s="96"/>
      <c r="UE7" s="96"/>
      <c r="UF7" s="96"/>
      <c r="UG7" s="96"/>
      <c r="UH7" s="96"/>
      <c r="UI7" s="96"/>
      <c r="UJ7" s="96"/>
      <c r="UK7" s="96"/>
      <c r="UL7" s="96"/>
      <c r="UM7" s="96"/>
      <c r="UN7" s="96"/>
      <c r="UO7" s="96"/>
      <c r="UP7" s="96"/>
      <c r="UQ7" s="96"/>
      <c r="UR7" s="96"/>
      <c r="US7" s="96"/>
      <c r="UT7" s="96"/>
      <c r="UU7" s="96"/>
      <c r="UV7" s="96"/>
      <c r="UW7" s="96"/>
      <c r="UX7" s="96"/>
      <c r="UY7" s="96"/>
      <c r="UZ7" s="96"/>
      <c r="VA7" s="96"/>
      <c r="VB7" s="96"/>
      <c r="VC7" s="96"/>
      <c r="VD7" s="96"/>
      <c r="VE7" s="96"/>
      <c r="VF7" s="96"/>
      <c r="VG7" s="96"/>
      <c r="VH7" s="96"/>
      <c r="VI7" s="96"/>
      <c r="VJ7" s="96"/>
      <c r="VK7" s="96"/>
      <c r="VL7" s="96"/>
      <c r="VM7" s="96"/>
      <c r="VN7" s="96"/>
      <c r="VO7" s="96"/>
      <c r="VP7" s="96"/>
      <c r="VQ7" s="96"/>
      <c r="VR7" s="96"/>
      <c r="VS7" s="96"/>
      <c r="VT7" s="96"/>
      <c r="VU7" s="96"/>
      <c r="VV7" s="96"/>
      <c r="VW7" s="96"/>
      <c r="VX7" s="96"/>
      <c r="VY7" s="96"/>
      <c r="VZ7" s="96"/>
      <c r="WA7" s="96"/>
      <c r="WB7" s="96"/>
      <c r="WC7" s="96"/>
      <c r="WD7" s="96"/>
      <c r="WE7" s="96"/>
      <c r="WF7" s="96"/>
      <c r="WG7" s="96"/>
      <c r="WH7" s="96"/>
      <c r="WI7" s="96"/>
      <c r="WJ7" s="96"/>
      <c r="WK7" s="96"/>
      <c r="WL7" s="96"/>
      <c r="WM7" s="96"/>
      <c r="WN7" s="96"/>
      <c r="WO7" s="96"/>
      <c r="WP7" s="96"/>
      <c r="WQ7" s="96"/>
      <c r="WR7" s="96"/>
      <c r="WS7" s="96"/>
      <c r="WT7" s="96"/>
      <c r="WU7" s="96"/>
      <c r="WV7" s="96"/>
      <c r="WW7" s="96"/>
      <c r="WX7" s="96"/>
      <c r="WY7" s="96"/>
      <c r="WZ7" s="96"/>
      <c r="XA7" s="96"/>
      <c r="XB7" s="96"/>
      <c r="XC7" s="96"/>
      <c r="XD7" s="96"/>
      <c r="XE7" s="96"/>
      <c r="XF7" s="96"/>
      <c r="XG7" s="96"/>
      <c r="XH7" s="96"/>
      <c r="XI7" s="96"/>
      <c r="XJ7" s="96"/>
      <c r="XK7" s="96"/>
      <c r="XL7" s="96"/>
      <c r="XM7" s="96"/>
      <c r="XN7" s="96"/>
      <c r="XO7" s="96"/>
      <c r="XP7" s="96"/>
      <c r="XQ7" s="96"/>
      <c r="XR7" s="96"/>
      <c r="XS7" s="96"/>
      <c r="XT7" s="96"/>
      <c r="XU7" s="96"/>
      <c r="XV7" s="96"/>
      <c r="XW7" s="96"/>
      <c r="XX7" s="96"/>
      <c r="XY7" s="96"/>
      <c r="XZ7" s="96"/>
      <c r="YA7" s="96"/>
      <c r="YB7" s="96"/>
      <c r="YC7" s="96"/>
      <c r="YD7" s="96"/>
      <c r="YE7" s="96"/>
      <c r="YF7" s="96"/>
      <c r="YG7" s="96"/>
      <c r="YH7" s="96"/>
      <c r="YI7" s="96"/>
      <c r="YJ7" s="96"/>
      <c r="YK7" s="96"/>
      <c r="YL7" s="96"/>
      <c r="YM7" s="96"/>
      <c r="YN7" s="96"/>
      <c r="YO7" s="96"/>
      <c r="YP7" s="96"/>
      <c r="YQ7" s="96"/>
      <c r="YR7" s="96"/>
      <c r="YS7" s="96"/>
      <c r="YT7" s="96"/>
      <c r="YU7" s="96"/>
      <c r="YV7" s="96"/>
      <c r="YW7" s="96"/>
      <c r="YX7" s="96"/>
      <c r="YY7" s="96"/>
      <c r="YZ7" s="96"/>
      <c r="ZA7" s="96"/>
      <c r="ZB7" s="96"/>
      <c r="ZC7" s="96"/>
      <c r="ZD7" s="96"/>
      <c r="ZE7" s="96"/>
      <c r="ZF7" s="96"/>
      <c r="ZG7" s="96"/>
      <c r="ZH7" s="96"/>
      <c r="ZI7" s="96"/>
      <c r="ZJ7" s="96"/>
      <c r="ZK7" s="96"/>
      <c r="ZL7" s="96"/>
      <c r="ZM7" s="96"/>
      <c r="ZN7" s="96"/>
      <c r="ZO7" s="96"/>
      <c r="ZP7" s="96"/>
      <c r="ZQ7" s="96"/>
      <c r="ZR7" s="96"/>
      <c r="ZS7" s="96"/>
      <c r="ZT7" s="96"/>
      <c r="ZU7" s="96"/>
      <c r="ZV7" s="96"/>
      <c r="ZW7" s="96"/>
      <c r="ZX7" s="96"/>
      <c r="ZY7" s="96"/>
      <c r="ZZ7" s="96"/>
      <c r="AAA7" s="96"/>
      <c r="AAB7" s="96"/>
      <c r="AAC7" s="96"/>
      <c r="AAD7" s="96"/>
      <c r="AAE7" s="96"/>
      <c r="AAF7" s="96"/>
      <c r="AAG7" s="96"/>
      <c r="AAH7" s="96"/>
      <c r="AAI7" s="96"/>
      <c r="AAJ7" s="96"/>
      <c r="AAK7" s="96"/>
      <c r="AAL7" s="96"/>
      <c r="AAM7" s="96"/>
      <c r="AAN7" s="96"/>
      <c r="AAO7" s="96"/>
      <c r="AAP7" s="96"/>
      <c r="AAQ7" s="96"/>
      <c r="AAR7" s="96"/>
      <c r="AAS7" s="96"/>
      <c r="AAT7" s="96"/>
      <c r="AAU7" s="96"/>
      <c r="AAV7" s="96"/>
      <c r="AAW7" s="96"/>
      <c r="AAX7" s="96"/>
      <c r="AAY7" s="96"/>
      <c r="AAZ7" s="96"/>
      <c r="ABA7" s="96"/>
      <c r="ABB7" s="96"/>
      <c r="ABC7" s="96"/>
      <c r="ABD7" s="96"/>
      <c r="ABE7" s="96"/>
      <c r="ABF7" s="96"/>
      <c r="ABG7" s="96"/>
      <c r="ABH7" s="96"/>
      <c r="ABI7" s="96"/>
      <c r="ABJ7" s="96"/>
      <c r="ABK7" s="96"/>
      <c r="ABL7" s="96"/>
      <c r="ABM7" s="96"/>
      <c r="ABN7" s="96"/>
      <c r="ABO7" s="96"/>
      <c r="ABP7" s="96"/>
      <c r="ABQ7" s="96"/>
      <c r="ABR7" s="96"/>
      <c r="ABS7" s="96"/>
      <c r="ABT7" s="96"/>
      <c r="ABU7" s="96"/>
      <c r="ABV7" s="96"/>
      <c r="ABW7" s="96"/>
      <c r="ABX7" s="96"/>
      <c r="ABY7" s="96"/>
      <c r="ABZ7" s="96"/>
      <c r="ACA7" s="96"/>
      <c r="ACB7" s="96"/>
      <c r="ACC7" s="96"/>
      <c r="ACD7" s="96"/>
      <c r="ACE7" s="96"/>
      <c r="ACF7" s="96"/>
      <c r="ACG7" s="96"/>
      <c r="ACH7" s="96"/>
      <c r="ACI7" s="96"/>
      <c r="ACJ7" s="96"/>
      <c r="ACK7" s="96"/>
      <c r="ACL7" s="96"/>
      <c r="ACM7" s="96"/>
      <c r="ACN7" s="96"/>
      <c r="ACO7" s="96"/>
      <c r="ACP7" s="96"/>
      <c r="ACQ7" s="96"/>
      <c r="ACR7" s="96"/>
      <c r="ACS7" s="96"/>
      <c r="ACT7" s="96"/>
      <c r="ACU7" s="96"/>
      <c r="ACV7" s="96"/>
      <c r="ACW7" s="96"/>
      <c r="ACX7" s="96"/>
      <c r="ACY7" s="96"/>
      <c r="ACZ7" s="96"/>
      <c r="ADA7" s="96"/>
      <c r="ADB7" s="96"/>
      <c r="ADC7" s="96"/>
      <c r="ADD7" s="96"/>
      <c r="ADE7" s="96"/>
      <c r="ADF7" s="96"/>
      <c r="ADG7" s="96"/>
      <c r="ADH7" s="96"/>
      <c r="ADI7" s="96"/>
      <c r="ADJ7" s="96"/>
      <c r="ADK7" s="96"/>
      <c r="ADL7" s="96"/>
      <c r="ADM7" s="96"/>
      <c r="ADN7" s="96"/>
      <c r="ADO7" s="96"/>
      <c r="ADP7" s="96"/>
      <c r="ADQ7" s="96"/>
      <c r="ADR7" s="96"/>
      <c r="ADS7" s="96"/>
      <c r="ADT7" s="96"/>
      <c r="ADU7" s="96"/>
      <c r="ADV7" s="96"/>
      <c r="ADW7" s="96"/>
      <c r="ADX7" s="96"/>
      <c r="ADY7" s="96"/>
      <c r="ADZ7" s="96"/>
      <c r="AEA7" s="96"/>
      <c r="AEB7" s="96"/>
      <c r="AEC7" s="96"/>
      <c r="AED7" s="96"/>
      <c r="AEE7" s="96"/>
      <c r="AEF7" s="96"/>
      <c r="AEG7" s="96"/>
      <c r="AEH7" s="96"/>
      <c r="AEI7" s="96"/>
      <c r="AEJ7" s="96"/>
      <c r="AEK7" s="96"/>
      <c r="AEL7" s="96"/>
      <c r="AEM7" s="96"/>
      <c r="AEN7" s="96"/>
      <c r="AEO7" s="96"/>
      <c r="AEP7" s="96"/>
      <c r="AEQ7" s="96"/>
      <c r="AER7" s="96"/>
      <c r="AES7" s="96"/>
      <c r="AET7" s="96"/>
      <c r="AEU7" s="96"/>
      <c r="AEV7" s="96"/>
      <c r="AEW7" s="96"/>
      <c r="AEX7" s="96"/>
      <c r="AEY7" s="96"/>
      <c r="AEZ7" s="96"/>
      <c r="AFA7" s="96"/>
      <c r="AFB7" s="96"/>
      <c r="AFC7" s="96"/>
      <c r="AFD7" s="96"/>
      <c r="AFE7" s="96"/>
      <c r="AFF7" s="96"/>
      <c r="AFG7" s="96"/>
      <c r="AFH7" s="96"/>
      <c r="AFI7" s="96"/>
      <c r="AFJ7" s="96"/>
      <c r="AFK7" s="96"/>
      <c r="AFL7" s="96"/>
      <c r="AFM7" s="96"/>
      <c r="AFN7" s="96"/>
      <c r="AFO7" s="96"/>
      <c r="AFP7" s="96"/>
      <c r="AFQ7" s="96"/>
      <c r="AFR7" s="96"/>
      <c r="AFS7" s="96"/>
      <c r="AFT7" s="96"/>
      <c r="AFU7" s="96"/>
      <c r="AFV7" s="96"/>
      <c r="AFW7" s="96"/>
      <c r="AFX7" s="96"/>
      <c r="AFY7" s="96"/>
      <c r="AFZ7" s="96"/>
      <c r="AGA7" s="96"/>
      <c r="AGB7" s="96"/>
      <c r="AGC7" s="96"/>
      <c r="AGD7" s="96"/>
      <c r="AGE7" s="96"/>
      <c r="AGF7" s="96"/>
      <c r="AGG7" s="96"/>
      <c r="AGH7" s="96"/>
      <c r="AGI7" s="96"/>
      <c r="AGJ7" s="96"/>
      <c r="AGK7" s="96"/>
      <c r="AGL7" s="96"/>
      <c r="AGM7" s="96"/>
    </row>
    <row r="8" spans="2:871" hidden="1" x14ac:dyDescent="0.2">
      <c r="B8" s="227" t="str">
        <f t="shared" si="0"/>
        <v/>
      </c>
      <c r="C8" s="228" t="s">
        <v>372</v>
      </c>
      <c r="D8" s="229" t="s">
        <v>373</v>
      </c>
      <c r="E8" s="230" t="str">
        <f t="shared" si="15"/>
        <v>登録</v>
      </c>
      <c r="F8" s="231"/>
      <c r="G8" s="231"/>
      <c r="H8" s="232">
        <v>43191</v>
      </c>
      <c r="I8" s="233" t="s">
        <v>352</v>
      </c>
      <c r="J8" s="234" t="s">
        <v>374</v>
      </c>
      <c r="K8" s="233"/>
      <c r="L8" s="234" t="s">
        <v>375</v>
      </c>
      <c r="M8" s="234" t="s">
        <v>82</v>
      </c>
      <c r="N8" s="233" t="s">
        <v>376</v>
      </c>
      <c r="O8" s="235">
        <v>25</v>
      </c>
      <c r="P8" s="235">
        <v>20</v>
      </c>
      <c r="Q8" s="236">
        <f t="shared" ref="Q8:Q10" si="36">IF(P8&gt;=10,150,0)</f>
        <v>150</v>
      </c>
      <c r="R8" s="235">
        <f t="shared" ref="R8:R10" si="37">IF(S8&gt;=1,1,"")</f>
        <v>1</v>
      </c>
      <c r="S8" s="235">
        <v>15</v>
      </c>
      <c r="T8" s="237">
        <f t="shared" ref="T8:T10" si="38">IF(Q8=0,0,IF(S8&gt;=25,MIN(250,ROUNDDOWN(S8*10,-1)),IF(S8&gt;=20,MIN(200,ROUNDDOWN(S8*10,-1)),IF(S8&gt;=15,MIN(150,ROUNDDOWN(S8*10,-1)),MIN(100,ROUNDDOWN(S8*10,-1))))))</f>
        <v>150</v>
      </c>
      <c r="U8" s="235">
        <f t="shared" ref="U8:U10" si="39">IF(V8&gt;=1,1,"")</f>
        <v>1</v>
      </c>
      <c r="V8" s="235">
        <v>3</v>
      </c>
      <c r="W8" s="237">
        <f t="shared" ref="W8:W10" si="40">IF(AND(Q8&gt;0,V8&gt;=1),MIN(INT(V8)*20,200),0)</f>
        <v>60</v>
      </c>
      <c r="X8" s="235" t="str">
        <f t="shared" ref="X8:X10" si="41">IF(Y8&gt;=1,1,"")</f>
        <v/>
      </c>
      <c r="Y8" s="235"/>
      <c r="Z8" s="235">
        <f t="shared" ref="Z8:Z10" si="42">IF(Y8&gt;=1,50,0)</f>
        <v>0</v>
      </c>
      <c r="AA8" s="236">
        <f t="shared" si="1"/>
        <v>100</v>
      </c>
      <c r="AB8" s="235">
        <f t="shared" ref="AB8:AB10" si="43">IF(AC8&gt;=1,1,"")</f>
        <v>1</v>
      </c>
      <c r="AC8" s="235">
        <v>50</v>
      </c>
      <c r="AD8" s="235">
        <f t="shared" si="2"/>
        <v>100</v>
      </c>
      <c r="AE8" s="235">
        <f t="shared" ref="AE8:AE10" si="44">IF(OR(AF8=1,AG8=1),1,"")</f>
        <v>1</v>
      </c>
      <c r="AF8" s="235">
        <v>1</v>
      </c>
      <c r="AG8" s="235"/>
      <c r="AH8" s="236" t="e">
        <f>IF(AND(Q8&gt;0,AE8=1,#REF!=""),100,0)</f>
        <v>#REF!</v>
      </c>
      <c r="AI8" s="235">
        <f t="shared" ref="AI8:AI10" si="45">IF(OR(AJ8=1,AK8=1),1,"")</f>
        <v>1</v>
      </c>
      <c r="AJ8" s="235"/>
      <c r="AK8" s="235">
        <v>1</v>
      </c>
      <c r="AL8" s="236">
        <f t="shared" si="3"/>
        <v>100</v>
      </c>
      <c r="AM8" s="235" t="str">
        <f t="shared" ref="AM8:AM10" si="46">IF(AU8&gt;=4,1,"")</f>
        <v/>
      </c>
      <c r="AN8" s="235"/>
      <c r="AO8" s="235"/>
      <c r="AP8" s="235"/>
      <c r="AQ8" s="235"/>
      <c r="AR8" s="235"/>
      <c r="AS8" s="235"/>
      <c r="AT8" s="235"/>
      <c r="AU8" s="235">
        <f t="shared" ref="AU8:AU10" si="47">SUM(AN8:AT8)</f>
        <v>0</v>
      </c>
      <c r="AV8" s="236">
        <f t="shared" ref="AV8:AV10" si="48">IF(AU8&gt;=4,200,0)</f>
        <v>0</v>
      </c>
      <c r="AW8" s="238"/>
      <c r="AX8" s="238"/>
      <c r="AY8" s="238"/>
      <c r="AZ8" s="236" t="e">
        <f>IF(OR(D8="新築",D8="登録"),MIN(1000,Q8+T8+W8+AA8+AH8+AL8+AV8),0)</f>
        <v>#REF!</v>
      </c>
      <c r="BA8" s="238"/>
      <c r="BB8" s="239"/>
      <c r="BC8" s="238"/>
      <c r="BD8" s="236">
        <f t="shared" ref="BD8:BD10" si="49">MIN(ROUNDDOWN(BB8,1)*20+INT(BC8)*2,250)</f>
        <v>0</v>
      </c>
      <c r="BE8" s="235" t="str">
        <f t="shared" ref="BE8:BE10" si="50">IF(OR(BF8=1,BG8=1),1,"")</f>
        <v/>
      </c>
      <c r="BF8" s="238"/>
      <c r="BG8" s="238"/>
      <c r="BH8" s="236" t="e">
        <f>IF(AND(BD8&gt;0,BE8=1,#REF!=""),100,0)</f>
        <v>#REF!</v>
      </c>
      <c r="BI8" s="235" t="str">
        <f t="shared" ref="BI8:BI10" si="51">IF(OR(BJ8=1,BK8=1,BL8=1),1,"")</f>
        <v/>
      </c>
      <c r="BJ8" s="238"/>
      <c r="BK8" s="238"/>
      <c r="BL8" s="238"/>
      <c r="BM8" s="236">
        <f t="shared" ref="BM8:BM10" si="52">IF(AND(BD8&gt;0,BI8=1),100,IF(AND(BD8&gt;0,BL8=1),100,0))</f>
        <v>0</v>
      </c>
      <c r="BN8" s="235" t="str">
        <f t="shared" ref="BN8:BN10" si="53">IF(OR(AND(BO8&gt;=7,BP8&gt;=7,BO8+BP8&gt;=14),AND(BO8&gt;=7,BQ8&gt;=3,BO8+BQ8&gt;=10),AND(BP8&gt;=7,BQ8&gt;=3,BP8+BQ8&gt;=10)),1,"")</f>
        <v/>
      </c>
      <c r="BO8" s="238"/>
      <c r="BP8" s="238"/>
      <c r="BQ8" s="238"/>
      <c r="BR8" s="236">
        <f t="shared" ref="BR8:BR10" si="54">IF(AND(BN8=1,BD8&gt;0),MIN(150,ROUNDDOWN(BO8*11+BP8*13+BQ8*19,0)),0)</f>
        <v>0</v>
      </c>
      <c r="BS8" s="238"/>
      <c r="BT8" s="236">
        <f>IF(D8="改修",MIN(500,BD8+BH8+BM8+BR8,INT(CM8*10/2)),0)</f>
        <v>0</v>
      </c>
      <c r="BU8" s="240"/>
      <c r="BV8" s="241" t="s">
        <v>8</v>
      </c>
      <c r="BW8" s="242"/>
      <c r="BX8" s="241" t="s">
        <v>351</v>
      </c>
      <c r="BY8" s="242"/>
      <c r="BZ8" s="243" t="s">
        <v>7</v>
      </c>
      <c r="CA8" s="240"/>
      <c r="CB8" s="241" t="s">
        <v>8</v>
      </c>
      <c r="CC8" s="242"/>
      <c r="CD8" s="241" t="s">
        <v>351</v>
      </c>
      <c r="CE8" s="242"/>
      <c r="CF8" s="243" t="s">
        <v>7</v>
      </c>
      <c r="CG8" s="232">
        <v>43198</v>
      </c>
      <c r="CH8" s="244" t="e">
        <f t="shared" si="16"/>
        <v>#REF!</v>
      </c>
      <c r="CI8" s="233" t="s">
        <v>352</v>
      </c>
      <c r="CJ8" s="233" t="s">
        <v>353</v>
      </c>
      <c r="CK8" s="229" t="s">
        <v>377</v>
      </c>
      <c r="CL8" s="233">
        <v>100</v>
      </c>
      <c r="CM8" s="245">
        <v>2200</v>
      </c>
      <c r="CN8" s="234" t="s">
        <v>355</v>
      </c>
      <c r="CO8" s="232"/>
      <c r="CP8" s="231"/>
      <c r="CQ8" s="231"/>
      <c r="CR8" s="232"/>
      <c r="CS8" s="232"/>
      <c r="CT8" s="231"/>
      <c r="CU8" s="231"/>
      <c r="CV8" s="231"/>
      <c r="CW8" s="231"/>
      <c r="CX8" s="231"/>
      <c r="CY8" s="231"/>
      <c r="CZ8" s="231"/>
      <c r="DA8"/>
      <c r="DB8" s="231"/>
      <c r="DC8" s="238"/>
      <c r="DD8" s="238"/>
      <c r="DE8" s="238"/>
      <c r="DF8" s="236">
        <f t="shared" si="4"/>
        <v>0</v>
      </c>
      <c r="DG8" s="236">
        <f>MIN(Q8,DF8)</f>
        <v>0</v>
      </c>
      <c r="DH8" s="235" t="str">
        <f t="shared" si="17"/>
        <v/>
      </c>
      <c r="DI8" s="238"/>
      <c r="DJ8" s="238"/>
      <c r="DK8" s="237">
        <f t="shared" si="18"/>
        <v>0</v>
      </c>
      <c r="DL8" s="236">
        <f>MIN(T8,DK8)</f>
        <v>0</v>
      </c>
      <c r="DM8" s="235" t="str">
        <f t="shared" si="19"/>
        <v/>
      </c>
      <c r="DN8" s="238"/>
      <c r="DO8" s="238"/>
      <c r="DP8" s="237">
        <f t="shared" si="20"/>
        <v>0</v>
      </c>
      <c r="DQ8" s="236">
        <f>MIN(W8,DP8)</f>
        <v>0</v>
      </c>
      <c r="DR8" s="235" t="str">
        <f t="shared" si="21"/>
        <v/>
      </c>
      <c r="DS8" s="238"/>
      <c r="DT8" s="235">
        <f t="shared" si="5"/>
        <v>0</v>
      </c>
      <c r="DU8" s="235" t="str">
        <f t="shared" si="22"/>
        <v/>
      </c>
      <c r="DV8" s="238"/>
      <c r="DW8" s="238"/>
      <c r="DX8" s="235">
        <f t="shared" si="23"/>
        <v>0</v>
      </c>
      <c r="DY8" s="236">
        <f t="shared" si="6"/>
        <v>0</v>
      </c>
      <c r="DZ8" s="236">
        <f>MIN(AA8,DY8)</f>
        <v>0</v>
      </c>
      <c r="EA8" s="235" t="str">
        <f t="shared" si="24"/>
        <v/>
      </c>
      <c r="EB8" s="238"/>
      <c r="EC8" s="238"/>
      <c r="ED8" s="236" t="e">
        <f>IF(AND(DF8&gt;0,EA8=1,#REF!=""),100,0)</f>
        <v>#REF!</v>
      </c>
      <c r="EE8" s="236" t="e">
        <f>MIN(AH8,ED8)</f>
        <v>#REF!</v>
      </c>
      <c r="EF8" s="235" t="str">
        <f t="shared" si="25"/>
        <v/>
      </c>
      <c r="EG8" s="238"/>
      <c r="EH8" s="238"/>
      <c r="EI8" s="236">
        <f t="shared" si="7"/>
        <v>0</v>
      </c>
      <c r="EJ8" s="236">
        <f>MIN(AL8,EI8)</f>
        <v>0</v>
      </c>
      <c r="EK8" s="235" t="str">
        <f t="shared" si="26"/>
        <v/>
      </c>
      <c r="EL8" s="238"/>
      <c r="EM8" s="238"/>
      <c r="EN8" s="238"/>
      <c r="EO8" s="238"/>
      <c r="EP8" s="238"/>
      <c r="EQ8" s="238"/>
      <c r="ER8" s="238"/>
      <c r="ES8" s="235">
        <f t="shared" si="27"/>
        <v>0</v>
      </c>
      <c r="ET8" s="236">
        <f t="shared" si="28"/>
        <v>0</v>
      </c>
      <c r="EU8" s="236">
        <f>MIN(AV8,ET8)</f>
        <v>0</v>
      </c>
      <c r="EV8" s="238"/>
      <c r="EW8" s="238"/>
      <c r="EX8" s="238"/>
      <c r="EY8" s="238"/>
      <c r="EZ8" s="238"/>
      <c r="FA8" s="236">
        <f>IF(D8="新築",MIN(1500,CH8,MIN(DG8+DL8+DQ8+DZ8+EE8+EJ8+EU8,1000)),0)</f>
        <v>0</v>
      </c>
      <c r="FB8" s="236" t="e">
        <f t="shared" si="8"/>
        <v>#REF!</v>
      </c>
      <c r="FC8" s="238"/>
      <c r="FD8" s="246"/>
      <c r="FE8" s="246"/>
      <c r="FF8" s="238"/>
      <c r="FG8" s="238"/>
      <c r="FH8" s="236">
        <f t="shared" si="29"/>
        <v>0</v>
      </c>
      <c r="FI8" s="236">
        <f t="shared" si="9"/>
        <v>0</v>
      </c>
      <c r="FJ8" s="235" t="str">
        <f t="shared" si="30"/>
        <v/>
      </c>
      <c r="FK8" s="238"/>
      <c r="FL8" s="238"/>
      <c r="FM8" s="236" t="e">
        <f>IF(AND(FH8&gt;0,FJ8=1,#REF!=""),100,0)</f>
        <v>#REF!</v>
      </c>
      <c r="FN8" s="236" t="e">
        <f t="shared" si="10"/>
        <v>#REF!</v>
      </c>
      <c r="FO8" s="235" t="str">
        <f t="shared" si="31"/>
        <v/>
      </c>
      <c r="FP8" s="238"/>
      <c r="FQ8" s="238"/>
      <c r="FR8" s="238"/>
      <c r="FS8" s="236">
        <f t="shared" si="32"/>
        <v>0</v>
      </c>
      <c r="FT8" s="236">
        <f t="shared" si="11"/>
        <v>0</v>
      </c>
      <c r="FU8" s="235" t="str">
        <f t="shared" si="33"/>
        <v/>
      </c>
      <c r="FV8" s="238"/>
      <c r="FW8" s="238"/>
      <c r="FX8" s="238"/>
      <c r="FY8" s="236">
        <f t="shared" si="34"/>
        <v>0</v>
      </c>
      <c r="FZ8" s="236">
        <f t="shared" si="12"/>
        <v>0</v>
      </c>
      <c r="GA8" s="238"/>
      <c r="GB8" s="238"/>
      <c r="GC8" s="236">
        <f>IF(D8="改修",MIN(500,FI8+FN8+FT8+FZ8,INT(CM8*10/2)),0)</f>
        <v>0</v>
      </c>
      <c r="GD8" s="236">
        <f t="shared" si="13"/>
        <v>0</v>
      </c>
      <c r="GE8" s="231"/>
      <c r="GF8" s="232"/>
      <c r="GG8" s="232"/>
      <c r="GH8" s="232"/>
      <c r="GI8" s="244">
        <f>IF(D8="新築",AZ8,IF(D8="改修",BT8,0))</f>
        <v>0</v>
      </c>
      <c r="GJ8" s="244">
        <f t="shared" si="14"/>
        <v>0</v>
      </c>
      <c r="GK8" s="244">
        <f t="shared" si="35"/>
        <v>0</v>
      </c>
    </row>
    <row r="9" spans="2:871" s="247" customFormat="1" hidden="1" x14ac:dyDescent="0.2">
      <c r="B9" s="227" t="str">
        <f t="shared" si="0"/>
        <v>支払済</v>
      </c>
      <c r="C9" s="228" t="s">
        <v>372</v>
      </c>
      <c r="D9" s="229" t="s">
        <v>343</v>
      </c>
      <c r="E9" s="230" t="str">
        <f t="shared" si="15"/>
        <v>建売購入</v>
      </c>
      <c r="F9" s="231"/>
      <c r="G9" s="231"/>
      <c r="H9" s="232">
        <v>43403</v>
      </c>
      <c r="I9" s="233" t="s">
        <v>378</v>
      </c>
      <c r="J9" s="234" t="s">
        <v>379</v>
      </c>
      <c r="K9" s="233"/>
      <c r="L9" s="234" t="s">
        <v>380</v>
      </c>
      <c r="M9" s="234" t="s">
        <v>381</v>
      </c>
      <c r="N9" s="233" t="s">
        <v>376</v>
      </c>
      <c r="O9" s="235">
        <v>25</v>
      </c>
      <c r="P9" s="235">
        <v>18</v>
      </c>
      <c r="Q9" s="236">
        <f t="shared" si="36"/>
        <v>150</v>
      </c>
      <c r="R9" s="235">
        <f t="shared" si="37"/>
        <v>1</v>
      </c>
      <c r="S9" s="235">
        <v>13</v>
      </c>
      <c r="T9" s="237">
        <f t="shared" si="38"/>
        <v>100</v>
      </c>
      <c r="U9" s="235">
        <f t="shared" si="39"/>
        <v>1</v>
      </c>
      <c r="V9" s="235">
        <v>2</v>
      </c>
      <c r="W9" s="237">
        <f t="shared" si="40"/>
        <v>40</v>
      </c>
      <c r="X9" s="235" t="str">
        <f t="shared" si="41"/>
        <v/>
      </c>
      <c r="Y9" s="235"/>
      <c r="Z9" s="235">
        <f t="shared" si="42"/>
        <v>0</v>
      </c>
      <c r="AA9" s="236">
        <f t="shared" si="1"/>
        <v>90</v>
      </c>
      <c r="AB9" s="235">
        <f t="shared" si="43"/>
        <v>1</v>
      </c>
      <c r="AC9" s="235">
        <v>45</v>
      </c>
      <c r="AD9" s="235">
        <f t="shared" si="2"/>
        <v>90</v>
      </c>
      <c r="AE9" s="235">
        <f t="shared" si="44"/>
        <v>1</v>
      </c>
      <c r="AF9" s="235"/>
      <c r="AG9" s="235">
        <v>1</v>
      </c>
      <c r="AH9" s="236" t="e">
        <f>IF(AND(Q9&gt;0,AE9=1,#REF!=""),100,0)</f>
        <v>#REF!</v>
      </c>
      <c r="AI9" s="235" t="str">
        <f t="shared" si="45"/>
        <v/>
      </c>
      <c r="AJ9" s="235"/>
      <c r="AK9" s="235"/>
      <c r="AL9" s="236">
        <f t="shared" si="3"/>
        <v>0</v>
      </c>
      <c r="AM9" s="235" t="str">
        <f t="shared" si="46"/>
        <v/>
      </c>
      <c r="AN9" s="235"/>
      <c r="AO9" s="235"/>
      <c r="AP9" s="235"/>
      <c r="AQ9" s="235"/>
      <c r="AR9" s="235"/>
      <c r="AS9" s="235"/>
      <c r="AT9" s="235"/>
      <c r="AU9" s="235">
        <f t="shared" si="47"/>
        <v>0</v>
      </c>
      <c r="AV9" s="236">
        <f t="shared" si="48"/>
        <v>0</v>
      </c>
      <c r="AW9" s="238"/>
      <c r="AX9" s="238"/>
      <c r="AY9" s="238"/>
      <c r="AZ9" s="236" t="e">
        <f>IF(OR(D9="新築",D9="登録"),MIN(1000,Q9+T9+W9+AA9+AH9+AL9+AV9),0)</f>
        <v>#REF!</v>
      </c>
      <c r="BA9" s="238"/>
      <c r="BB9" s="239"/>
      <c r="BC9" s="238"/>
      <c r="BD9" s="236">
        <f t="shared" si="49"/>
        <v>0</v>
      </c>
      <c r="BE9" s="235" t="str">
        <f t="shared" si="50"/>
        <v/>
      </c>
      <c r="BF9" s="238"/>
      <c r="BG9" s="238"/>
      <c r="BH9" s="236" t="e">
        <f>IF(AND(BD9&gt;0,BE9=1,#REF!=""),100,0)</f>
        <v>#REF!</v>
      </c>
      <c r="BI9" s="235" t="str">
        <f t="shared" si="51"/>
        <v/>
      </c>
      <c r="BJ9" s="238"/>
      <c r="BK9" s="238"/>
      <c r="BL9" s="238"/>
      <c r="BM9" s="236">
        <f t="shared" si="52"/>
        <v>0</v>
      </c>
      <c r="BN9" s="235" t="str">
        <f t="shared" si="53"/>
        <v/>
      </c>
      <c r="BO9" s="238"/>
      <c r="BP9" s="238"/>
      <c r="BQ9" s="238"/>
      <c r="BR9" s="236">
        <f t="shared" si="54"/>
        <v>0</v>
      </c>
      <c r="BS9" s="238"/>
      <c r="BT9" s="236">
        <f>IF(D9="改修",MIN(500,BD9+BH9+BM9+BR9,INT(CM9*10/2)),0)</f>
        <v>0</v>
      </c>
      <c r="BU9" s="240"/>
      <c r="BV9" s="241" t="s">
        <v>8</v>
      </c>
      <c r="BW9" s="242"/>
      <c r="BX9" s="241" t="s">
        <v>351</v>
      </c>
      <c r="BY9" s="242"/>
      <c r="BZ9" s="243" t="s">
        <v>7</v>
      </c>
      <c r="CA9" s="240"/>
      <c r="CB9" s="241" t="s">
        <v>8</v>
      </c>
      <c r="CC9" s="242"/>
      <c r="CD9" s="241" t="s">
        <v>351</v>
      </c>
      <c r="CE9" s="242"/>
      <c r="CF9" s="243" t="s">
        <v>7</v>
      </c>
      <c r="CG9" s="232">
        <v>43409</v>
      </c>
      <c r="CH9" s="244" t="e">
        <f t="shared" si="16"/>
        <v>#REF!</v>
      </c>
      <c r="CI9" s="233" t="s">
        <v>352</v>
      </c>
      <c r="CJ9" s="233" t="s">
        <v>353</v>
      </c>
      <c r="CK9" s="229" t="s">
        <v>377</v>
      </c>
      <c r="CL9" s="233">
        <v>100</v>
      </c>
      <c r="CM9" s="245">
        <v>2200</v>
      </c>
      <c r="CN9" s="234" t="s">
        <v>355</v>
      </c>
      <c r="CO9" s="232"/>
      <c r="CP9" s="231"/>
      <c r="CQ9" s="231"/>
      <c r="CR9" s="232"/>
      <c r="CS9" s="232"/>
      <c r="CT9" s="231"/>
      <c r="CU9" s="231"/>
      <c r="CV9" s="231"/>
      <c r="CW9" s="231"/>
      <c r="CX9" s="231"/>
      <c r="CY9" s="231"/>
      <c r="CZ9" s="231"/>
      <c r="DA9"/>
      <c r="DB9" s="231"/>
      <c r="DC9" s="235">
        <v>25</v>
      </c>
      <c r="DD9" s="235">
        <v>18</v>
      </c>
      <c r="DE9" s="238" t="s">
        <v>382</v>
      </c>
      <c r="DF9" s="236">
        <f t="shared" si="4"/>
        <v>150</v>
      </c>
      <c r="DG9" s="236">
        <f>MIN(Q9,DF9)</f>
        <v>150</v>
      </c>
      <c r="DH9" s="235">
        <f t="shared" si="17"/>
        <v>1</v>
      </c>
      <c r="DI9" s="235">
        <v>13</v>
      </c>
      <c r="DJ9" s="238" t="s">
        <v>382</v>
      </c>
      <c r="DK9" s="237">
        <f t="shared" si="18"/>
        <v>100</v>
      </c>
      <c r="DL9" s="236">
        <f>MIN(T9,DK9)</f>
        <v>100</v>
      </c>
      <c r="DM9" s="235">
        <f t="shared" si="19"/>
        <v>1</v>
      </c>
      <c r="DN9" s="235">
        <v>2</v>
      </c>
      <c r="DO9" s="238" t="s">
        <v>383</v>
      </c>
      <c r="DP9" s="237">
        <f t="shared" si="20"/>
        <v>40</v>
      </c>
      <c r="DQ9" s="236">
        <f>MIN(W9,DP9)</f>
        <v>40</v>
      </c>
      <c r="DR9" s="235" t="str">
        <f t="shared" si="21"/>
        <v/>
      </c>
      <c r="DS9" s="235"/>
      <c r="DT9" s="235">
        <f t="shared" si="5"/>
        <v>0</v>
      </c>
      <c r="DU9" s="235">
        <f t="shared" si="22"/>
        <v>1</v>
      </c>
      <c r="DV9" s="235">
        <v>45</v>
      </c>
      <c r="DW9" s="238" t="s">
        <v>384</v>
      </c>
      <c r="DX9" s="235">
        <f t="shared" si="23"/>
        <v>90</v>
      </c>
      <c r="DY9" s="236">
        <f t="shared" si="6"/>
        <v>90</v>
      </c>
      <c r="DZ9" s="236">
        <f>MIN(AA9,DY9)</f>
        <v>90</v>
      </c>
      <c r="EA9" s="235">
        <f t="shared" si="24"/>
        <v>1</v>
      </c>
      <c r="EB9" s="235"/>
      <c r="EC9" s="235">
        <v>1</v>
      </c>
      <c r="ED9" s="236" t="e">
        <f>IF(AND(DF9&gt;0,EA9=1,#REF!=""),100,0)</f>
        <v>#REF!</v>
      </c>
      <c r="EE9" s="236" t="e">
        <f>MIN(AH9,ED9)</f>
        <v>#REF!</v>
      </c>
      <c r="EF9" s="235" t="str">
        <f t="shared" si="25"/>
        <v/>
      </c>
      <c r="EG9" s="235"/>
      <c r="EH9" s="235"/>
      <c r="EI9" s="236">
        <f t="shared" si="7"/>
        <v>0</v>
      </c>
      <c r="EJ9" s="236">
        <f>MIN(AL9,EI9)</f>
        <v>0</v>
      </c>
      <c r="EK9" s="235" t="str">
        <f t="shared" si="26"/>
        <v/>
      </c>
      <c r="EL9" s="235"/>
      <c r="EM9" s="235"/>
      <c r="EN9" s="235"/>
      <c r="EO9" s="235"/>
      <c r="EP9" s="235"/>
      <c r="EQ9" s="235"/>
      <c r="ER9" s="235"/>
      <c r="ES9" s="235">
        <f t="shared" si="27"/>
        <v>0</v>
      </c>
      <c r="ET9" s="236">
        <f t="shared" si="28"/>
        <v>0</v>
      </c>
      <c r="EU9" s="236">
        <f>MIN(AV9,ET9)</f>
        <v>0</v>
      </c>
      <c r="EV9" s="238"/>
      <c r="EW9" s="238"/>
      <c r="EX9" s="238"/>
      <c r="EY9" s="238"/>
      <c r="EZ9" s="238"/>
      <c r="FA9" s="236" t="e">
        <f>IF(D9="新築",MIN(1500,CH9,MIN(DG9+DL9+DQ9+DZ9+EE9+EJ9+EU9,1000)),0)</f>
        <v>#REF!</v>
      </c>
      <c r="FB9" s="236" t="e">
        <f t="shared" si="8"/>
        <v>#REF!</v>
      </c>
      <c r="FC9" s="238"/>
      <c r="FD9" s="246"/>
      <c r="FE9" s="246"/>
      <c r="FF9" s="238"/>
      <c r="FG9" s="238"/>
      <c r="FH9" s="236">
        <f t="shared" si="29"/>
        <v>0</v>
      </c>
      <c r="FI9" s="236">
        <f t="shared" si="9"/>
        <v>0</v>
      </c>
      <c r="FJ9" s="235" t="str">
        <f t="shared" si="30"/>
        <v/>
      </c>
      <c r="FK9" s="238"/>
      <c r="FL9" s="238"/>
      <c r="FM9" s="236" t="e">
        <f>IF(AND(FH9&gt;0,FJ9=1,#REF!=""),100,0)</f>
        <v>#REF!</v>
      </c>
      <c r="FN9" s="236" t="e">
        <f t="shared" si="10"/>
        <v>#REF!</v>
      </c>
      <c r="FO9" s="235" t="str">
        <f t="shared" si="31"/>
        <v/>
      </c>
      <c r="FP9" s="238"/>
      <c r="FQ9" s="238"/>
      <c r="FR9" s="238"/>
      <c r="FS9" s="236">
        <f t="shared" si="32"/>
        <v>0</v>
      </c>
      <c r="FT9" s="236">
        <f t="shared" si="11"/>
        <v>0</v>
      </c>
      <c r="FU9" s="235" t="str">
        <f t="shared" si="33"/>
        <v/>
      </c>
      <c r="FV9" s="238"/>
      <c r="FW9" s="238"/>
      <c r="FX9" s="238"/>
      <c r="FY9" s="236">
        <f t="shared" si="34"/>
        <v>0</v>
      </c>
      <c r="FZ9" s="236">
        <f t="shared" si="12"/>
        <v>0</v>
      </c>
      <c r="GA9" s="238"/>
      <c r="GB9" s="238"/>
      <c r="GC9" s="236">
        <f>IF(D9="改修",MIN(500,FI9+FN9+FT9+FZ9,INT(CM9*10/2)),0)</f>
        <v>0</v>
      </c>
      <c r="GD9" s="236">
        <f t="shared" si="13"/>
        <v>0</v>
      </c>
      <c r="GE9" s="231" t="s">
        <v>360</v>
      </c>
      <c r="GF9" s="232">
        <v>43403</v>
      </c>
      <c r="GG9" s="232">
        <v>43409</v>
      </c>
      <c r="GH9" s="232">
        <v>43429</v>
      </c>
      <c r="GI9" s="244" t="e">
        <f>IF(D9="新築",AZ9,IF(D9="改修",BT9,0))</f>
        <v>#REF!</v>
      </c>
      <c r="GJ9" s="244" t="e">
        <f t="shared" si="14"/>
        <v>#REF!</v>
      </c>
      <c r="GK9" s="244" t="e">
        <f t="shared" si="35"/>
        <v>#REF!</v>
      </c>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c r="IW9" s="96"/>
      <c r="IX9" s="96"/>
      <c r="IY9" s="96"/>
      <c r="IZ9" s="96"/>
      <c r="JA9" s="96"/>
      <c r="JB9" s="96"/>
      <c r="JC9" s="96"/>
      <c r="JD9" s="96"/>
      <c r="JE9" s="96"/>
      <c r="JF9" s="96"/>
      <c r="JG9" s="96"/>
      <c r="JH9" s="96"/>
      <c r="JI9" s="96"/>
      <c r="JJ9" s="96"/>
      <c r="JK9" s="96"/>
      <c r="JL9" s="96"/>
      <c r="JM9" s="96"/>
      <c r="JN9" s="96"/>
      <c r="JO9" s="96"/>
      <c r="JP9" s="96"/>
      <c r="JQ9" s="96"/>
      <c r="JR9" s="96"/>
      <c r="JS9" s="96"/>
      <c r="JT9" s="96"/>
      <c r="JU9" s="96"/>
      <c r="JV9" s="96"/>
      <c r="JW9" s="96"/>
      <c r="JX9" s="96"/>
      <c r="JY9" s="96"/>
      <c r="JZ9" s="96"/>
      <c r="KA9" s="96"/>
      <c r="KB9" s="96"/>
      <c r="KC9" s="96"/>
      <c r="KD9" s="96"/>
      <c r="KE9" s="96"/>
      <c r="KF9" s="96"/>
      <c r="KG9" s="96"/>
      <c r="KH9" s="96"/>
      <c r="KI9" s="96"/>
      <c r="KJ9" s="96"/>
      <c r="KK9" s="96"/>
      <c r="KL9" s="96"/>
      <c r="KM9" s="96"/>
      <c r="KN9" s="96"/>
      <c r="KO9" s="96"/>
      <c r="KP9" s="96"/>
      <c r="KQ9" s="96"/>
      <c r="KR9" s="96"/>
      <c r="KS9" s="96"/>
      <c r="KT9" s="96"/>
      <c r="KU9" s="96"/>
      <c r="KV9" s="96"/>
      <c r="KW9" s="96"/>
      <c r="KX9" s="96"/>
      <c r="KY9" s="96"/>
      <c r="KZ9" s="96"/>
      <c r="LA9" s="96"/>
      <c r="LB9" s="96"/>
      <c r="LC9" s="96"/>
      <c r="LD9" s="96"/>
      <c r="LE9" s="96"/>
      <c r="LF9" s="96"/>
      <c r="LG9" s="96"/>
      <c r="LH9" s="96"/>
      <c r="LI9" s="96"/>
      <c r="LJ9" s="96"/>
      <c r="LK9" s="96"/>
      <c r="LL9" s="96"/>
      <c r="LM9" s="96"/>
      <c r="LN9" s="96"/>
      <c r="LO9" s="96"/>
      <c r="LP9" s="96"/>
      <c r="LQ9" s="96"/>
      <c r="LR9" s="96"/>
      <c r="LS9" s="96"/>
      <c r="LT9" s="96"/>
      <c r="LU9" s="96"/>
      <c r="LV9" s="96"/>
      <c r="LW9" s="96"/>
      <c r="LX9" s="96"/>
      <c r="LY9" s="96"/>
      <c r="LZ9" s="96"/>
      <c r="MA9" s="96"/>
      <c r="MB9" s="96"/>
      <c r="MC9" s="96"/>
      <c r="MD9" s="96"/>
      <c r="ME9" s="96"/>
      <c r="MF9" s="96"/>
      <c r="MG9" s="96"/>
      <c r="MH9" s="96"/>
      <c r="MI9" s="96"/>
      <c r="MJ9" s="96"/>
      <c r="MK9" s="96"/>
      <c r="ML9" s="96"/>
      <c r="MM9" s="96"/>
      <c r="MN9" s="96"/>
      <c r="MO9" s="96"/>
      <c r="MP9" s="96"/>
      <c r="MQ9" s="96"/>
      <c r="MR9" s="96"/>
      <c r="MS9" s="96"/>
      <c r="MT9" s="96"/>
      <c r="MU9" s="96"/>
      <c r="MV9" s="96"/>
      <c r="MW9" s="96"/>
      <c r="MX9" s="96"/>
      <c r="MY9" s="96"/>
      <c r="MZ9" s="96"/>
      <c r="NA9" s="96"/>
      <c r="NB9" s="96"/>
      <c r="NC9" s="96"/>
      <c r="ND9" s="96"/>
      <c r="NE9" s="96"/>
      <c r="NF9" s="96"/>
      <c r="NG9" s="96"/>
      <c r="NH9" s="96"/>
      <c r="NI9" s="96"/>
      <c r="NJ9" s="96"/>
      <c r="NK9" s="96"/>
      <c r="NL9" s="96"/>
      <c r="NM9" s="96"/>
      <c r="NN9" s="96"/>
      <c r="NO9" s="96"/>
      <c r="NP9" s="96"/>
      <c r="NQ9" s="96"/>
      <c r="NR9" s="96"/>
      <c r="NS9" s="96"/>
      <c r="NT9" s="96"/>
      <c r="NU9" s="96"/>
      <c r="NV9" s="96"/>
      <c r="NW9" s="96"/>
      <c r="NX9" s="96"/>
      <c r="NY9" s="96"/>
      <c r="NZ9" s="96"/>
      <c r="OA9" s="96"/>
      <c r="OB9" s="96"/>
      <c r="OC9" s="96"/>
      <c r="OD9" s="96"/>
      <c r="OE9" s="96"/>
      <c r="OF9" s="96"/>
      <c r="OG9" s="96"/>
      <c r="OH9" s="96"/>
      <c r="OI9" s="96"/>
      <c r="OJ9" s="96"/>
      <c r="OK9" s="96"/>
      <c r="OL9" s="96"/>
      <c r="OM9" s="96"/>
      <c r="ON9" s="96"/>
      <c r="OO9" s="96"/>
      <c r="OP9" s="96"/>
      <c r="OQ9" s="96"/>
      <c r="OR9" s="96"/>
      <c r="OS9" s="96"/>
      <c r="OT9" s="96"/>
      <c r="OU9" s="96"/>
      <c r="OV9" s="96"/>
      <c r="OW9" s="96"/>
      <c r="OX9" s="96"/>
      <c r="OY9" s="96"/>
      <c r="OZ9" s="96"/>
      <c r="PA9" s="96"/>
      <c r="PB9" s="96"/>
      <c r="PC9" s="96"/>
      <c r="PD9" s="96"/>
      <c r="PE9" s="96"/>
      <c r="PF9" s="96"/>
      <c r="PG9" s="96"/>
      <c r="PH9" s="96"/>
      <c r="PI9" s="96"/>
      <c r="PJ9" s="96"/>
      <c r="PK9" s="96"/>
      <c r="PL9" s="96"/>
      <c r="PM9" s="96"/>
      <c r="PN9" s="96"/>
      <c r="PO9" s="96"/>
      <c r="PP9" s="96"/>
      <c r="PQ9" s="96"/>
      <c r="PR9" s="96"/>
      <c r="PS9" s="96"/>
      <c r="PT9" s="96"/>
      <c r="PU9" s="96"/>
      <c r="PV9" s="96"/>
      <c r="PW9" s="96"/>
      <c r="PX9" s="96"/>
      <c r="PY9" s="96"/>
      <c r="PZ9" s="96"/>
      <c r="QA9" s="96"/>
      <c r="QB9" s="96"/>
      <c r="QC9" s="96"/>
      <c r="QD9" s="96"/>
      <c r="QE9" s="96"/>
      <c r="QF9" s="96"/>
      <c r="QG9" s="96"/>
      <c r="QH9" s="96"/>
      <c r="QI9" s="96"/>
      <c r="QJ9" s="96"/>
      <c r="QK9" s="96"/>
      <c r="QL9" s="96"/>
      <c r="QM9" s="96"/>
      <c r="QN9" s="96"/>
      <c r="QO9" s="96"/>
      <c r="QP9" s="96"/>
      <c r="QQ9" s="96"/>
      <c r="QR9" s="96"/>
      <c r="QS9" s="96"/>
      <c r="QT9" s="96"/>
      <c r="QU9" s="96"/>
      <c r="QV9" s="96"/>
      <c r="QW9" s="96"/>
      <c r="QX9" s="96"/>
      <c r="QY9" s="96"/>
      <c r="QZ9" s="96"/>
      <c r="RA9" s="96"/>
      <c r="RB9" s="96"/>
      <c r="RC9" s="96"/>
      <c r="RD9" s="96"/>
      <c r="RE9" s="96"/>
      <c r="RF9" s="96"/>
      <c r="RG9" s="96"/>
      <c r="RH9" s="96"/>
      <c r="RI9" s="96"/>
      <c r="RJ9" s="96"/>
      <c r="RK9" s="96"/>
      <c r="RL9" s="96"/>
      <c r="RM9" s="96"/>
      <c r="RN9" s="96"/>
      <c r="RO9" s="96"/>
      <c r="RP9" s="96"/>
      <c r="RQ9" s="96"/>
      <c r="RR9" s="96"/>
      <c r="RS9" s="96"/>
      <c r="RT9" s="96"/>
      <c r="RU9" s="96"/>
      <c r="RV9" s="96"/>
      <c r="RW9" s="96"/>
      <c r="RX9" s="96"/>
      <c r="RY9" s="96"/>
      <c r="RZ9" s="96"/>
      <c r="SA9" s="96"/>
      <c r="SB9" s="96"/>
      <c r="SC9" s="96"/>
      <c r="SD9" s="96"/>
      <c r="SE9" s="96"/>
      <c r="SF9" s="96"/>
      <c r="SG9" s="96"/>
      <c r="SH9" s="96"/>
      <c r="SI9" s="96"/>
      <c r="SJ9" s="96"/>
      <c r="SK9" s="96"/>
      <c r="SL9" s="96"/>
      <c r="SM9" s="96"/>
      <c r="SN9" s="96"/>
      <c r="SO9" s="96"/>
      <c r="SP9" s="96"/>
      <c r="SQ9" s="96"/>
      <c r="SR9" s="96"/>
      <c r="SS9" s="96"/>
      <c r="ST9" s="96"/>
      <c r="SU9" s="96"/>
      <c r="SV9" s="96"/>
      <c r="SW9" s="96"/>
      <c r="SX9" s="96"/>
      <c r="SY9" s="96"/>
      <c r="SZ9" s="96"/>
      <c r="TA9" s="96"/>
      <c r="TB9" s="96"/>
      <c r="TC9" s="96"/>
      <c r="TD9" s="96"/>
      <c r="TE9" s="96"/>
      <c r="TF9" s="96"/>
      <c r="TG9" s="96"/>
      <c r="TH9" s="96"/>
      <c r="TI9" s="96"/>
      <c r="TJ9" s="96"/>
      <c r="TK9" s="96"/>
      <c r="TL9" s="96"/>
      <c r="TM9" s="96"/>
      <c r="TN9" s="96"/>
      <c r="TO9" s="96"/>
      <c r="TP9" s="96"/>
      <c r="TQ9" s="96"/>
      <c r="TR9" s="96"/>
      <c r="TS9" s="96"/>
      <c r="TT9" s="96"/>
      <c r="TU9" s="96"/>
      <c r="TV9" s="96"/>
      <c r="TW9" s="96"/>
      <c r="TX9" s="96"/>
      <c r="TY9" s="96"/>
      <c r="TZ9" s="96"/>
      <c r="UA9" s="96"/>
      <c r="UB9" s="96"/>
      <c r="UC9" s="96"/>
      <c r="UD9" s="96"/>
      <c r="UE9" s="96"/>
      <c r="UF9" s="96"/>
      <c r="UG9" s="96"/>
      <c r="UH9" s="96"/>
      <c r="UI9" s="96"/>
      <c r="UJ9" s="96"/>
      <c r="UK9" s="96"/>
      <c r="UL9" s="96"/>
      <c r="UM9" s="96"/>
      <c r="UN9" s="96"/>
      <c r="UO9" s="96"/>
      <c r="UP9" s="96"/>
      <c r="UQ9" s="96"/>
      <c r="UR9" s="96"/>
      <c r="US9" s="96"/>
      <c r="UT9" s="96"/>
      <c r="UU9" s="96"/>
      <c r="UV9" s="96"/>
      <c r="UW9" s="96"/>
      <c r="UX9" s="96"/>
      <c r="UY9" s="96"/>
      <c r="UZ9" s="96"/>
      <c r="VA9" s="96"/>
      <c r="VB9" s="96"/>
      <c r="VC9" s="96"/>
      <c r="VD9" s="96"/>
      <c r="VE9" s="96"/>
      <c r="VF9" s="96"/>
      <c r="VG9" s="96"/>
      <c r="VH9" s="96"/>
      <c r="VI9" s="96"/>
      <c r="VJ9" s="96"/>
      <c r="VK9" s="96"/>
      <c r="VL9" s="96"/>
      <c r="VM9" s="96"/>
      <c r="VN9" s="96"/>
      <c r="VO9" s="96"/>
      <c r="VP9" s="96"/>
      <c r="VQ9" s="96"/>
      <c r="VR9" s="96"/>
      <c r="VS9" s="96"/>
      <c r="VT9" s="96"/>
      <c r="VU9" s="96"/>
      <c r="VV9" s="96"/>
      <c r="VW9" s="96"/>
      <c r="VX9" s="96"/>
      <c r="VY9" s="96"/>
      <c r="VZ9" s="96"/>
      <c r="WA9" s="96"/>
      <c r="WB9" s="96"/>
      <c r="WC9" s="96"/>
      <c r="WD9" s="96"/>
      <c r="WE9" s="96"/>
      <c r="WF9" s="96"/>
      <c r="WG9" s="96"/>
      <c r="WH9" s="96"/>
      <c r="WI9" s="96"/>
      <c r="WJ9" s="96"/>
      <c r="WK9" s="96"/>
      <c r="WL9" s="96"/>
      <c r="WM9" s="96"/>
      <c r="WN9" s="96"/>
      <c r="WO9" s="96"/>
      <c r="WP9" s="96"/>
      <c r="WQ9" s="96"/>
      <c r="WR9" s="96"/>
      <c r="WS9" s="96"/>
      <c r="WT9" s="96"/>
      <c r="WU9" s="96"/>
      <c r="WV9" s="96"/>
      <c r="WW9" s="96"/>
      <c r="WX9" s="96"/>
      <c r="WY9" s="96"/>
      <c r="WZ9" s="96"/>
      <c r="XA9" s="96"/>
      <c r="XB9" s="96"/>
      <c r="XC9" s="96"/>
      <c r="XD9" s="96"/>
      <c r="XE9" s="96"/>
      <c r="XF9" s="96"/>
      <c r="XG9" s="96"/>
      <c r="XH9" s="96"/>
      <c r="XI9" s="96"/>
      <c r="XJ9" s="96"/>
      <c r="XK9" s="96"/>
      <c r="XL9" s="96"/>
      <c r="XM9" s="96"/>
      <c r="XN9" s="96"/>
      <c r="XO9" s="96"/>
      <c r="XP9" s="96"/>
      <c r="XQ9" s="96"/>
      <c r="XR9" s="96"/>
      <c r="XS9" s="96"/>
      <c r="XT9" s="96"/>
      <c r="XU9" s="96"/>
      <c r="XV9" s="96"/>
      <c r="XW9" s="96"/>
      <c r="XX9" s="96"/>
      <c r="XY9" s="96"/>
      <c r="XZ9" s="96"/>
      <c r="YA9" s="96"/>
      <c r="YB9" s="96"/>
      <c r="YC9" s="96"/>
      <c r="YD9" s="96"/>
      <c r="YE9" s="96"/>
      <c r="YF9" s="96"/>
      <c r="YG9" s="96"/>
      <c r="YH9" s="96"/>
      <c r="YI9" s="96"/>
      <c r="YJ9" s="96"/>
      <c r="YK9" s="96"/>
      <c r="YL9" s="96"/>
      <c r="YM9" s="96"/>
      <c r="YN9" s="96"/>
      <c r="YO9" s="96"/>
      <c r="YP9" s="96"/>
      <c r="YQ9" s="96"/>
      <c r="YR9" s="96"/>
      <c r="YS9" s="96"/>
      <c r="YT9" s="96"/>
      <c r="YU9" s="96"/>
      <c r="YV9" s="96"/>
      <c r="YW9" s="96"/>
      <c r="YX9" s="96"/>
      <c r="YY9" s="96"/>
      <c r="YZ9" s="96"/>
      <c r="ZA9" s="96"/>
      <c r="ZB9" s="96"/>
      <c r="ZC9" s="96"/>
      <c r="ZD9" s="96"/>
      <c r="ZE9" s="96"/>
      <c r="ZF9" s="96"/>
      <c r="ZG9" s="96"/>
      <c r="ZH9" s="96"/>
      <c r="ZI9" s="96"/>
      <c r="ZJ9" s="96"/>
      <c r="ZK9" s="96"/>
      <c r="ZL9" s="96"/>
      <c r="ZM9" s="96"/>
      <c r="ZN9" s="96"/>
      <c r="ZO9" s="96"/>
      <c r="ZP9" s="96"/>
      <c r="ZQ9" s="96"/>
      <c r="ZR9" s="96"/>
      <c r="ZS9" s="96"/>
      <c r="ZT9" s="96"/>
      <c r="ZU9" s="96"/>
      <c r="ZV9" s="96"/>
      <c r="ZW9" s="96"/>
      <c r="ZX9" s="96"/>
      <c r="ZY9" s="96"/>
      <c r="ZZ9" s="96"/>
      <c r="AAA9" s="96"/>
      <c r="AAB9" s="96"/>
      <c r="AAC9" s="96"/>
      <c r="AAD9" s="96"/>
      <c r="AAE9" s="96"/>
      <c r="AAF9" s="96"/>
      <c r="AAG9" s="96"/>
      <c r="AAH9" s="96"/>
      <c r="AAI9" s="96"/>
      <c r="AAJ9" s="96"/>
      <c r="AAK9" s="96"/>
      <c r="AAL9" s="96"/>
      <c r="AAM9" s="96"/>
      <c r="AAN9" s="96"/>
      <c r="AAO9" s="96"/>
      <c r="AAP9" s="96"/>
      <c r="AAQ9" s="96"/>
      <c r="AAR9" s="96"/>
      <c r="AAS9" s="96"/>
      <c r="AAT9" s="96"/>
      <c r="AAU9" s="96"/>
      <c r="AAV9" s="96"/>
      <c r="AAW9" s="96"/>
      <c r="AAX9" s="96"/>
      <c r="AAY9" s="96"/>
      <c r="AAZ9" s="96"/>
      <c r="ABA9" s="96"/>
      <c r="ABB9" s="96"/>
      <c r="ABC9" s="96"/>
      <c r="ABD9" s="96"/>
      <c r="ABE9" s="96"/>
      <c r="ABF9" s="96"/>
      <c r="ABG9" s="96"/>
      <c r="ABH9" s="96"/>
      <c r="ABI9" s="96"/>
      <c r="ABJ9" s="96"/>
      <c r="ABK9" s="96"/>
      <c r="ABL9" s="96"/>
      <c r="ABM9" s="96"/>
      <c r="ABN9" s="96"/>
      <c r="ABO9" s="96"/>
      <c r="ABP9" s="96"/>
      <c r="ABQ9" s="96"/>
      <c r="ABR9" s="96"/>
      <c r="ABS9" s="96"/>
      <c r="ABT9" s="96"/>
      <c r="ABU9" s="96"/>
      <c r="ABV9" s="96"/>
      <c r="ABW9" s="96"/>
      <c r="ABX9" s="96"/>
      <c r="ABY9" s="96"/>
      <c r="ABZ9" s="96"/>
      <c r="ACA9" s="96"/>
      <c r="ACB9" s="96"/>
      <c r="ACC9" s="96"/>
      <c r="ACD9" s="96"/>
      <c r="ACE9" s="96"/>
      <c r="ACF9" s="96"/>
      <c r="ACG9" s="96"/>
      <c r="ACH9" s="96"/>
      <c r="ACI9" s="96"/>
      <c r="ACJ9" s="96"/>
      <c r="ACK9" s="96"/>
      <c r="ACL9" s="96"/>
      <c r="ACM9" s="96"/>
      <c r="ACN9" s="96"/>
      <c r="ACO9" s="96"/>
      <c r="ACP9" s="96"/>
      <c r="ACQ9" s="96"/>
      <c r="ACR9" s="96"/>
      <c r="ACS9" s="96"/>
      <c r="ACT9" s="96"/>
      <c r="ACU9" s="96"/>
      <c r="ACV9" s="96"/>
      <c r="ACW9" s="96"/>
      <c r="ACX9" s="96"/>
      <c r="ACY9" s="96"/>
      <c r="ACZ9" s="96"/>
      <c r="ADA9" s="96"/>
      <c r="ADB9" s="96"/>
      <c r="ADC9" s="96"/>
      <c r="ADD9" s="96"/>
      <c r="ADE9" s="96"/>
      <c r="ADF9" s="96"/>
      <c r="ADG9" s="96"/>
      <c r="ADH9" s="96"/>
      <c r="ADI9" s="96"/>
      <c r="ADJ9" s="96"/>
      <c r="ADK9" s="96"/>
      <c r="ADL9" s="96"/>
      <c r="ADM9" s="96"/>
      <c r="ADN9" s="96"/>
      <c r="ADO9" s="96"/>
      <c r="ADP9" s="96"/>
      <c r="ADQ9" s="96"/>
      <c r="ADR9" s="96"/>
      <c r="ADS9" s="96"/>
      <c r="ADT9" s="96"/>
      <c r="ADU9" s="96"/>
      <c r="ADV9" s="96"/>
      <c r="ADW9" s="96"/>
      <c r="ADX9" s="96"/>
      <c r="ADY9" s="96"/>
      <c r="ADZ9" s="96"/>
      <c r="AEA9" s="96"/>
      <c r="AEB9" s="96"/>
      <c r="AEC9" s="96"/>
      <c r="AED9" s="96"/>
      <c r="AEE9" s="96"/>
      <c r="AEF9" s="96"/>
      <c r="AEG9" s="96"/>
      <c r="AEH9" s="96"/>
      <c r="AEI9" s="96"/>
      <c r="AEJ9" s="96"/>
      <c r="AEK9" s="96"/>
      <c r="AEL9" s="96"/>
      <c r="AEM9" s="96"/>
      <c r="AEN9" s="96"/>
      <c r="AEO9" s="96"/>
      <c r="AEP9" s="96"/>
      <c r="AEQ9" s="96"/>
      <c r="AER9" s="96"/>
      <c r="AES9" s="96"/>
      <c r="AET9" s="96"/>
      <c r="AEU9" s="96"/>
      <c r="AEV9" s="96"/>
      <c r="AEW9" s="96"/>
      <c r="AEX9" s="96"/>
      <c r="AEY9" s="96"/>
      <c r="AEZ9" s="96"/>
      <c r="AFA9" s="96"/>
      <c r="AFB9" s="96"/>
      <c r="AFC9" s="96"/>
      <c r="AFD9" s="96"/>
      <c r="AFE9" s="96"/>
      <c r="AFF9" s="96"/>
      <c r="AFG9" s="96"/>
      <c r="AFH9" s="96"/>
      <c r="AFI9" s="96"/>
      <c r="AFJ9" s="96"/>
      <c r="AFK9" s="96"/>
      <c r="AFL9" s="96"/>
      <c r="AFM9" s="96"/>
      <c r="AFN9" s="96"/>
      <c r="AFO9" s="96"/>
      <c r="AFP9" s="96"/>
      <c r="AFQ9" s="96"/>
      <c r="AFR9" s="96"/>
      <c r="AFS9" s="96"/>
      <c r="AFT9" s="96"/>
      <c r="AFU9" s="96"/>
      <c r="AFV9" s="96"/>
      <c r="AFW9" s="96"/>
      <c r="AFX9" s="96"/>
      <c r="AFY9" s="96"/>
      <c r="AFZ9" s="96"/>
      <c r="AGA9" s="96"/>
      <c r="AGB9" s="96"/>
      <c r="AGC9" s="96"/>
      <c r="AGD9" s="96"/>
      <c r="AGE9" s="96"/>
      <c r="AGF9" s="96"/>
      <c r="AGG9" s="96"/>
      <c r="AGH9" s="96"/>
      <c r="AGI9" s="96"/>
      <c r="AGJ9" s="96"/>
      <c r="AGK9" s="96"/>
      <c r="AGL9" s="96"/>
      <c r="AGM9" s="96"/>
    </row>
    <row r="10" spans="2:871" ht="12" hidden="1" customHeight="1" x14ac:dyDescent="0.2">
      <c r="B10" s="248" t="str">
        <f t="shared" si="0"/>
        <v/>
      </c>
      <c r="C10" s="249"/>
      <c r="D10" s="250"/>
      <c r="E10" s="251" t="str">
        <f t="shared" si="15"/>
        <v/>
      </c>
      <c r="F10" s="252"/>
      <c r="G10" s="252"/>
      <c r="H10" s="253"/>
      <c r="I10" s="252"/>
      <c r="J10" s="250"/>
      <c r="K10" s="252"/>
      <c r="L10" s="250"/>
      <c r="M10" s="250"/>
      <c r="N10" s="252"/>
      <c r="O10" s="254"/>
      <c r="P10" s="254"/>
      <c r="Q10" s="254">
        <f t="shared" si="36"/>
        <v>0</v>
      </c>
      <c r="R10" s="254" t="str">
        <f t="shared" si="37"/>
        <v/>
      </c>
      <c r="S10" s="254"/>
      <c r="T10" s="255">
        <f t="shared" si="38"/>
        <v>0</v>
      </c>
      <c r="U10" s="254" t="str">
        <f t="shared" si="39"/>
        <v/>
      </c>
      <c r="V10" s="254"/>
      <c r="W10" s="255">
        <f t="shared" si="40"/>
        <v>0</v>
      </c>
      <c r="X10" s="254" t="str">
        <f t="shared" si="41"/>
        <v/>
      </c>
      <c r="Y10" s="254"/>
      <c r="Z10" s="254">
        <f t="shared" si="42"/>
        <v>0</v>
      </c>
      <c r="AA10" s="254">
        <f t="shared" si="1"/>
        <v>0</v>
      </c>
      <c r="AB10" s="254" t="str">
        <f t="shared" si="43"/>
        <v/>
      </c>
      <c r="AC10" s="254"/>
      <c r="AD10" s="254">
        <f t="shared" si="2"/>
        <v>0</v>
      </c>
      <c r="AE10" s="254" t="str">
        <f t="shared" si="44"/>
        <v/>
      </c>
      <c r="AF10" s="254"/>
      <c r="AG10" s="254"/>
      <c r="AH10" s="254" t="e">
        <f>IF(AND(Q10&gt;0,AE10=1,#REF!=""),100,0)</f>
        <v>#REF!</v>
      </c>
      <c r="AI10" s="254" t="str">
        <f t="shared" si="45"/>
        <v/>
      </c>
      <c r="AJ10" s="254"/>
      <c r="AK10" s="254"/>
      <c r="AL10" s="254">
        <f t="shared" si="3"/>
        <v>0</v>
      </c>
      <c r="AM10" s="254" t="str">
        <f t="shared" si="46"/>
        <v/>
      </c>
      <c r="AN10" s="254"/>
      <c r="AO10" s="254"/>
      <c r="AP10" s="254"/>
      <c r="AQ10" s="254"/>
      <c r="AR10" s="254"/>
      <c r="AS10" s="254"/>
      <c r="AT10" s="254"/>
      <c r="AU10" s="254">
        <f t="shared" si="47"/>
        <v>0</v>
      </c>
      <c r="AV10" s="254">
        <f t="shared" si="48"/>
        <v>0</v>
      </c>
      <c r="AW10" s="254"/>
      <c r="AX10" s="254"/>
      <c r="AY10" s="254"/>
      <c r="AZ10" s="254">
        <f>IF(OR(D10="新築",D10="登録"),MIN(1000,Q10+T10+W10+AA10+AH10+AL10+AV10),0)</f>
        <v>0</v>
      </c>
      <c r="BA10" s="254"/>
      <c r="BB10" s="256"/>
      <c r="BC10" s="254"/>
      <c r="BD10" s="254">
        <f t="shared" si="49"/>
        <v>0</v>
      </c>
      <c r="BE10" s="254" t="str">
        <f t="shared" si="50"/>
        <v/>
      </c>
      <c r="BF10" s="254"/>
      <c r="BG10" s="254"/>
      <c r="BH10" s="254" t="e">
        <f>IF(AND(BD10&gt;0,BE10=1,#REF!=""),100,0)</f>
        <v>#REF!</v>
      </c>
      <c r="BI10" s="254" t="str">
        <f t="shared" si="51"/>
        <v/>
      </c>
      <c r="BJ10" s="254"/>
      <c r="BK10" s="254"/>
      <c r="BL10" s="254"/>
      <c r="BM10" s="254">
        <f t="shared" si="52"/>
        <v>0</v>
      </c>
      <c r="BN10" s="254" t="str">
        <f t="shared" si="53"/>
        <v/>
      </c>
      <c r="BO10" s="254"/>
      <c r="BP10" s="254"/>
      <c r="BQ10" s="254"/>
      <c r="BR10" s="254">
        <f t="shared" si="54"/>
        <v>0</v>
      </c>
      <c r="BS10" s="254"/>
      <c r="BT10" s="254">
        <f>IF(D10="改修",MIN(500,BD10+BH10+BM10+BR10,INT(CM10*10/2)),0)</f>
        <v>0</v>
      </c>
      <c r="BU10" s="257"/>
      <c r="BV10" s="258"/>
      <c r="BW10" s="258"/>
      <c r="BX10" s="258"/>
      <c r="BY10" s="258"/>
      <c r="BZ10" s="259"/>
      <c r="CA10" s="257"/>
      <c r="CB10" s="258"/>
      <c r="CC10" s="258"/>
      <c r="CD10" s="258"/>
      <c r="CE10" s="258"/>
      <c r="CF10" s="259"/>
      <c r="CG10" s="253"/>
      <c r="CH10" s="260">
        <f t="shared" si="16"/>
        <v>0</v>
      </c>
      <c r="CI10" s="252"/>
      <c r="CJ10" s="252"/>
      <c r="CK10" s="250"/>
      <c r="CL10" s="252"/>
      <c r="CM10" s="261"/>
      <c r="CN10" s="250"/>
      <c r="CO10" s="253"/>
      <c r="CP10" s="252"/>
      <c r="CQ10" s="252"/>
      <c r="CR10" s="253"/>
      <c r="CS10" s="253"/>
      <c r="CT10" s="252"/>
      <c r="CU10" s="252"/>
      <c r="CV10" s="252"/>
      <c r="CW10" s="252"/>
      <c r="CX10" s="252"/>
      <c r="CY10" s="252"/>
      <c r="CZ10" s="252"/>
      <c r="DA10" s="262"/>
      <c r="DB10" s="252"/>
      <c r="DC10" s="254"/>
      <c r="DD10" s="254"/>
      <c r="DE10" s="254"/>
      <c r="DF10" s="254">
        <f t="shared" si="4"/>
        <v>0</v>
      </c>
      <c r="DG10" s="254">
        <f>MIN(Q10,DF10)</f>
        <v>0</v>
      </c>
      <c r="DH10" s="254" t="str">
        <f t="shared" si="17"/>
        <v/>
      </c>
      <c r="DI10" s="254"/>
      <c r="DJ10" s="254"/>
      <c r="DK10" s="255">
        <f t="shared" si="18"/>
        <v>0</v>
      </c>
      <c r="DL10" s="254">
        <f>MIN(T10,DK10)</f>
        <v>0</v>
      </c>
      <c r="DM10" s="254" t="str">
        <f t="shared" si="19"/>
        <v/>
      </c>
      <c r="DN10" s="254"/>
      <c r="DO10" s="254"/>
      <c r="DP10" s="255">
        <f t="shared" si="20"/>
        <v>0</v>
      </c>
      <c r="DQ10" s="254">
        <f>MIN(W10,DP10)</f>
        <v>0</v>
      </c>
      <c r="DR10" s="254" t="str">
        <f t="shared" si="21"/>
        <v/>
      </c>
      <c r="DS10" s="254"/>
      <c r="DT10" s="254">
        <f t="shared" si="5"/>
        <v>0</v>
      </c>
      <c r="DU10" s="254" t="str">
        <f t="shared" si="22"/>
        <v/>
      </c>
      <c r="DV10" s="254"/>
      <c r="DW10" s="254"/>
      <c r="DX10" s="254">
        <f t="shared" si="23"/>
        <v>0</v>
      </c>
      <c r="DY10" s="254">
        <f t="shared" si="6"/>
        <v>0</v>
      </c>
      <c r="DZ10" s="254">
        <f>MIN(AA10,DY10)</f>
        <v>0</v>
      </c>
      <c r="EA10" s="254" t="str">
        <f t="shared" si="24"/>
        <v/>
      </c>
      <c r="EB10" s="254"/>
      <c r="EC10" s="254"/>
      <c r="ED10" s="254" t="e">
        <f>IF(AND(DF10&gt;0,EA10=1,#REF!=""),100,0)</f>
        <v>#REF!</v>
      </c>
      <c r="EE10" s="254" t="e">
        <f>MIN(AH10,ED10)</f>
        <v>#REF!</v>
      </c>
      <c r="EF10" s="254" t="str">
        <f t="shared" si="25"/>
        <v/>
      </c>
      <c r="EG10" s="254"/>
      <c r="EH10" s="254"/>
      <c r="EI10" s="254">
        <f t="shared" si="7"/>
        <v>0</v>
      </c>
      <c r="EJ10" s="254">
        <f>MIN(AL10,EI10)</f>
        <v>0</v>
      </c>
      <c r="EK10" s="254" t="str">
        <f t="shared" si="26"/>
        <v/>
      </c>
      <c r="EL10" s="254"/>
      <c r="EM10" s="254"/>
      <c r="EN10" s="254"/>
      <c r="EO10" s="254"/>
      <c r="EP10" s="254"/>
      <c r="EQ10" s="254"/>
      <c r="ER10" s="254"/>
      <c r="ES10" s="254">
        <f t="shared" si="27"/>
        <v>0</v>
      </c>
      <c r="ET10" s="254">
        <f t="shared" si="28"/>
        <v>0</v>
      </c>
      <c r="EU10" s="254">
        <f>MIN(AV10,ET10)</f>
        <v>0</v>
      </c>
      <c r="EV10" s="254"/>
      <c r="EW10" s="254"/>
      <c r="EX10" s="254"/>
      <c r="EY10" s="254"/>
      <c r="EZ10" s="254"/>
      <c r="FA10" s="254">
        <f>IF(D10="新築",MIN(1500,CH10,MIN(DG10+DL10+DQ10+DZ10+EE10+EJ10+EU10,1000)),0)</f>
        <v>0</v>
      </c>
      <c r="FB10" s="254">
        <f t="shared" si="8"/>
        <v>0</v>
      </c>
      <c r="FC10" s="254"/>
      <c r="FD10" s="263"/>
      <c r="FE10" s="263"/>
      <c r="FF10" s="254"/>
      <c r="FG10" s="254"/>
      <c r="FH10" s="254">
        <f t="shared" si="29"/>
        <v>0</v>
      </c>
      <c r="FI10" s="254">
        <f t="shared" si="9"/>
        <v>0</v>
      </c>
      <c r="FJ10" s="254" t="str">
        <f t="shared" si="30"/>
        <v/>
      </c>
      <c r="FK10" s="254"/>
      <c r="FL10" s="254"/>
      <c r="FM10" s="254" t="e">
        <f>IF(AND(FH10&gt;0,FJ10=1,#REF!=""),100,0)</f>
        <v>#REF!</v>
      </c>
      <c r="FN10" s="254" t="e">
        <f t="shared" si="10"/>
        <v>#REF!</v>
      </c>
      <c r="FO10" s="254" t="str">
        <f t="shared" si="31"/>
        <v/>
      </c>
      <c r="FP10" s="254"/>
      <c r="FQ10" s="254"/>
      <c r="FR10" s="254"/>
      <c r="FS10" s="254">
        <f t="shared" si="32"/>
        <v>0</v>
      </c>
      <c r="FT10" s="254">
        <f t="shared" si="11"/>
        <v>0</v>
      </c>
      <c r="FU10" s="254" t="str">
        <f t="shared" si="33"/>
        <v/>
      </c>
      <c r="FV10" s="254"/>
      <c r="FW10" s="254"/>
      <c r="FX10" s="254"/>
      <c r="FY10" s="254">
        <f t="shared" si="34"/>
        <v>0</v>
      </c>
      <c r="FZ10" s="254">
        <f t="shared" si="12"/>
        <v>0</v>
      </c>
      <c r="GA10" s="254"/>
      <c r="GB10" s="254"/>
      <c r="GC10" s="254">
        <f>IF(D10="改修",MIN(500,FI10+FN10+FT10+FZ10,INT(CM10*10/2)),0)</f>
        <v>0</v>
      </c>
      <c r="GD10" s="254">
        <f t="shared" si="13"/>
        <v>0</v>
      </c>
      <c r="GE10" s="252"/>
      <c r="GF10" s="253"/>
      <c r="GG10" s="253"/>
      <c r="GH10" s="253"/>
      <c r="GI10" s="244">
        <f>IF(D10="新築",AZ10,IF(D10="改修",BT10,0))</f>
        <v>0</v>
      </c>
      <c r="GJ10" s="244">
        <f t="shared" si="14"/>
        <v>0</v>
      </c>
      <c r="GK10" s="244">
        <f t="shared" si="35"/>
        <v>0</v>
      </c>
    </row>
    <row r="11" spans="2:871" s="247" customFormat="1" ht="21.6" customHeight="1" outlineLevel="1" x14ac:dyDescent="0.2">
      <c r="B11" s="227" t="str">
        <f t="shared" si="0"/>
        <v/>
      </c>
      <c r="C11" s="264"/>
      <c r="D11" s="229" t="s">
        <v>362</v>
      </c>
      <c r="E11" s="230" t="str">
        <f t="shared" si="15"/>
        <v/>
      </c>
      <c r="F11" s="231"/>
      <c r="G11" s="229"/>
      <c r="H11" s="232"/>
      <c r="I11" s="233" t="s">
        <v>385</v>
      </c>
      <c r="J11" s="234" t="s">
        <v>385</v>
      </c>
      <c r="K11" s="233" t="s">
        <v>385</v>
      </c>
      <c r="L11" s="234" t="s">
        <v>385</v>
      </c>
      <c r="M11" s="234" t="s">
        <v>385</v>
      </c>
      <c r="N11" s="233" t="s">
        <v>385</v>
      </c>
      <c r="O11" s="235"/>
      <c r="P11" s="235"/>
      <c r="Q11" s="236"/>
      <c r="R11" s="235"/>
      <c r="S11" s="235"/>
      <c r="T11" s="237"/>
      <c r="U11" s="235"/>
      <c r="V11" s="235"/>
      <c r="W11" s="237"/>
      <c r="X11" s="235"/>
      <c r="Y11" s="235"/>
      <c r="Z11" s="235"/>
      <c r="AA11" s="236"/>
      <c r="AB11" s="235"/>
      <c r="AC11" s="235"/>
      <c r="AD11" s="235"/>
      <c r="AE11" s="235"/>
      <c r="AF11" s="235"/>
      <c r="AG11" s="235"/>
      <c r="AH11" s="236"/>
      <c r="AI11" s="235"/>
      <c r="AJ11" s="235"/>
      <c r="AK11" s="235"/>
      <c r="AL11" s="236"/>
      <c r="AM11" s="235"/>
      <c r="AN11" s="235"/>
      <c r="AO11" s="235"/>
      <c r="AP11" s="235"/>
      <c r="AQ11" s="235"/>
      <c r="AR11" s="235"/>
      <c r="AS11" s="235"/>
      <c r="AT11" s="235"/>
      <c r="AU11" s="235"/>
      <c r="AV11" s="236"/>
      <c r="AW11" s="238"/>
      <c r="AX11" s="238"/>
      <c r="AY11" s="238"/>
      <c r="AZ11" s="236"/>
      <c r="BA11" s="238"/>
      <c r="BB11" s="239"/>
      <c r="BC11" s="238"/>
      <c r="BD11" s="236"/>
      <c r="BE11" s="235"/>
      <c r="BF11" s="238"/>
      <c r="BG11" s="238"/>
      <c r="BH11" s="236"/>
      <c r="BI11" s="235"/>
      <c r="BJ11" s="238"/>
      <c r="BK11" s="238"/>
      <c r="BL11" s="238"/>
      <c r="BM11" s="236"/>
      <c r="BN11" s="235"/>
      <c r="BO11" s="238"/>
      <c r="BP11" s="238"/>
      <c r="BQ11" s="238"/>
      <c r="BR11" s="236"/>
      <c r="BS11" s="238"/>
      <c r="BT11" s="236"/>
      <c r="BU11" s="265"/>
      <c r="BV11" s="241"/>
      <c r="BW11" s="241"/>
      <c r="BX11" s="241"/>
      <c r="BY11" s="241"/>
      <c r="BZ11" s="243"/>
      <c r="CA11" s="265"/>
      <c r="CB11" s="241"/>
      <c r="CC11" s="241"/>
      <c r="CD11" s="241"/>
      <c r="CE11" s="241"/>
      <c r="CF11" s="243"/>
      <c r="CG11" s="231"/>
      <c r="CH11" s="244"/>
      <c r="CI11" s="233"/>
      <c r="CJ11" s="233"/>
      <c r="CK11" s="229"/>
      <c r="CL11" s="233"/>
      <c r="CM11" s="233"/>
      <c r="CN11" s="233"/>
      <c r="CO11" s="231"/>
      <c r="CP11" s="231"/>
      <c r="CQ11" s="231"/>
      <c r="CR11" s="232"/>
      <c r="CS11" s="232"/>
      <c r="CT11" s="231"/>
      <c r="CU11" s="231"/>
      <c r="CV11" s="231"/>
      <c r="CW11" s="231"/>
      <c r="CX11" s="231"/>
      <c r="CY11" s="231"/>
      <c r="CZ11" s="231"/>
      <c r="DA11" t="s">
        <v>386</v>
      </c>
      <c r="DB11" s="229" t="s">
        <v>393</v>
      </c>
      <c r="DC11" s="235"/>
      <c r="DD11" s="235"/>
      <c r="DE11" s="238"/>
      <c r="DF11" s="236"/>
      <c r="DG11" s="236"/>
      <c r="DH11" s="235"/>
      <c r="DI11" s="235"/>
      <c r="DJ11" s="238"/>
      <c r="DK11" s="237"/>
      <c r="DL11" s="236"/>
      <c r="DM11" s="235"/>
      <c r="DN11" s="235"/>
      <c r="DO11" s="238"/>
      <c r="DP11" s="237"/>
      <c r="DQ11" s="236"/>
      <c r="DR11" s="235"/>
      <c r="DS11" s="235"/>
      <c r="DT11" s="235"/>
      <c r="DU11" s="235"/>
      <c r="DV11" s="235"/>
      <c r="DW11" s="238"/>
      <c r="DX11" s="235"/>
      <c r="DY11" s="236"/>
      <c r="DZ11" s="236"/>
      <c r="EA11" s="235"/>
      <c r="EB11" s="235"/>
      <c r="EC11" s="235"/>
      <c r="ED11" s="236"/>
      <c r="EE11" s="236"/>
      <c r="EF11" s="235"/>
      <c r="EG11" s="235"/>
      <c r="EH11" s="235"/>
      <c r="EI11" s="236"/>
      <c r="EJ11" s="236"/>
      <c r="EK11" s="235"/>
      <c r="EL11" s="235"/>
      <c r="EM11" s="235"/>
      <c r="EN11" s="235"/>
      <c r="EO11" s="235"/>
      <c r="EP11" s="235"/>
      <c r="EQ11" s="235"/>
      <c r="ER11" s="235"/>
      <c r="ES11" s="235"/>
      <c r="ET11" s="236"/>
      <c r="EU11" s="236"/>
      <c r="EV11" s="235"/>
      <c r="EW11" s="238"/>
      <c r="EX11" s="238"/>
      <c r="EY11" s="238"/>
      <c r="EZ11" s="238"/>
      <c r="FA11" s="236"/>
      <c r="FB11" s="266"/>
      <c r="FC11" s="235" t="str">
        <f>IF(【様式第６号の２】事業報告書兼チェックシート!Q88="","",【様式第６号の２】事業報告書兼チェックシート!Q88)</f>
        <v/>
      </c>
      <c r="FD11" s="277">
        <f>IF(【様式第６号の２】事業報告書兼チェックシート!Q89="",0,【様式第６号の２】事業報告書兼チェックシート!Q89)</f>
        <v>0</v>
      </c>
      <c r="FE11" s="246"/>
      <c r="FF11" s="277">
        <f>IF(【様式第６号の２】事業報告書兼チェックシート!Q90="",0,【様式第６号の２】事業報告書兼チェックシート!Q90)</f>
        <v>0</v>
      </c>
      <c r="FG11" s="238"/>
      <c r="FH11" s="236">
        <f>IFERROR(MIN(ROUNDDOWN(FD11,1)*20+INT(FF11)*2,250),0)</f>
        <v>0</v>
      </c>
      <c r="FI11" s="236">
        <f>IF('要入力　交付決定状況入力シート'!D3="",0,MIN('要入力　交付決定状況入力シート'!D3/1000,FH11))</f>
        <v>0</v>
      </c>
      <c r="FJ11" s="235" t="str">
        <f>IF(OR(FK11=1,FL11=1),1,"")</f>
        <v/>
      </c>
      <c r="FK11" s="235" t="str">
        <f>IF(【様式第６号の２】事業報告書兼チェックシート!Y103="","",IF(【様式第６号の２】事業報告書兼チェックシート!B105="","",1))</f>
        <v/>
      </c>
      <c r="FL11" s="235" t="str">
        <f>IF(【様式第６号の２】事業報告書兼チェックシート!Y103="","",IF(【様式第６号の２】事業報告書兼チェックシート!P105="","",1))</f>
        <v/>
      </c>
      <c r="FM11" s="236" t="str">
        <f>IFERROR(【様式第６号の２】事業報告書兼チェックシート!Y103*10,"")</f>
        <v/>
      </c>
      <c r="FN11" s="236">
        <f>IF('要入力　交付決定状況入力シート'!D5="",0,MIN('要入力　交付決定状況入力シート'!D5/1000,FM11))</f>
        <v>0</v>
      </c>
      <c r="FO11" s="235" t="str">
        <f>IF(OR(FP11=1,FQ11=1,FR11=1),1,"")</f>
        <v/>
      </c>
      <c r="FP11" s="235" t="str">
        <f>IF(【様式第６号の２】事業報告書兼チェックシート!Y121="","",IF(【様式第６号の２】事業報告書兼チェックシート!B122="","",1))</f>
        <v/>
      </c>
      <c r="FQ11" s="235" t="str">
        <f>IF(【様式第６号の２】事業報告書兼チェックシート!Y121="","",IF(【様式第６号の２】事業報告書兼チェックシート!B125="","",1))</f>
        <v/>
      </c>
      <c r="FR11" s="235" t="str">
        <f>IF(【様式第６号の２】事業報告書兼チェックシート!Y121="","",IF(【様式第６号の２】事業報告書兼チェックシート!B127="","",1))</f>
        <v/>
      </c>
      <c r="FS11" s="236" t="str">
        <f>IFERROR(【様式第６号の２】事業報告書兼チェックシート!Y121*10,"")</f>
        <v/>
      </c>
      <c r="FT11" s="236">
        <f>IF('要入力　交付決定状況入力シート'!D6="",0,MIN('要入力　交付決定状況入力シート'!D6/1000,FS11))</f>
        <v>0</v>
      </c>
      <c r="FU11" s="235" t="str">
        <f>IFERROR(IF(OR(AND(FV11&gt;=7,FW11&gt;=7,FV11+FW11&gt;=14),AND(FV11&gt;=7,FX11&gt;=3,FV11+FX11&gt;=10),AND(FW11&gt;=7,FX11&gt;=3,FW11+FX11&gt;=10)),1,""),0)</f>
        <v/>
      </c>
      <c r="FV11" s="235">
        <f>IF(【様式第６号の２】事業報告書兼チェックシート!N152="",0,【様式第６号の２】事業報告書兼チェックシート!N152)</f>
        <v>0</v>
      </c>
      <c r="FW11" s="235">
        <f>IF(【様式第６号の２】事業報告書兼チェックシート!N159="",0,【様式第６号の２】事業報告書兼チェックシート!N159)</f>
        <v>0</v>
      </c>
      <c r="FX11" s="235">
        <f>IF(【様式第６号の２】事業報告書兼チェックシート!N170="",0,【様式第６号の２】事業報告書兼チェックシート!N170)</f>
        <v>0</v>
      </c>
      <c r="FY11" s="236">
        <f t="shared" si="34"/>
        <v>0</v>
      </c>
      <c r="FZ11" s="236">
        <f>IF('要入力　交付決定状況入力シート'!D4="",0,MIN('要入力　交付決定状況入力シート'!D4/1000,FY11))</f>
        <v>0</v>
      </c>
      <c r="GA11" s="235" t="str">
        <f>IF(【様式第６号の２】事業報告書兼チェックシート!R159="","",【様式第６号の２】事業報告書兼チェックシート!R159)</f>
        <v/>
      </c>
      <c r="GB11" s="238"/>
      <c r="GC11" s="236">
        <f>IF(D11="改修",MIN(500,FI11+FN11+FT11+FZ11,INT(【様式第６号の２】事業報告書兼チェックシート!S37*10/2)),0)</f>
        <v>0</v>
      </c>
      <c r="GD11" s="236">
        <f>IFERROR('要入力　交付決定状況入力シート'!D9/1000-GC11,0)</f>
        <v>0</v>
      </c>
      <c r="GE11" s="231"/>
      <c r="GF11" s="232"/>
      <c r="GG11" s="232"/>
      <c r="GH11" s="232"/>
      <c r="GI11" s="244">
        <f>IFERROR(IF(D11="改修",'要入力　交付決定状況入力シート'!D9/1000,0),0)</f>
        <v>0</v>
      </c>
      <c r="GJ11" s="244">
        <f t="shared" si="14"/>
        <v>0</v>
      </c>
      <c r="GK11" s="244">
        <f>GI11-GJ11</f>
        <v>0</v>
      </c>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c r="IW11" s="96"/>
      <c r="IX11" s="96"/>
      <c r="IY11" s="96"/>
      <c r="IZ11" s="96"/>
      <c r="JA11" s="96"/>
      <c r="JB11" s="96"/>
      <c r="JC11" s="96"/>
      <c r="JD11" s="96"/>
      <c r="JE11" s="96"/>
      <c r="JF11" s="96"/>
      <c r="JG11" s="96"/>
      <c r="JH11" s="96"/>
      <c r="JI11" s="96"/>
      <c r="JJ11" s="96"/>
      <c r="JK11" s="96"/>
      <c r="JL11" s="96"/>
      <c r="JM11" s="96"/>
      <c r="JN11" s="96"/>
      <c r="JO11" s="96"/>
      <c r="JP11" s="96"/>
      <c r="JQ11" s="96"/>
      <c r="JR11" s="96"/>
      <c r="JS11" s="96"/>
      <c r="JT11" s="96"/>
      <c r="JU11" s="96"/>
      <c r="JV11" s="96"/>
      <c r="JW11" s="96"/>
      <c r="JX11" s="96"/>
      <c r="JY11" s="96"/>
      <c r="JZ11" s="96"/>
      <c r="KA11" s="96"/>
      <c r="KB11" s="96"/>
      <c r="KC11" s="96"/>
      <c r="KD11" s="96"/>
      <c r="KE11" s="96"/>
      <c r="KF11" s="96"/>
      <c r="KG11" s="96"/>
      <c r="KH11" s="96"/>
      <c r="KI11" s="96"/>
      <c r="KJ11" s="96"/>
      <c r="KK11" s="96"/>
      <c r="KL11" s="96"/>
      <c r="KM11" s="96"/>
      <c r="KN11" s="96"/>
      <c r="KO11" s="96"/>
      <c r="KP11" s="96"/>
      <c r="KQ11" s="96"/>
      <c r="KR11" s="96"/>
      <c r="KS11" s="96"/>
      <c r="KT11" s="96"/>
      <c r="KU11" s="96"/>
      <c r="KV11" s="96"/>
      <c r="KW11" s="96"/>
      <c r="KX11" s="96"/>
      <c r="KY11" s="96"/>
      <c r="KZ11" s="96"/>
      <c r="LA11" s="96"/>
      <c r="LB11" s="96"/>
      <c r="LC11" s="96"/>
      <c r="LD11" s="96"/>
      <c r="LE11" s="96"/>
      <c r="LF11" s="96"/>
      <c r="LG11" s="96"/>
      <c r="LH11" s="96"/>
      <c r="LI11" s="96"/>
      <c r="LJ11" s="96"/>
      <c r="LK11" s="96"/>
      <c r="LL11" s="96"/>
      <c r="LM11" s="96"/>
      <c r="LN11" s="96"/>
      <c r="LO11" s="96"/>
      <c r="LP11" s="96"/>
      <c r="LQ11" s="96"/>
      <c r="LR11" s="96"/>
      <c r="LS11" s="96"/>
      <c r="LT11" s="96"/>
      <c r="LU11" s="96"/>
      <c r="LV11" s="96"/>
      <c r="LW11" s="96"/>
      <c r="LX11" s="96"/>
      <c r="LY11" s="96"/>
      <c r="LZ11" s="96"/>
      <c r="MA11" s="96"/>
      <c r="MB11" s="96"/>
      <c r="MC11" s="96"/>
      <c r="MD11" s="96"/>
      <c r="ME11" s="96"/>
      <c r="MF11" s="96"/>
      <c r="MG11" s="96"/>
      <c r="MH11" s="96"/>
      <c r="MI11" s="96"/>
      <c r="MJ11" s="96"/>
      <c r="MK11" s="96"/>
      <c r="ML11" s="96"/>
      <c r="MM11" s="96"/>
      <c r="MN11" s="96"/>
      <c r="MO11" s="96"/>
      <c r="MP11" s="96"/>
      <c r="MQ11" s="96"/>
      <c r="MR11" s="96"/>
      <c r="MS11" s="96"/>
      <c r="MT11" s="96"/>
      <c r="MU11" s="96"/>
      <c r="MV11" s="96"/>
      <c r="MW11" s="96"/>
      <c r="MX11" s="96"/>
      <c r="MY11" s="96"/>
      <c r="MZ11" s="96"/>
      <c r="NA11" s="96"/>
      <c r="NB11" s="96"/>
      <c r="NC11" s="96"/>
      <c r="ND11" s="96"/>
      <c r="NE11" s="96"/>
      <c r="NF11" s="96"/>
      <c r="NG11" s="96"/>
      <c r="NH11" s="96"/>
      <c r="NI11" s="96"/>
      <c r="NJ11" s="96"/>
      <c r="NK11" s="96"/>
      <c r="NL11" s="96"/>
      <c r="NM11" s="96"/>
      <c r="NN11" s="96"/>
      <c r="NO11" s="96"/>
      <c r="NP11" s="96"/>
      <c r="NQ11" s="96"/>
      <c r="NR11" s="96"/>
      <c r="NS11" s="96"/>
      <c r="NT11" s="96"/>
      <c r="NU11" s="96"/>
      <c r="NV11" s="96"/>
      <c r="NW11" s="96"/>
      <c r="NX11" s="96"/>
      <c r="NY11" s="96"/>
      <c r="NZ11" s="96"/>
      <c r="OA11" s="96"/>
      <c r="OB11" s="96"/>
      <c r="OC11" s="96"/>
      <c r="OD11" s="96"/>
      <c r="OE11" s="96"/>
      <c r="OF11" s="96"/>
      <c r="OG11" s="96"/>
      <c r="OH11" s="96"/>
      <c r="OI11" s="96"/>
      <c r="OJ11" s="96"/>
      <c r="OK11" s="96"/>
      <c r="OL11" s="96"/>
      <c r="OM11" s="96"/>
      <c r="ON11" s="96"/>
      <c r="OO11" s="96"/>
      <c r="OP11" s="96"/>
      <c r="OQ11" s="96"/>
      <c r="OR11" s="96"/>
      <c r="OS11" s="96"/>
      <c r="OT11" s="96"/>
      <c r="OU11" s="96"/>
      <c r="OV11" s="96"/>
      <c r="OW11" s="96"/>
      <c r="OX11" s="96"/>
      <c r="OY11" s="96"/>
      <c r="OZ11" s="96"/>
      <c r="PA11" s="96"/>
      <c r="PB11" s="96"/>
      <c r="PC11" s="96"/>
      <c r="PD11" s="96"/>
      <c r="PE11" s="96"/>
      <c r="PF11" s="96"/>
      <c r="PG11" s="96"/>
      <c r="PH11" s="96"/>
      <c r="PI11" s="96"/>
      <c r="PJ11" s="96"/>
      <c r="PK11" s="96"/>
      <c r="PL11" s="96"/>
      <c r="PM11" s="96"/>
      <c r="PN11" s="96"/>
      <c r="PO11" s="96"/>
      <c r="PP11" s="96"/>
      <c r="PQ11" s="96"/>
      <c r="PR11" s="96"/>
      <c r="PS11" s="96"/>
      <c r="PT11" s="96"/>
      <c r="PU11" s="96"/>
      <c r="PV11" s="96"/>
      <c r="PW11" s="96"/>
      <c r="PX11" s="96"/>
      <c r="PY11" s="96"/>
      <c r="PZ11" s="96"/>
      <c r="QA11" s="96"/>
      <c r="QB11" s="96"/>
      <c r="QC11" s="96"/>
      <c r="QD11" s="96"/>
      <c r="QE11" s="96"/>
      <c r="QF11" s="96"/>
      <c r="QG11" s="96"/>
      <c r="QH11" s="96"/>
      <c r="QI11" s="96"/>
      <c r="QJ11" s="96"/>
      <c r="QK11" s="96"/>
      <c r="QL11" s="96"/>
      <c r="QM11" s="96"/>
      <c r="QN11" s="96"/>
      <c r="QO11" s="96"/>
      <c r="QP11" s="96"/>
      <c r="QQ11" s="96"/>
      <c r="QR11" s="96"/>
      <c r="QS11" s="96"/>
      <c r="QT11" s="96"/>
      <c r="QU11" s="96"/>
      <c r="QV11" s="96"/>
      <c r="QW11" s="96"/>
      <c r="QX11" s="96"/>
      <c r="QY11" s="96"/>
      <c r="QZ11" s="96"/>
      <c r="RA11" s="96"/>
      <c r="RB11" s="96"/>
      <c r="RC11" s="96"/>
      <c r="RD11" s="96"/>
      <c r="RE11" s="96"/>
      <c r="RF11" s="96"/>
      <c r="RG11" s="96"/>
      <c r="RH11" s="96"/>
      <c r="RI11" s="96"/>
      <c r="RJ11" s="96"/>
      <c r="RK11" s="96"/>
      <c r="RL11" s="96"/>
      <c r="RM11" s="96"/>
      <c r="RN11" s="96"/>
      <c r="RO11" s="96"/>
      <c r="RP11" s="96"/>
      <c r="RQ11" s="96"/>
      <c r="RR11" s="96"/>
      <c r="RS11" s="96"/>
      <c r="RT11" s="96"/>
      <c r="RU11" s="96"/>
      <c r="RV11" s="96"/>
      <c r="RW11" s="96"/>
      <c r="RX11" s="96"/>
      <c r="RY11" s="96"/>
      <c r="RZ11" s="96"/>
      <c r="SA11" s="96"/>
      <c r="SB11" s="96"/>
      <c r="SC11" s="96"/>
      <c r="SD11" s="96"/>
      <c r="SE11" s="96"/>
      <c r="SF11" s="96"/>
      <c r="SG11" s="96"/>
      <c r="SH11" s="96"/>
      <c r="SI11" s="96"/>
      <c r="SJ11" s="96"/>
      <c r="SK11" s="96"/>
      <c r="SL11" s="96"/>
      <c r="SM11" s="96"/>
      <c r="SN11" s="96"/>
      <c r="SO11" s="96"/>
      <c r="SP11" s="96"/>
      <c r="SQ11" s="96"/>
      <c r="SR11" s="96"/>
      <c r="SS11" s="96"/>
      <c r="ST11" s="96"/>
      <c r="SU11" s="96"/>
      <c r="SV11" s="96"/>
      <c r="SW11" s="96"/>
      <c r="SX11" s="96"/>
      <c r="SY11" s="96"/>
      <c r="SZ11" s="96"/>
      <c r="TA11" s="96"/>
      <c r="TB11" s="96"/>
      <c r="TC11" s="96"/>
      <c r="TD11" s="96"/>
      <c r="TE11" s="96"/>
      <c r="TF11" s="96"/>
      <c r="TG11" s="96"/>
      <c r="TH11" s="96"/>
      <c r="TI11" s="96"/>
      <c r="TJ11" s="96"/>
      <c r="TK11" s="96"/>
      <c r="TL11" s="96"/>
      <c r="TM11" s="96"/>
      <c r="TN11" s="96"/>
      <c r="TO11" s="96"/>
      <c r="TP11" s="96"/>
      <c r="TQ11" s="96"/>
      <c r="TR11" s="96"/>
      <c r="TS11" s="96"/>
      <c r="TT11" s="96"/>
      <c r="TU11" s="96"/>
      <c r="TV11" s="96"/>
      <c r="TW11" s="96"/>
      <c r="TX11" s="96"/>
      <c r="TY11" s="96"/>
      <c r="TZ11" s="96"/>
      <c r="UA11" s="96"/>
      <c r="UB11" s="96"/>
      <c r="UC11" s="96"/>
      <c r="UD11" s="96"/>
      <c r="UE11" s="96"/>
      <c r="UF11" s="96"/>
      <c r="UG11" s="96"/>
      <c r="UH11" s="96"/>
      <c r="UI11" s="96"/>
      <c r="UJ11" s="96"/>
      <c r="UK11" s="96"/>
      <c r="UL11" s="96"/>
      <c r="UM11" s="96"/>
      <c r="UN11" s="96"/>
      <c r="UO11" s="96"/>
      <c r="UP11" s="96"/>
      <c r="UQ11" s="96"/>
      <c r="UR11" s="96"/>
      <c r="US11" s="96"/>
      <c r="UT11" s="96"/>
      <c r="UU11" s="96"/>
      <c r="UV11" s="96"/>
      <c r="UW11" s="96"/>
      <c r="UX11" s="96"/>
      <c r="UY11" s="96"/>
      <c r="UZ11" s="96"/>
      <c r="VA11" s="96"/>
      <c r="VB11" s="96"/>
      <c r="VC11" s="96"/>
      <c r="VD11" s="96"/>
      <c r="VE11" s="96"/>
      <c r="VF11" s="96"/>
      <c r="VG11" s="96"/>
      <c r="VH11" s="96"/>
      <c r="VI11" s="96"/>
      <c r="VJ11" s="96"/>
      <c r="VK11" s="96"/>
      <c r="VL11" s="96"/>
      <c r="VM11" s="96"/>
      <c r="VN11" s="96"/>
      <c r="VO11" s="96"/>
      <c r="VP11" s="96"/>
      <c r="VQ11" s="96"/>
      <c r="VR11" s="96"/>
      <c r="VS11" s="96"/>
      <c r="VT11" s="96"/>
      <c r="VU11" s="96"/>
      <c r="VV11" s="96"/>
      <c r="VW11" s="96"/>
      <c r="VX11" s="96"/>
      <c r="VY11" s="96"/>
      <c r="VZ11" s="96"/>
      <c r="WA11" s="96"/>
      <c r="WB11" s="96"/>
      <c r="WC11" s="96"/>
      <c r="WD11" s="96"/>
      <c r="WE11" s="96"/>
      <c r="WF11" s="96"/>
      <c r="WG11" s="96"/>
      <c r="WH11" s="96"/>
      <c r="WI11" s="96"/>
      <c r="WJ11" s="96"/>
      <c r="WK11" s="96"/>
      <c r="WL11" s="96"/>
      <c r="WM11" s="96"/>
      <c r="WN11" s="96"/>
      <c r="WO11" s="96"/>
      <c r="WP11" s="96"/>
      <c r="WQ11" s="96"/>
      <c r="WR11" s="96"/>
      <c r="WS11" s="96"/>
      <c r="WT11" s="96"/>
      <c r="WU11" s="96"/>
      <c r="WV11" s="96"/>
      <c r="WW11" s="96"/>
      <c r="WX11" s="96"/>
      <c r="WY11" s="96"/>
      <c r="WZ11" s="96"/>
      <c r="XA11" s="96"/>
      <c r="XB11" s="96"/>
      <c r="XC11" s="96"/>
      <c r="XD11" s="96"/>
      <c r="XE11" s="96"/>
      <c r="XF11" s="96"/>
      <c r="XG11" s="96"/>
      <c r="XH11" s="96"/>
      <c r="XI11" s="96"/>
      <c r="XJ11" s="96"/>
      <c r="XK11" s="96"/>
      <c r="XL11" s="96"/>
      <c r="XM11" s="96"/>
      <c r="XN11" s="96"/>
      <c r="XO11" s="96"/>
      <c r="XP11" s="96"/>
      <c r="XQ11" s="96"/>
      <c r="XR11" s="96"/>
      <c r="XS11" s="96"/>
      <c r="XT11" s="96"/>
      <c r="XU11" s="96"/>
      <c r="XV11" s="96"/>
      <c r="XW11" s="96"/>
      <c r="XX11" s="96"/>
      <c r="XY11" s="96"/>
      <c r="XZ11" s="96"/>
      <c r="YA11" s="96"/>
      <c r="YB11" s="96"/>
      <c r="YC11" s="96"/>
      <c r="YD11" s="96"/>
      <c r="YE11" s="96"/>
      <c r="YF11" s="96"/>
      <c r="YG11" s="96"/>
      <c r="YH11" s="96"/>
      <c r="YI11" s="96"/>
      <c r="YJ11" s="96"/>
      <c r="YK11" s="96"/>
      <c r="YL11" s="96"/>
      <c r="YM11" s="96"/>
      <c r="YN11" s="96"/>
      <c r="YO11" s="96"/>
      <c r="YP11" s="96"/>
      <c r="YQ11" s="96"/>
      <c r="YR11" s="96"/>
      <c r="YS11" s="96"/>
      <c r="YT11" s="96"/>
      <c r="YU11" s="96"/>
      <c r="YV11" s="96"/>
      <c r="YW11" s="96"/>
      <c r="YX11" s="96"/>
      <c r="YY11" s="96"/>
      <c r="YZ11" s="96"/>
      <c r="ZA11" s="96"/>
      <c r="ZB11" s="96"/>
      <c r="ZC11" s="96"/>
      <c r="ZD11" s="96"/>
      <c r="ZE11" s="96"/>
      <c r="ZF11" s="96"/>
      <c r="ZG11" s="96"/>
      <c r="ZH11" s="96"/>
      <c r="ZI11" s="96"/>
      <c r="ZJ11" s="96"/>
      <c r="ZK11" s="96"/>
      <c r="ZL11" s="96"/>
      <c r="ZM11" s="96"/>
      <c r="ZN11" s="96"/>
      <c r="ZO11" s="96"/>
      <c r="ZP11" s="96"/>
      <c r="ZQ11" s="96"/>
      <c r="ZR11" s="96"/>
      <c r="ZS11" s="96"/>
      <c r="ZT11" s="96"/>
      <c r="ZU11" s="96"/>
      <c r="ZV11" s="96"/>
      <c r="ZW11" s="96"/>
      <c r="ZX11" s="96"/>
      <c r="ZY11" s="96"/>
      <c r="ZZ11" s="96"/>
      <c r="AAA11" s="96"/>
      <c r="AAB11" s="96"/>
      <c r="AAC11" s="96"/>
      <c r="AAD11" s="96"/>
      <c r="AAE11" s="96"/>
      <c r="AAF11" s="96"/>
      <c r="AAG11" s="96"/>
      <c r="AAH11" s="96"/>
      <c r="AAI11" s="96"/>
      <c r="AAJ11" s="96"/>
      <c r="AAK11" s="96"/>
      <c r="AAL11" s="96"/>
      <c r="AAM11" s="96"/>
      <c r="AAN11" s="96"/>
      <c r="AAO11" s="96"/>
      <c r="AAP11" s="96"/>
      <c r="AAQ11" s="96"/>
      <c r="AAR11" s="96"/>
      <c r="AAS11" s="96"/>
      <c r="AAT11" s="96"/>
      <c r="AAU11" s="96"/>
      <c r="AAV11" s="96"/>
      <c r="AAW11" s="96"/>
      <c r="AAX11" s="96"/>
      <c r="AAY11" s="96"/>
      <c r="AAZ11" s="96"/>
      <c r="ABA11" s="96"/>
      <c r="ABB11" s="96"/>
      <c r="ABC11" s="96"/>
      <c r="ABD11" s="96"/>
      <c r="ABE11" s="96"/>
      <c r="ABF11" s="96"/>
      <c r="ABG11" s="96"/>
      <c r="ABH11" s="96"/>
      <c r="ABI11" s="96"/>
      <c r="ABJ11" s="96"/>
      <c r="ABK11" s="96"/>
      <c r="ABL11" s="96"/>
      <c r="ABM11" s="96"/>
      <c r="ABN11" s="96"/>
      <c r="ABO11" s="96"/>
      <c r="ABP11" s="96"/>
      <c r="ABQ11" s="96"/>
      <c r="ABR11" s="96"/>
      <c r="ABS11" s="96"/>
      <c r="ABT11" s="96"/>
      <c r="ABU11" s="96"/>
      <c r="ABV11" s="96"/>
      <c r="ABW11" s="96"/>
      <c r="ABX11" s="96"/>
      <c r="ABY11" s="96"/>
      <c r="ABZ11" s="96"/>
      <c r="ACA11" s="96"/>
      <c r="ACB11" s="96"/>
      <c r="ACC11" s="96"/>
      <c r="ACD11" s="96"/>
      <c r="ACE11" s="96"/>
      <c r="ACF11" s="96"/>
      <c r="ACG11" s="96"/>
      <c r="ACH11" s="96"/>
      <c r="ACI11" s="96"/>
      <c r="ACJ11" s="96"/>
      <c r="ACK11" s="96"/>
      <c r="ACL11" s="96"/>
      <c r="ACM11" s="96"/>
      <c r="ACN11" s="96"/>
      <c r="ACO11" s="96"/>
      <c r="ACP11" s="96"/>
      <c r="ACQ11" s="96"/>
      <c r="ACR11" s="96"/>
      <c r="ACS11" s="96"/>
      <c r="ACT11" s="96"/>
      <c r="ACU11" s="96"/>
      <c r="ACV11" s="96"/>
      <c r="ACW11" s="96"/>
      <c r="ACX11" s="96"/>
      <c r="ACY11" s="96"/>
      <c r="ACZ11" s="96"/>
      <c r="ADA11" s="96"/>
      <c r="ADB11" s="96"/>
      <c r="ADC11" s="96"/>
      <c r="ADD11" s="96"/>
      <c r="ADE11" s="96"/>
      <c r="ADF11" s="96"/>
      <c r="ADG11" s="96"/>
      <c r="ADH11" s="96"/>
      <c r="ADI11" s="96"/>
      <c r="ADJ11" s="96"/>
      <c r="ADK11" s="96"/>
      <c r="ADL11" s="96"/>
      <c r="ADM11" s="96"/>
      <c r="ADN11" s="96"/>
      <c r="ADO11" s="96"/>
      <c r="ADP11" s="96"/>
      <c r="ADQ11" s="96"/>
      <c r="ADR11" s="96"/>
      <c r="ADS11" s="96"/>
      <c r="ADT11" s="96"/>
      <c r="ADU11" s="96"/>
      <c r="ADV11" s="96"/>
      <c r="ADW11" s="96"/>
      <c r="ADX11" s="96"/>
      <c r="ADY11" s="96"/>
      <c r="ADZ11" s="96"/>
      <c r="AEA11" s="96"/>
      <c r="AEB11" s="96"/>
      <c r="AEC11" s="96"/>
      <c r="AED11" s="96"/>
      <c r="AEE11" s="96"/>
      <c r="AEF11" s="96"/>
      <c r="AEG11" s="96"/>
      <c r="AEH11" s="96"/>
      <c r="AEI11" s="96"/>
      <c r="AEJ11" s="96"/>
      <c r="AEK11" s="96"/>
      <c r="AEL11" s="96"/>
      <c r="AEM11" s="96"/>
      <c r="AEN11" s="96"/>
      <c r="AEO11" s="96"/>
      <c r="AEP11" s="96"/>
      <c r="AEQ11" s="96"/>
      <c r="AER11" s="96"/>
      <c r="AES11" s="96"/>
      <c r="AET11" s="96"/>
      <c r="AEU11" s="96"/>
      <c r="AEV11" s="96"/>
      <c r="AEW11" s="96"/>
      <c r="AEX11" s="96"/>
      <c r="AEY11" s="96"/>
      <c r="AEZ11" s="96"/>
      <c r="AFA11" s="96"/>
      <c r="AFB11" s="96"/>
      <c r="AFC11" s="96"/>
      <c r="AFD11" s="96"/>
      <c r="AFE11" s="96"/>
      <c r="AFF11" s="96"/>
      <c r="AFG11" s="96"/>
      <c r="AFH11" s="96"/>
      <c r="AFI11" s="96"/>
      <c r="AFJ11" s="96"/>
      <c r="AFK11" s="96"/>
      <c r="AFL11" s="96"/>
      <c r="AFM11" s="96"/>
      <c r="AFN11" s="96"/>
      <c r="AFO11" s="96"/>
      <c r="AFP11" s="96"/>
      <c r="AFQ11" s="96"/>
      <c r="AFR11" s="96"/>
      <c r="AFS11" s="96"/>
      <c r="AFT11" s="96"/>
      <c r="AFU11" s="96"/>
      <c r="AFV11" s="96"/>
      <c r="AFW11" s="96"/>
      <c r="AFX11" s="96"/>
      <c r="AFY11" s="96"/>
      <c r="AFZ11" s="96"/>
      <c r="AGA11" s="96"/>
      <c r="AGB11" s="96"/>
      <c r="AGC11" s="96"/>
      <c r="AGD11" s="96"/>
      <c r="AGE11" s="96"/>
      <c r="AGF11" s="96"/>
      <c r="AGG11" s="96"/>
      <c r="AGH11" s="96"/>
      <c r="AGI11" s="96"/>
      <c r="AGJ11" s="96"/>
      <c r="AGK11" s="96"/>
      <c r="AGL11" s="96"/>
      <c r="AGM11" s="96"/>
    </row>
    <row r="12" spans="2:871" ht="30" customHeight="1" outlineLevel="1" x14ac:dyDescent="0.2">
      <c r="K12" s="96" t="s">
        <v>387</v>
      </c>
      <c r="FC12" s="267" t="s">
        <v>394</v>
      </c>
    </row>
    <row r="13" spans="2:871" s="247" customFormat="1" ht="30" hidden="1" customHeight="1" x14ac:dyDescent="0.2">
      <c r="B13" s="268">
        <f>SUBTOTAL(3,B11:B11)</f>
        <v>1</v>
      </c>
      <c r="C13" s="269" t="s">
        <v>388</v>
      </c>
      <c r="D13" s="270">
        <f>SUBTOTAL(3,D11:D11)</f>
        <v>1</v>
      </c>
      <c r="E13" s="270">
        <f>SUBTOTAL(3,E11:E11)</f>
        <v>1</v>
      </c>
      <c r="G13" s="270">
        <f>SUBTOTAL(3,G11:G11)</f>
        <v>0</v>
      </c>
      <c r="H13" s="271"/>
      <c r="J13" s="272"/>
      <c r="K13" s="268">
        <f>SUBTOTAL(3,K11:K11)</f>
        <v>1</v>
      </c>
      <c r="L13" s="272"/>
      <c r="M13" s="272"/>
      <c r="O13" s="268">
        <f t="shared" ref="O13:AM13" si="55">SUBTOTAL(9,O11:O11)</f>
        <v>0</v>
      </c>
      <c r="P13" s="268">
        <f t="shared" si="55"/>
        <v>0</v>
      </c>
      <c r="Q13" s="268">
        <f t="shared" si="55"/>
        <v>0</v>
      </c>
      <c r="R13" s="268">
        <f t="shared" si="55"/>
        <v>0</v>
      </c>
      <c r="S13" s="268">
        <f t="shared" si="55"/>
        <v>0</v>
      </c>
      <c r="T13" s="268">
        <f t="shared" si="55"/>
        <v>0</v>
      </c>
      <c r="U13" s="268">
        <f t="shared" si="55"/>
        <v>0</v>
      </c>
      <c r="V13" s="268">
        <f t="shared" si="55"/>
        <v>0</v>
      </c>
      <c r="W13" s="268">
        <f t="shared" si="55"/>
        <v>0</v>
      </c>
      <c r="X13" s="268">
        <f t="shared" si="55"/>
        <v>0</v>
      </c>
      <c r="Y13" s="268">
        <f t="shared" si="55"/>
        <v>0</v>
      </c>
      <c r="Z13" s="268">
        <f t="shared" si="55"/>
        <v>0</v>
      </c>
      <c r="AA13" s="268">
        <f t="shared" si="55"/>
        <v>0</v>
      </c>
      <c r="AB13" s="268">
        <f t="shared" si="55"/>
        <v>0</v>
      </c>
      <c r="AC13" s="268">
        <f t="shared" si="55"/>
        <v>0</v>
      </c>
      <c r="AD13" s="268">
        <f t="shared" si="55"/>
        <v>0</v>
      </c>
      <c r="AE13" s="268">
        <f t="shared" si="55"/>
        <v>0</v>
      </c>
      <c r="AF13" s="268">
        <f t="shared" si="55"/>
        <v>0</v>
      </c>
      <c r="AG13" s="268">
        <f t="shared" si="55"/>
        <v>0</v>
      </c>
      <c r="AH13" s="268">
        <f t="shared" si="55"/>
        <v>0</v>
      </c>
      <c r="AI13" s="268">
        <f t="shared" si="55"/>
        <v>0</v>
      </c>
      <c r="AJ13" s="268">
        <f t="shared" si="55"/>
        <v>0</v>
      </c>
      <c r="AK13" s="268">
        <f t="shared" si="55"/>
        <v>0</v>
      </c>
      <c r="AL13" s="268">
        <f t="shared" si="55"/>
        <v>0</v>
      </c>
      <c r="AM13" s="268">
        <f t="shared" si="55"/>
        <v>0</v>
      </c>
      <c r="AN13" s="268">
        <f t="shared" ref="AN13:AT13" si="56">SUBTOTAL(3,AN11:AN11)</f>
        <v>0</v>
      </c>
      <c r="AO13" s="268">
        <f t="shared" si="56"/>
        <v>0</v>
      </c>
      <c r="AP13" s="268">
        <f t="shared" si="56"/>
        <v>0</v>
      </c>
      <c r="AQ13" s="268">
        <f t="shared" si="56"/>
        <v>0</v>
      </c>
      <c r="AR13" s="268">
        <f t="shared" si="56"/>
        <v>0</v>
      </c>
      <c r="AS13" s="268">
        <f t="shared" si="56"/>
        <v>0</v>
      </c>
      <c r="AT13" s="268">
        <f t="shared" si="56"/>
        <v>0</v>
      </c>
      <c r="AU13" s="268">
        <f>SUBTOTAL(9,AU11:AU11)</f>
        <v>0</v>
      </c>
      <c r="AV13" s="268">
        <f>SUBTOTAL(9,AV11:AV11)</f>
        <v>0</v>
      </c>
      <c r="AW13" s="268">
        <f>SUBTOTAL(3,AW11:AW11)</f>
        <v>0</v>
      </c>
      <c r="AX13" s="268">
        <f>SUBTOTAL(3,AX11:AX11)</f>
        <v>0</v>
      </c>
      <c r="AY13" s="268">
        <f>SUBTOTAL(3,AY11:AY11)</f>
        <v>0</v>
      </c>
      <c r="AZ13" s="268">
        <f t="shared" ref="AZ13:BN13" si="57">SUBTOTAL(9,AZ11:AZ11)</f>
        <v>0</v>
      </c>
      <c r="BA13" s="268">
        <f t="shared" si="57"/>
        <v>0</v>
      </c>
      <c r="BB13" s="268">
        <f t="shared" si="57"/>
        <v>0</v>
      </c>
      <c r="BC13" s="268">
        <f t="shared" si="57"/>
        <v>0</v>
      </c>
      <c r="BD13" s="268">
        <f t="shared" si="57"/>
        <v>0</v>
      </c>
      <c r="BE13" s="268">
        <f t="shared" si="57"/>
        <v>0</v>
      </c>
      <c r="BF13" s="268">
        <f t="shared" si="57"/>
        <v>0</v>
      </c>
      <c r="BG13" s="268">
        <f t="shared" si="57"/>
        <v>0</v>
      </c>
      <c r="BH13" s="268">
        <f t="shared" si="57"/>
        <v>0</v>
      </c>
      <c r="BI13" s="268">
        <f t="shared" si="57"/>
        <v>0</v>
      </c>
      <c r="BJ13" s="268">
        <f t="shared" si="57"/>
        <v>0</v>
      </c>
      <c r="BK13" s="268">
        <f t="shared" si="57"/>
        <v>0</v>
      </c>
      <c r="BL13" s="268">
        <f t="shared" si="57"/>
        <v>0</v>
      </c>
      <c r="BM13" s="268">
        <f t="shared" si="57"/>
        <v>0</v>
      </c>
      <c r="BN13" s="268">
        <f t="shared" si="57"/>
        <v>0</v>
      </c>
      <c r="BO13" s="268">
        <f>SUBTOTAL(3,BO11:BO11)</f>
        <v>0</v>
      </c>
      <c r="BP13" s="268">
        <f>SUBTOTAL(3,BP11:BP11)</f>
        <v>0</v>
      </c>
      <c r="BQ13" s="268">
        <f>SUBTOTAL(3,BQ11:BQ11)</f>
        <v>0</v>
      </c>
      <c r="BR13" s="268">
        <f>SUBTOTAL(9,BR11:BR11)</f>
        <v>0</v>
      </c>
      <c r="BS13" s="268">
        <f>SUBTOTAL(3,BS11:BS11)</f>
        <v>0</v>
      </c>
      <c r="BT13" s="268">
        <f>SUBTOTAL(9,BT11:BT11)</f>
        <v>0</v>
      </c>
      <c r="BU13" s="271"/>
      <c r="BV13" s="271"/>
      <c r="BW13" s="271"/>
      <c r="BX13" s="271"/>
      <c r="BY13" s="271"/>
      <c r="BZ13" s="271"/>
      <c r="CA13" s="271"/>
      <c r="CB13" s="271"/>
      <c r="CC13" s="271"/>
      <c r="CD13" s="271"/>
      <c r="CE13" s="271"/>
      <c r="CF13" s="271"/>
      <c r="CG13" s="271"/>
      <c r="CH13" s="268">
        <f>SUBTOTAL(9,CH11:CH11)</f>
        <v>0</v>
      </c>
      <c r="CI13" s="268">
        <f>SUBTOTAL(3,CI11:CI11)</f>
        <v>0</v>
      </c>
      <c r="CK13" s="270">
        <f>SUBTOTAL(3,CK11:CK11)</f>
        <v>0</v>
      </c>
      <c r="CL13" s="268">
        <f>SUBTOTAL(9,CL11:CL11)</f>
        <v>0</v>
      </c>
      <c r="CM13" s="268">
        <f>SUBTOTAL(9,CM11:CM11)</f>
        <v>0</v>
      </c>
      <c r="CN13" s="272"/>
      <c r="CO13" s="271"/>
      <c r="CR13" s="271"/>
      <c r="CS13" s="271"/>
      <c r="CV13" s="268">
        <f>SUBTOTAL(3,CV11:CV11)</f>
        <v>0</v>
      </c>
      <c r="DB13" s="270">
        <f>SUBTOTAL(3,DB11:DB11)</f>
        <v>1</v>
      </c>
      <c r="DC13" s="268">
        <f>SUBTOTAL(9,DC11:DC11)</f>
        <v>0</v>
      </c>
      <c r="DD13" s="268">
        <f>SUBTOTAL(9,DD11:DD11)</f>
        <v>0</v>
      </c>
      <c r="DE13" s="268">
        <f>SUBTOTAL(3,DE11:DE11)</f>
        <v>0</v>
      </c>
      <c r="DF13" s="268">
        <f>SUBTOTAL(9,DF11:DF11)</f>
        <v>0</v>
      </c>
      <c r="DG13" s="268">
        <f>SUBTOTAL(9,DG11:DG11)</f>
        <v>0</v>
      </c>
      <c r="DH13" s="268">
        <f>SUBTOTAL(9,DH11:DH11)</f>
        <v>0</v>
      </c>
      <c r="DI13" s="268">
        <f>SUBTOTAL(9,DI11:DI11)</f>
        <v>0</v>
      </c>
      <c r="DJ13" s="268">
        <f>SUBTOTAL(3,DJ11:DJ11)</f>
        <v>0</v>
      </c>
      <c r="DK13" s="268">
        <f>SUBTOTAL(9,DK11:DK11)</f>
        <v>0</v>
      </c>
      <c r="DL13" s="268">
        <f>SUBTOTAL(9,DL11:DL11)</f>
        <v>0</v>
      </c>
      <c r="DM13" s="268">
        <f>SUBTOTAL(9,DM11:DM11)</f>
        <v>0</v>
      </c>
      <c r="DN13" s="268">
        <f>SUBTOTAL(9,DN11:DN11)</f>
        <v>0</v>
      </c>
      <c r="DO13" s="268">
        <f>SUBTOTAL(3,DO11:DO11)</f>
        <v>0</v>
      </c>
      <c r="DP13" s="268">
        <f t="shared" ref="DP13:DV13" si="58">SUBTOTAL(9,DP11:DP11)</f>
        <v>0</v>
      </c>
      <c r="DQ13" s="268">
        <f t="shared" si="58"/>
        <v>0</v>
      </c>
      <c r="DR13" s="268">
        <f t="shared" si="58"/>
        <v>0</v>
      </c>
      <c r="DS13" s="268">
        <f t="shared" si="58"/>
        <v>0</v>
      </c>
      <c r="DT13" s="268">
        <f t="shared" si="58"/>
        <v>0</v>
      </c>
      <c r="DU13" s="268">
        <f t="shared" si="58"/>
        <v>0</v>
      </c>
      <c r="DV13" s="268">
        <f t="shared" si="58"/>
        <v>0</v>
      </c>
      <c r="DW13" s="268">
        <f>SUBTOTAL(3,DW11:DW11)</f>
        <v>0</v>
      </c>
      <c r="DX13" s="268">
        <f t="shared" ref="DX13:EK13" si="59">SUBTOTAL(9,DX11:DX11)</f>
        <v>0</v>
      </c>
      <c r="DY13" s="268">
        <f t="shared" si="59"/>
        <v>0</v>
      </c>
      <c r="DZ13" s="268">
        <f t="shared" si="59"/>
        <v>0</v>
      </c>
      <c r="EA13" s="268">
        <f t="shared" si="59"/>
        <v>0</v>
      </c>
      <c r="EB13" s="268">
        <f t="shared" si="59"/>
        <v>0</v>
      </c>
      <c r="EC13" s="268">
        <f t="shared" si="59"/>
        <v>0</v>
      </c>
      <c r="ED13" s="268">
        <f t="shared" si="59"/>
        <v>0</v>
      </c>
      <c r="EE13" s="268">
        <f t="shared" si="59"/>
        <v>0</v>
      </c>
      <c r="EF13" s="268">
        <f t="shared" si="59"/>
        <v>0</v>
      </c>
      <c r="EG13" s="268">
        <f t="shared" si="59"/>
        <v>0</v>
      </c>
      <c r="EH13" s="268">
        <f t="shared" si="59"/>
        <v>0</v>
      </c>
      <c r="EI13" s="268">
        <f t="shared" si="59"/>
        <v>0</v>
      </c>
      <c r="EJ13" s="268">
        <f t="shared" si="59"/>
        <v>0</v>
      </c>
      <c r="EK13" s="268">
        <f t="shared" si="59"/>
        <v>0</v>
      </c>
      <c r="EL13" s="268">
        <f t="shared" ref="EL13:ER13" si="60">SUBTOTAL(3,EL11:EL11)</f>
        <v>0</v>
      </c>
      <c r="EM13" s="268">
        <f t="shared" si="60"/>
        <v>0</v>
      </c>
      <c r="EN13" s="268">
        <f t="shared" si="60"/>
        <v>0</v>
      </c>
      <c r="EO13" s="268">
        <f t="shared" si="60"/>
        <v>0</v>
      </c>
      <c r="EP13" s="268">
        <f t="shared" si="60"/>
        <v>0</v>
      </c>
      <c r="EQ13" s="268">
        <f t="shared" si="60"/>
        <v>0</v>
      </c>
      <c r="ER13" s="268">
        <f t="shared" si="60"/>
        <v>0</v>
      </c>
      <c r="ES13" s="268">
        <f>SUBTOTAL(9,ES11:ES11)</f>
        <v>0</v>
      </c>
      <c r="ET13" s="268">
        <f>SUBTOTAL(9,ET11:ET11)</f>
        <v>0</v>
      </c>
      <c r="EU13" s="268">
        <f>SUBTOTAL(9,EU11:EU11)</f>
        <v>0</v>
      </c>
      <c r="EV13" s="268">
        <f>SUBTOTAL(3,EV11:EV11)</f>
        <v>0</v>
      </c>
      <c r="EW13" s="268">
        <f>SUBTOTAL(3,EW11:EW11)</f>
        <v>0</v>
      </c>
      <c r="EX13" s="268">
        <f>SUBTOTAL(3,EX11:EX11)</f>
        <v>0</v>
      </c>
      <c r="EY13" s="268">
        <f>SUBTOTAL(3,EY11:EY11)</f>
        <v>0</v>
      </c>
      <c r="EZ13" s="268">
        <f>SUBTOTAL(3,EZ11:EZ11)</f>
        <v>0</v>
      </c>
      <c r="FA13" s="268">
        <f>SUBTOTAL(9,FA11:FA11)</f>
        <v>0</v>
      </c>
      <c r="FB13" s="268">
        <f>SUBTOTAL(9,FB11:FB11)</f>
        <v>0</v>
      </c>
      <c r="FC13" s="268">
        <f>SUBTOTAL(9,FC11:FC11)</f>
        <v>0</v>
      </c>
      <c r="FD13" s="268">
        <f>SUBTOTAL(9,FD11:FD11)</f>
        <v>0</v>
      </c>
      <c r="FE13" s="268">
        <f>SUBTOTAL(3,FE11:FE11)</f>
        <v>0</v>
      </c>
      <c r="FF13" s="268">
        <f>SUBTOTAL(9,FF11:FF11)</f>
        <v>0</v>
      </c>
      <c r="FG13" s="268">
        <f>SUBTOTAL(3,FG11:FG11)</f>
        <v>0</v>
      </c>
      <c r="FH13" s="268">
        <f t="shared" ref="FH13:FU13" si="61">SUBTOTAL(9,FH11:FH11)</f>
        <v>0</v>
      </c>
      <c r="FI13" s="268">
        <f t="shared" si="61"/>
        <v>0</v>
      </c>
      <c r="FJ13" s="268">
        <f t="shared" si="61"/>
        <v>0</v>
      </c>
      <c r="FK13" s="268">
        <f t="shared" si="61"/>
        <v>0</v>
      </c>
      <c r="FL13" s="268">
        <f t="shared" si="61"/>
        <v>0</v>
      </c>
      <c r="FM13" s="268">
        <f t="shared" si="61"/>
        <v>0</v>
      </c>
      <c r="FN13" s="268">
        <f t="shared" si="61"/>
        <v>0</v>
      </c>
      <c r="FO13" s="268">
        <f t="shared" si="61"/>
        <v>0</v>
      </c>
      <c r="FP13" s="268">
        <f t="shared" si="61"/>
        <v>0</v>
      </c>
      <c r="FQ13" s="268">
        <f t="shared" si="61"/>
        <v>0</v>
      </c>
      <c r="FR13" s="268">
        <f t="shared" si="61"/>
        <v>0</v>
      </c>
      <c r="FS13" s="268">
        <f t="shared" si="61"/>
        <v>0</v>
      </c>
      <c r="FT13" s="268">
        <f t="shared" si="61"/>
        <v>0</v>
      </c>
      <c r="FU13" s="268">
        <f t="shared" si="61"/>
        <v>0</v>
      </c>
      <c r="FV13" s="268">
        <f>SUBTOTAL(3,FV11:FV11)</f>
        <v>1</v>
      </c>
      <c r="FW13" s="268">
        <f>SUBTOTAL(3,FW11:FW11)</f>
        <v>1</v>
      </c>
      <c r="FX13" s="268">
        <f>SUBTOTAL(3,FX11:FX11)</f>
        <v>1</v>
      </c>
      <c r="FY13" s="268">
        <f>SUBTOTAL(9,FY11:FY11)</f>
        <v>0</v>
      </c>
      <c r="FZ13" s="268">
        <f>SUBTOTAL(9,FZ11:FZ11)</f>
        <v>0</v>
      </c>
      <c r="GA13" s="268">
        <f>SUBTOTAL(3,GA11:GA11)</f>
        <v>1</v>
      </c>
      <c r="GB13" s="268">
        <f>SUBTOTAL(3,GB11:GB11)</f>
        <v>0</v>
      </c>
      <c r="GC13" s="268">
        <f>SUBTOTAL(9,GC11:GC11)</f>
        <v>0</v>
      </c>
      <c r="GD13" s="268">
        <f>SUBTOTAL(9,GD11:GD11)</f>
        <v>0</v>
      </c>
      <c r="GF13" s="271"/>
      <c r="GG13" s="271"/>
      <c r="GH13" s="271"/>
      <c r="GI13" s="268">
        <f>SUBTOTAL(9,GI11:GI11)</f>
        <v>0</v>
      </c>
      <c r="GJ13" s="268">
        <f>SUBTOTAL(9,GJ11:GJ11)</f>
        <v>0</v>
      </c>
      <c r="GK13" s="268">
        <f>SUBTOTAL(9,GK11:GK11)</f>
        <v>0</v>
      </c>
    </row>
    <row r="14" spans="2:871" ht="30" customHeight="1" x14ac:dyDescent="0.2"/>
    <row r="15" spans="2:871" ht="30" customHeight="1" x14ac:dyDescent="0.2"/>
    <row r="16" spans="2:871"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mergeCells count="8">
    <mergeCell ref="X4:Z4"/>
    <mergeCell ref="AB4:AD4"/>
    <mergeCell ref="DR4:DT4"/>
    <mergeCell ref="DU4:DX4"/>
    <mergeCell ref="BU5:BZ5"/>
    <mergeCell ref="CA5:CF5"/>
    <mergeCell ref="AZ3:AZ5"/>
    <mergeCell ref="CX3:CZ4"/>
  </mergeCells>
  <phoneticPr fontId="1"/>
  <conditionalFormatting sqref="O6:AZ11">
    <cfRule type="expression" dxfId="2" priority="1">
      <formula>($D6="改修")</formula>
    </cfRule>
  </conditionalFormatting>
  <conditionalFormatting sqref="BA6:BT11 FC6:GD11">
    <cfRule type="expression" dxfId="1" priority="7">
      <formula>OR($D6="新築",$D6="登録")</formula>
    </cfRule>
  </conditionalFormatting>
  <conditionalFormatting sqref="DC6:FB11">
    <cfRule type="expression" dxfId="0" priority="2">
      <formula>OR($D6="改修",$D6="登録")</formula>
    </cfRule>
  </conditionalFormatting>
  <dataValidations xWindow="830" yWindow="909" count="59">
    <dataValidation type="whole" operator="greaterThanOrEqual" allowBlank="1" showInputMessage="1" showErrorMessage="1" error="３未満の値は入力しないでください。_x000a_（建具は見付３㎡以上が補助対象です）" prompt="FU列の木製建具事業者名も選択してください。" sqref="FX6:FX10" xr:uid="{00000000-0002-0000-0300-000000000000}">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W6:FW10" xr:uid="{00000000-0002-0000-0300-000001000000}">
      <formula1>7</formula1>
    </dataValidation>
    <dataValidation allowBlank="1" showErrorMessage="1" sqref="GB6:GB11" xr:uid="{00000000-0002-0000-0300-000002000000}"/>
    <dataValidation operator="greaterThanOrEqual" allowBlank="1" showInputMessage="1" showErrorMessage="1" error="整数値で入力" sqref="FG6:FG10" xr:uid="{00000000-0002-0000-0300-000003000000}"/>
    <dataValidation allowBlank="1" showInputMessage="1" showErrorMessage="1" error="0.3以上が補助対象、実木材使用量以下の数値を入力" sqref="FE6:FE10" xr:uid="{00000000-0002-0000-0300-000004000000}"/>
    <dataValidation type="list" allowBlank="1" showInputMessage="1" showErrorMessage="1" prompt="EO列に畳事業者名を入力してください。" sqref="EQ6:EQ10" xr:uid="{00000000-0002-0000-0300-000005000000}">
      <formula1>"1"</formula1>
    </dataValidation>
    <dataValidation type="list" allowBlank="1" showInputMessage="1" showErrorMessage="1" prompt="EN列の木製建具事業者名も入力してください。" sqref="EP6:EP10" xr:uid="{00000000-0002-0000-0300-000006000000}">
      <formula1>"1,2"</formula1>
    </dataValidation>
    <dataValidation type="list" allowBlank="1" showInputMessage="1" showErrorMessage="1" prompt="EM列の左官材料の種類も選択してください。" sqref="EN6:EN10" xr:uid="{00000000-0002-0000-0300-000007000000}">
      <formula1>"1,2"</formula1>
    </dataValidation>
    <dataValidation type="list" allowBlank="1" showInputMessage="1" showErrorMessage="1" prompt="EL列の瓦の種類も選択してください。" sqref="EO6:EO10" xr:uid="{00000000-0002-0000-0300-000008000000}">
      <formula1>"2"</formula1>
    </dataValidation>
    <dataValidation type="list" allowBlank="1" showErrorMessage="1" sqref="EW6:EX11 GA6:GA10" xr:uid="{00000000-0002-0000-0300-000009000000}">
      <formula1>"モルタル塗,漆喰塗,土壁塗,そとん壁,じゅらく塗,珪藻土塗,その他"</formula1>
    </dataValidation>
    <dataValidation type="list" allowBlank="1" showErrorMessage="1" sqref="EV6:EV10" xr:uid="{00000000-0002-0000-0300-00000A000000}">
      <formula1>"平板瓦,和瓦,S瓦"</formula1>
    </dataValidation>
    <dataValidation operator="greaterThanOrEqual" allowBlank="1" showInputMessage="1" showErrorMessage="1" error="県産材の実使用量より大きな値は入力しないでください。" sqref="DW6:DW10" xr:uid="{00000000-0002-0000-0300-00000B000000}"/>
    <dataValidation operator="lessThanOrEqual" allowBlank="1" showInputMessage="1" showErrorMessage="1" error="県産材の実使用量より大きな値は入力しないでください。" sqref="DO6:DO10" xr:uid="{00000000-0002-0000-0300-00000C000000}"/>
    <dataValidation operator="lessThanOrEqual" allowBlank="1" showInputMessage="1" showErrorMessage="1" error="県産材の実使用量より大きな値は入力しないでください（整数値入力）。" sqref="DJ6:DJ10 S11 V11 AC11 Y11 AF11:AG11 AJ11:AK11 AN11:AT11" xr:uid="{00000000-0002-0000-0300-00000D000000}"/>
    <dataValidation allowBlank="1" showInputMessage="1" showErrorMessage="1" error="実木材使用量より大きな値は入力しないでください。補助対象は10m3以上です（整数値で入力）。" sqref="DE6:DE10 P11" xr:uid="{00000000-0002-0000-0300-00000E000000}"/>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P6:BP11" xr:uid="{00000000-0002-0000-0300-00000F000000}">
      <formula1>7</formula1>
    </dataValidation>
    <dataValidation type="list" allowBlank="1" showInputMessage="1" showErrorMessage="1" prompt="AX列の左官材料の種類も選択してください。" sqref="AP6:AP10" xr:uid="{00000000-0002-0000-0300-000010000000}">
      <formula1>"1,2"</formula1>
    </dataValidation>
    <dataValidation type="list" allowBlank="1" showInputMessage="1" showErrorMessage="1" prompt="AW列の瓦の種類も選択してください。" sqref="AQ6:AQ10" xr:uid="{00000000-0002-0000-0300-000011000000}">
      <formula1>"2"</formula1>
    </dataValidation>
    <dataValidation allowBlank="1" showInputMessage="1" showErrorMessage="1" prompt="自動計算" sqref="E6:E11 EI6:EK11 FS6:FU11 ES6:EU11 FH6:FJ11 DF6:DH11 ED6:EF11 DX6:EA11 FA6:FB11 GC6:GD11 FM6:FO11 AD6:AE11 B6:B11 BH6:BI11 Q6:R11 GI6:GK11 T6:U11 AU6:AV11 AL6:AM11 BD6:BE11 BM6:BN11 BR6:BR11 BT6:BT11 CH6:CH11 AH6:AI11 AZ6:AZ11 Z6:AB11 W6:X11 DK6:DM11 DP6:DR11 DT6:DU11 FY6:FZ11" xr:uid="{00000000-0002-0000-0300-000012000000}"/>
    <dataValidation type="list" allowBlank="1" showInputMessage="1" showErrorMessage="1" sqref="BS6:BS11 AX6:AY11" xr:uid="{00000000-0002-0000-0300-000013000000}">
      <formula1>"モルタル塗,漆喰塗,土壁塗,そとん壁,じゅらく塗,珪藻土塗,その他"</formula1>
    </dataValidation>
    <dataValidation type="list" allowBlank="1" showInputMessage="1" showErrorMessage="1" sqref="AW6:AW11" xr:uid="{00000000-0002-0000-0300-000014000000}">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00000000-0002-0000-0300-000015000000}">
      <formula1>"新築,改修,登録"</formula1>
    </dataValidation>
    <dataValidation type="list" allowBlank="1" showInputMessage="1" showErrorMessage="1" sqref="CK6:CK11" xr:uid="{00000000-0002-0000-0300-000016000000}">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Q6:BQ11" xr:uid="{00000000-0002-0000-0300-000017000000}">
      <formula1>3</formula1>
    </dataValidation>
    <dataValidation type="whole" operator="greaterThanOrEqual" allowBlank="1" showInputMessage="1" showErrorMessage="1" error="７未満の値は入力しないでください。（補助対象となるのは最低７平方メートル以上です）" sqref="BO6:BO11 FV6:FV10" xr:uid="{00000000-0002-0000-0300-000018000000}">
      <formula1>7</formula1>
    </dataValidation>
    <dataValidation type="whole" operator="greaterThanOrEqual" allowBlank="1" showInputMessage="1" showErrorMessage="1" error="整数値で入力" sqref="BC6:BC11 FF6:FF10" xr:uid="{00000000-0002-0000-0300-000019000000}">
      <formula1>0</formula1>
    </dataValidation>
    <dataValidation type="list" allowBlank="1" showInputMessage="1" showErrorMessage="1" sqref="AO6:AO10 EM6:EM10" xr:uid="{00000000-0002-0000-0300-00001A000000}">
      <formula1>"2"</formula1>
    </dataValidation>
    <dataValidation type="list" allowBlank="1" showInputMessage="1" showErrorMessage="1" sqref="AR6:AR10 AT6:AT10 ER6:ER10" xr:uid="{00000000-0002-0000-0300-00001B000000}">
      <formula1>"1,2"</formula1>
    </dataValidation>
    <dataValidation type="list" allowBlank="1" showInputMessage="1" showErrorMessage="1" sqref="AN6:AN10 EL6:EL10" xr:uid="{00000000-0002-0000-0300-00001C000000}">
      <formula1>"4"</formula1>
    </dataValidation>
    <dataValidation type="whole" operator="greaterThanOrEqual" allowBlank="1" showInputMessage="1" showErrorMessage="1" error="10以上の整数値を入力してください。" sqref="O6:O10 DC6:DC10" xr:uid="{00000000-0002-0000-0300-00001D000000}">
      <formula1>10</formula1>
    </dataValidation>
    <dataValidation type="whole" operator="greaterThanOrEqual" allowBlank="1" showInputMessage="1" showErrorMessage="1" error="県産材の実使用量より大きな値は入力しないでください。" sqref="AC6:AC10 DV6:DV10" xr:uid="{00000000-0002-0000-0300-00001E000000}">
      <formula1>0</formula1>
    </dataValidation>
    <dataValidation type="list" allowBlank="1" showInputMessage="1" showErrorMessage="1" sqref="M6:M10" xr:uid="{00000000-0002-0000-0300-00001F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F6:F11 DB6:DB10 G6:G10" xr:uid="{00000000-0002-0000-0300-000020000000}">
      <formula1>"債,支→債,債→支"</formula1>
    </dataValidation>
    <dataValidation type="date" operator="greaterThanOrEqual" allowBlank="1" showInputMessage="1" showErrorMessage="1" error="日付以外の内容は入力できません" sqref="CF10 BV10 BW6:BW10 BX10 BY6:BY10 BZ10 CB10 CC6:CC10 CD10 CE6:CE10 BU6:BU10" xr:uid="{00000000-0002-0000-0300-000021000000}">
      <formula1>1</formula1>
    </dataValidation>
    <dataValidation type="list" allowBlank="1" showInputMessage="1" showErrorMessage="1" sqref="CN6:CN10" xr:uid="{00000000-0002-0000-0300-000022000000}">
      <formula1>"要,不要"</formula1>
    </dataValidation>
    <dataValidation type="decimal" operator="greaterThanOrEqual" allowBlank="1" showInputMessage="1" showErrorMessage="1" error="数値以外は入力できません" sqref="CL6:CM10" xr:uid="{00000000-0002-0000-0300-000023000000}">
      <formula1>0</formula1>
    </dataValidation>
    <dataValidation type="date" operator="greaterThanOrEqual" allowBlank="1" showInputMessage="1" showErrorMessage="1" error="日付以外は入力できません" sqref="CO6:CO10 GF6:GH11 CR6:CS11" xr:uid="{00000000-0002-0000-0300-000024000000}">
      <formula1>1</formula1>
    </dataValidation>
    <dataValidation type="date" operator="greaterThanOrEqual" allowBlank="1" showInputMessage="1" showErrorMessage="1" error="日付以外の値は入力できません" sqref="H6:H11" xr:uid="{00000000-0002-0000-0300-000025000000}">
      <formula1>1</formula1>
    </dataValidation>
    <dataValidation type="list" allowBlank="1" showInputMessage="1" showErrorMessage="1" sqref="GE6:GE11" xr:uid="{00000000-0002-0000-0300-000026000000}">
      <formula1>"実績,取下,取消"</formula1>
    </dataValidation>
    <dataValidation type="list" allowBlank="1" showInputMessage="1" showErrorMessage="1" sqref="CQ6:CQ11" xr:uid="{00000000-0002-0000-0300-000027000000}">
      <formula1>"若年子育て,三世代近居,三世代同居"</formula1>
    </dataValidation>
    <dataValidation type="list" allowBlank="1" showInputMessage="1" showErrorMessage="1" sqref="EB6:EC10 FK6:FL10 AS6:AS10 EG6:EH10 AJ6:AK10 BF6:BG11 BJ6:BL11 AF6:AG10 FP6:FR10" xr:uid="{00000000-0002-0000-0300-000028000000}">
      <formula1>"1"</formula1>
    </dataValidation>
    <dataValidation type="decimal" operator="greaterThanOrEqual" allowBlank="1" showInputMessage="1" showErrorMessage="1" sqref="BA6:BA11 FC6:FC10" xr:uid="{00000000-0002-0000-0300-000029000000}">
      <formula1>0</formula1>
    </dataValidation>
    <dataValidation type="whole" operator="lessThanOrEqual" allowBlank="1" showInputMessage="1" showErrorMessage="1" error="県産材の実使用量より大きな値は入力しないでください。" sqref="DN6:DN10" xr:uid="{00000000-0002-0000-0300-00002A000000}">
      <formula1>DI6</formula1>
    </dataValidation>
    <dataValidation imeMode="halfAlpha" allowBlank="1" showInputMessage="1" showErrorMessage="1" sqref="L1:L1048576 J1:J1048576" xr:uid="{00000000-0002-0000-0300-00002B000000}"/>
    <dataValidation type="whole" allowBlank="1" showInputMessage="1" showErrorMessage="1" error="実木材使用量より大きな値は入力しないでください。補助対象は10m3以上です（整数値で入力）。" sqref="P6:P10 DD6:DD10" xr:uid="{00000000-0002-0000-0300-00002C000000}">
      <formula1>10</formula1>
      <formula2>O6</formula2>
    </dataValidation>
    <dataValidation type="decimal" operator="lessThanOrEqual" allowBlank="1" showInputMessage="1" showErrorMessage="1" error="県産材の実使用量より大きな値は入力しないでください。" sqref="DS6:DS10" xr:uid="{00000000-0002-0000-0300-00002D000000}">
      <formula1>DI6</formula1>
    </dataValidation>
    <dataValidation type="whole" operator="lessThanOrEqual" allowBlank="1" showInputMessage="1" showErrorMessage="1" error="県産材の実使用量より大きな値は入力しないでください（整数値入力）。" sqref="DI6:DI10" xr:uid="{00000000-0002-0000-0300-00002E000000}">
      <formula1>DD6</formula1>
    </dataValidation>
    <dataValidation type="decimal" allowBlank="1" showInputMessage="1" showErrorMessage="1" error="0.3以上が補助対象、実木材使用量以下の数値を入力" sqref="BB6:BB11 FD6:FD10" xr:uid="{00000000-0002-0000-0300-00002F000000}">
      <formula1>0.3</formula1>
      <formula2>BA6</formula2>
    </dataValidation>
    <dataValidation type="whole" operator="lessThanOrEqual" allowBlank="1" showInputMessage="1" showErrorMessage="1" error="県産材の実使用量より大きな値は入力しないでください（整数値入力）。" sqref="S6:S10" xr:uid="{00000000-0002-0000-0300-000030000000}">
      <formula1>P6</formula1>
    </dataValidation>
    <dataValidation type="whole" operator="lessThanOrEqual" allowBlank="1" showInputMessage="1" showErrorMessage="1" error="県産材の実使用量より大きな値は入力しないでください。" sqref="V6:V10" xr:uid="{00000000-0002-0000-0300-000031000000}">
      <formula1>S6</formula1>
    </dataValidation>
    <dataValidation type="date" operator="greaterThanOrEqual" allowBlank="1" showInputMessage="1" showErrorMessage="1" error="申請日より前の日付や、日付以外の内容は入力できません" sqref="CA6:CA10" xr:uid="{00000000-0002-0000-0300-000032000000}">
      <formula1>BU6</formula1>
    </dataValidation>
    <dataValidation type="date" operator="greaterThanOrEqual" allowBlank="1" showInputMessage="1" showErrorMessage="1" error="申請日より前の日付や、日付以外の内容は入力できません" sqref="CG6:CG10" xr:uid="{00000000-0002-0000-0300-000033000000}">
      <formula1>H6</formula1>
    </dataValidation>
    <dataValidation type="decimal" operator="lessThanOrEqual" allowBlank="1" showInputMessage="1" showErrorMessage="1" error="県産材の実使用量より大きな値は入力しないでください。" sqref="Y6:Y10" xr:uid="{00000000-0002-0000-0300-000034000000}">
      <formula1>S6</formula1>
    </dataValidation>
    <dataValidation operator="greaterThanOrEqual" allowBlank="1" showInputMessage="1" showErrorMessage="1" error="10以上の整数値を入力してください。" sqref="O11 DC11:DE11 DI11:DJ11 DN11:DO11 DV11:DW11 DS11 EB11:EC11 EG11:EH11 EL11:ER11 EY11:EZ11 EV11" xr:uid="{00000000-0002-0000-0300-000035000000}"/>
    <dataValidation operator="greaterThanOrEqual" allowBlank="1" showInputMessage="1" showErrorMessage="1" error="日付以外の内容は入力できません" sqref="BZ6:BZ9 BV6:BV9 BX6:BX9 CD6:CD9 CF6:CF9 CB6:CB9 BU11:CG11" xr:uid="{00000000-0002-0000-0300-000036000000}"/>
    <dataValidation operator="greaterThanOrEqual" allowBlank="1" showInputMessage="1" showErrorMessage="1" error="数値以外は入力できません" sqref="CL11:CP11 CT11:CZ11" xr:uid="{00000000-0002-0000-0300-000037000000}"/>
    <dataValidation type="decimal" operator="greaterThanOrEqual" allowBlank="1" showInputMessage="1" sqref="FC11" xr:uid="{00000000-0002-0000-0300-000038000000}">
      <formula1>0</formula1>
    </dataValidation>
    <dataValidation allowBlank="1" showInputMessage="1" sqref="FD11:FG11 GA11 FV11:FX11 FP11:FR11 FK11:FL11" xr:uid="{00000000-0002-0000-0300-000039000000}"/>
    <dataValidation type="list" allowBlank="1" showInputMessage="1" showErrorMessage="1" sqref="G11 DB11" xr:uid="{00000000-0002-0000-0300-00003A000000}">
      <formula1>"〇"</formula1>
    </dataValidation>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view="pageBreakPreview" zoomScaleNormal="100" zoomScaleSheetLayoutView="100" workbookViewId="0">
      <selection activeCell="B15" sqref="B15"/>
    </sheetView>
  </sheetViews>
  <sheetFormatPr defaultColWidth="9" defaultRowHeight="13.2" x14ac:dyDescent="0.2"/>
  <cols>
    <col min="1" max="1" width="4.77734375" style="1" customWidth="1"/>
    <col min="2" max="4" width="24.6640625" style="1" customWidth="1"/>
    <col min="5" max="16384" width="9" style="1"/>
  </cols>
  <sheetData>
    <row r="1" spans="1:6" x14ac:dyDescent="0.2">
      <c r="A1" s="1" t="s">
        <v>128</v>
      </c>
    </row>
    <row r="5" spans="1:6" ht="14.4" x14ac:dyDescent="0.2">
      <c r="A5" s="310" t="s">
        <v>105</v>
      </c>
      <c r="B5" s="310"/>
      <c r="C5" s="310"/>
      <c r="D5" s="310"/>
      <c r="E5" s="310"/>
    </row>
    <row r="7" spans="1:6" ht="44.25" customHeight="1" x14ac:dyDescent="0.2">
      <c r="C7" s="5" t="s">
        <v>35</v>
      </c>
      <c r="D7" s="336" t="str">
        <f>IF(【様式第６号の２】事業報告書兼チェックシート!N17="","",【様式第６号の２】事業報告書兼チェックシート!N17)</f>
        <v/>
      </c>
      <c r="E7" s="336"/>
    </row>
    <row r="8" spans="1:6" x14ac:dyDescent="0.2">
      <c r="C8" s="5" t="s">
        <v>36</v>
      </c>
      <c r="D8" s="387" t="str">
        <f>IF(【様式第６号の２】事業報告書兼チェックシート!N18="","",【様式第６号の２】事業報告書兼チェックシート!N18)</f>
        <v/>
      </c>
      <c r="E8" s="387"/>
    </row>
    <row r="10" spans="1:6" x14ac:dyDescent="0.2">
      <c r="A10" s="1" t="s">
        <v>30</v>
      </c>
    </row>
    <row r="11" spans="1:6" x14ac:dyDescent="0.2">
      <c r="A11" s="1" t="s">
        <v>31</v>
      </c>
    </row>
    <row r="13" spans="1:6" x14ac:dyDescent="0.2">
      <c r="B13" s="84" t="s">
        <v>29</v>
      </c>
      <c r="C13" s="84" t="s">
        <v>5</v>
      </c>
      <c r="D13" s="84" t="s">
        <v>34</v>
      </c>
    </row>
    <row r="14" spans="1:6" ht="28.2" customHeight="1" x14ac:dyDescent="0.2">
      <c r="A14" s="42" t="s">
        <v>33</v>
      </c>
      <c r="B14" s="84" t="s">
        <v>200</v>
      </c>
      <c r="C14" s="92" t="s">
        <v>201</v>
      </c>
      <c r="D14" s="91" t="s">
        <v>202</v>
      </c>
    </row>
    <row r="15" spans="1:6" ht="29.7" customHeight="1" x14ac:dyDescent="0.2">
      <c r="A15" s="42" t="s">
        <v>33</v>
      </c>
      <c r="B15" s="46" t="s">
        <v>203</v>
      </c>
      <c r="C15" s="46" t="s">
        <v>204</v>
      </c>
      <c r="D15" s="46" t="s">
        <v>205</v>
      </c>
      <c r="F15" s="93"/>
    </row>
    <row r="16" spans="1:6" x14ac:dyDescent="0.2">
      <c r="B16" s="47"/>
      <c r="C16" s="47"/>
      <c r="D16" s="47"/>
    </row>
    <row r="17" spans="1:7" x14ac:dyDescent="0.2">
      <c r="B17" s="45" t="s">
        <v>29</v>
      </c>
      <c r="C17" s="84" t="s">
        <v>5</v>
      </c>
      <c r="D17" s="84" t="s">
        <v>21</v>
      </c>
    </row>
    <row r="18" spans="1:7" ht="36" customHeight="1" x14ac:dyDescent="0.2">
      <c r="B18" s="52"/>
      <c r="C18" s="52"/>
      <c r="D18" s="53"/>
    </row>
    <row r="19" spans="1:7" ht="36" customHeight="1" x14ac:dyDescent="0.2">
      <c r="B19" s="52"/>
      <c r="C19" s="52"/>
      <c r="D19" s="53"/>
    </row>
    <row r="20" spans="1:7" ht="36" customHeight="1" x14ac:dyDescent="0.2">
      <c r="B20" s="52"/>
      <c r="C20" s="52"/>
      <c r="D20" s="53"/>
    </row>
    <row r="21" spans="1:7" ht="36" customHeight="1" x14ac:dyDescent="0.2">
      <c r="B21" s="52"/>
      <c r="C21" s="52"/>
      <c r="D21" s="53"/>
      <c r="G21" s="1" t="s">
        <v>183</v>
      </c>
    </row>
    <row r="22" spans="1:7" ht="36" customHeight="1" x14ac:dyDescent="0.2">
      <c r="B22" s="52"/>
      <c r="C22" s="52"/>
      <c r="D22" s="53"/>
      <c r="G22" s="1" t="s">
        <v>184</v>
      </c>
    </row>
    <row r="23" spans="1:7" ht="36" customHeight="1" x14ac:dyDescent="0.2">
      <c r="B23" s="52"/>
      <c r="C23" s="52"/>
      <c r="D23" s="53"/>
      <c r="G23" s="1" t="s">
        <v>185</v>
      </c>
    </row>
    <row r="24" spans="1:7" ht="36" customHeight="1" x14ac:dyDescent="0.2">
      <c r="B24" s="52"/>
      <c r="C24" s="52"/>
      <c r="D24" s="53"/>
      <c r="G24" s="1" t="s">
        <v>186</v>
      </c>
    </row>
    <row r="26" spans="1:7" x14ac:dyDescent="0.2">
      <c r="B26" s="85"/>
      <c r="C26" s="85"/>
      <c r="D26" s="86"/>
      <c r="G26" s="1" t="s">
        <v>187</v>
      </c>
    </row>
    <row r="27" spans="1:7" x14ac:dyDescent="0.2">
      <c r="A27" s="1" t="s">
        <v>41</v>
      </c>
    </row>
    <row r="28" spans="1:7" x14ac:dyDescent="0.2">
      <c r="A28" s="48" t="s">
        <v>188</v>
      </c>
      <c r="B28" s="515" t="s">
        <v>40</v>
      </c>
      <c r="C28" s="515"/>
      <c r="D28" s="515"/>
      <c r="E28" s="515"/>
    </row>
    <row r="29" spans="1:7" x14ac:dyDescent="0.2">
      <c r="A29" s="49"/>
      <c r="B29" s="515"/>
      <c r="C29" s="515"/>
      <c r="D29" s="515"/>
      <c r="E29" s="515"/>
    </row>
    <row r="30" spans="1:7" x14ac:dyDescent="0.2">
      <c r="A30" s="48" t="s">
        <v>188</v>
      </c>
      <c r="B30" s="515" t="s">
        <v>42</v>
      </c>
      <c r="C30" s="515"/>
      <c r="D30" s="515"/>
      <c r="E30" s="515"/>
      <c r="G30" s="1" t="s">
        <v>189</v>
      </c>
    </row>
    <row r="31" spans="1:7" x14ac:dyDescent="0.2">
      <c r="A31" s="48"/>
      <c r="B31" s="515"/>
      <c r="C31" s="515"/>
      <c r="D31" s="515"/>
      <c r="E31" s="515"/>
      <c r="G31" s="1" t="s">
        <v>190</v>
      </c>
    </row>
    <row r="32" spans="1:7" x14ac:dyDescent="0.2">
      <c r="A32" s="48"/>
      <c r="B32" s="515"/>
      <c r="C32" s="515"/>
      <c r="D32" s="515"/>
      <c r="E32" s="515"/>
    </row>
    <row r="33" spans="1:5" x14ac:dyDescent="0.2">
      <c r="A33" s="49"/>
      <c r="B33" s="515"/>
      <c r="C33" s="515"/>
      <c r="D33" s="515"/>
      <c r="E33" s="515"/>
    </row>
  </sheetData>
  <sheetProtection algorithmName="SHA-512" hashValue="z6qWo62HVb8IQjoidYj6PcWB6EpLHP2EHvSauf69vnZsJOFGLXIRnBYpMbTEkc/jg8GCkTe+NT6d5ZyJhf8dVQ==" saltValue="f+e9JY+R3THtUBAkbUqg5w==" spinCount="100000" sheet="1" objects="1" scenarios="1"/>
  <mergeCells count="5">
    <mergeCell ref="B30:E33"/>
    <mergeCell ref="A5:E5"/>
    <mergeCell ref="D7:E7"/>
    <mergeCell ref="D8:E8"/>
    <mergeCell ref="B28:E29"/>
  </mergeCells>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【様式第６号の２】事業報告書兼チェックシート</vt:lpstr>
      <vt:lpstr>要入力　登録決定状況入力シート</vt:lpstr>
      <vt:lpstr>【様式第６号の３】補助基準額等算定表</vt:lpstr>
      <vt:lpstr>【規則様式第３号】実績報告書鑑（住まいる）</vt:lpstr>
      <vt:lpstr>【規則様式第３号】実績報告書鑑（健康省エネ）</vt:lpstr>
      <vt:lpstr>要入力　交付決定状況入力シート</vt:lpstr>
      <vt:lpstr>(県用)住まいる台帳コピー</vt:lpstr>
      <vt:lpstr>台帳コピー</vt:lpstr>
      <vt:lpstr>【様式第６号の２】（別紙）補助金併用一覧</vt:lpstr>
      <vt:lpstr>'【規則様式第３号】実績報告書鑑（健康省エネ）'!Print_Area</vt:lpstr>
      <vt:lpstr>'【規則様式第３号】実績報告書鑑（住まいる）'!Print_Area</vt:lpstr>
      <vt:lpstr>'【様式第６号の２】（別紙）補助金併用一覧'!Print_Area</vt:lpstr>
      <vt:lpstr>【様式第６号の２】事業報告書兼チェックシート!Print_Area</vt:lpstr>
      <vt:lpstr>【様式第６号の３】補助基準額等算定表!Print_Area</vt:lpstr>
      <vt:lpstr>'要入力　交付決定状況入力シート'!Print_Area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2020-07-27T11:08:49Z</cp:lastPrinted>
  <dcterms:created xsi:type="dcterms:W3CDTF">2017-01-19T07:37:02Z</dcterms:created>
  <dcterms:modified xsi:type="dcterms:W3CDTF">2026-03-30T12:29:12Z</dcterms:modified>
</cp:coreProperties>
</file>