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19403C9E-CA8F-455B-9BC5-B536DC915E45}" xr6:coauthVersionLast="47" xr6:coauthVersionMax="47" xr10:uidLastSave="{00000000-0000-0000-0000-000000000000}"/>
  <bookViews>
    <workbookView xWindow="13935" yWindow="-16200" windowWidth="13650" windowHeight="15585" tabRatio="859" xr2:uid="{00000000-000D-0000-FFFF-FFFF00000000}"/>
  </bookViews>
  <sheets>
    <sheet name="【様式第６号】事業報告書兼チェックシート" sheetId="11" r:id="rId1"/>
    <sheet name="【様式第６号】（別紙）補助金併用一覧" sheetId="17" state="hidden" r:id="rId2"/>
    <sheet name="要入力　登録決定状況入力シート" sheetId="16" r:id="rId3"/>
    <sheet name="【規則様式第３号】実績報告書鑑（報告書連動）（住まいる）" sheetId="12" r:id="rId4"/>
    <sheet name="【規則様式第３号】実績報告書鑑（報告書連動） (未来型)" sheetId="19" r:id="rId5"/>
    <sheet name="(県用)住まいる台帳コピー" sheetId="18" r:id="rId6"/>
  </sheets>
  <definedNames>
    <definedName name="_xlnm.Print_Area" localSheetId="4">'【規則様式第３号】実績報告書鑑（報告書連動） (未来型)'!$A$1:$Z$88</definedName>
    <definedName name="_xlnm.Print_Area" localSheetId="3">'【規則様式第３号】実績報告書鑑（報告書連動）（住まいる）'!$A$1:$Z$85</definedName>
    <definedName name="_xlnm.Print_Area" localSheetId="1">'【様式第６号】（別紙）補助金併用一覧'!$A$1:$E$33</definedName>
    <definedName name="_xlnm.Print_Area" localSheetId="0">【様式第６号】事業報告書兼チェックシート!$A$7:$AA$279</definedName>
  </definedNames>
  <calcPr calcId="181029"/>
</workbook>
</file>

<file path=xl/calcChain.xml><?xml version="1.0" encoding="utf-8"?>
<calcChain xmlns="http://schemas.openxmlformats.org/spreadsheetml/2006/main">
  <c r="T277" i="11" l="1"/>
  <c r="T276" i="11"/>
  <c r="T275" i="11"/>
  <c r="P274" i="11"/>
  <c r="P273" i="11"/>
  <c r="O158" i="11"/>
  <c r="AB158" i="11" s="1"/>
  <c r="O157" i="11"/>
  <c r="O156" i="11"/>
  <c r="AB156" i="11" s="1"/>
  <c r="AB157" i="11"/>
  <c r="I92" i="11"/>
  <c r="U77" i="11"/>
  <c r="P77" i="11"/>
  <c r="D77" i="11"/>
  <c r="U76" i="11"/>
  <c r="P76" i="11"/>
  <c r="D76" i="11"/>
  <c r="U75" i="11"/>
  <c r="P75" i="11"/>
  <c r="D75" i="11"/>
  <c r="U74" i="11"/>
  <c r="P74" i="11"/>
  <c r="D74" i="11"/>
  <c r="U73" i="11"/>
  <c r="P73" i="11"/>
  <c r="D73" i="11"/>
  <c r="V54" i="11"/>
  <c r="S54" i="11"/>
  <c r="O54" i="11"/>
  <c r="I53" i="11"/>
  <c r="I50" i="11"/>
  <c r="I49" i="11"/>
  <c r="I48" i="11"/>
  <c r="V44" i="11"/>
  <c r="S44" i="11"/>
  <c r="N44" i="11"/>
  <c r="V43" i="11"/>
  <c r="S43" i="11"/>
  <c r="N43" i="11"/>
  <c r="I42" i="11"/>
  <c r="V41" i="11"/>
  <c r="Q41" i="11"/>
  <c r="L41" i="11"/>
  <c r="V40" i="11"/>
  <c r="I40" i="11"/>
  <c r="V39" i="11"/>
  <c r="V38" i="11"/>
  <c r="I38" i="11"/>
  <c r="S37" i="11"/>
  <c r="I37" i="11"/>
  <c r="Y103" i="11" s="1"/>
  <c r="I36" i="11"/>
  <c r="I35" i="11"/>
  <c r="M34" i="11"/>
  <c r="Y147" i="11"/>
  <c r="EK6" i="18" s="1"/>
  <c r="AB232" i="11"/>
  <c r="Y102" i="11" l="1"/>
  <c r="C256" i="11"/>
  <c r="C250" i="11"/>
  <c r="Y107" i="11" l="1"/>
  <c r="C251" i="11"/>
  <c r="C248" i="11" l="1"/>
  <c r="T232" i="11"/>
  <c r="AJ106" i="11"/>
  <c r="AI106" i="11"/>
  <c r="AJ105" i="11"/>
  <c r="AI105" i="11"/>
  <c r="AI107" i="11" l="1"/>
  <c r="AJ107" i="11"/>
  <c r="DY6" i="18" l="1"/>
  <c r="DV6" i="18"/>
  <c r="DP6" i="18"/>
  <c r="DO6" i="18" s="1"/>
  <c r="DM6" i="18"/>
  <c r="DH6" i="18"/>
  <c r="DC6" i="18"/>
  <c r="DE6" i="18" s="1"/>
  <c r="DJ6" i="18" l="1"/>
  <c r="C264" i="11"/>
  <c r="C268" i="11" l="1"/>
  <c r="H77" i="12" s="1"/>
  <c r="EH6" i="18" l="1"/>
  <c r="EC6" i="18"/>
  <c r="DX6" i="18" l="1"/>
  <c r="F4" i="16" l="1"/>
  <c r="C249" i="11" l="1"/>
  <c r="U100" i="11" l="1"/>
  <c r="DT6" i="18" l="1"/>
  <c r="DL6" i="18"/>
  <c r="Y109" i="11"/>
  <c r="G4" i="16"/>
  <c r="C247" i="11" l="1"/>
  <c r="G5" i="16"/>
  <c r="H6" i="16"/>
  <c r="J6" i="16" s="1"/>
  <c r="G6" i="16"/>
  <c r="T2" i="12"/>
  <c r="Q2" i="12"/>
  <c r="H87" i="19" l="1"/>
  <c r="H64" i="12" l="1"/>
  <c r="FA6" i="18" l="1"/>
  <c r="FA8" i="18" s="1"/>
  <c r="EZ6" i="18"/>
  <c r="AB36" i="11"/>
  <c r="G15" i="16" l="1"/>
  <c r="AB63" i="11"/>
  <c r="AB60" i="11"/>
  <c r="AB58" i="11"/>
  <c r="AA17" i="12"/>
  <c r="AA17" i="19"/>
  <c r="H75" i="19" l="1"/>
  <c r="H56" i="19"/>
  <c r="H55" i="19"/>
  <c r="O12" i="19"/>
  <c r="O11" i="19"/>
  <c r="O10" i="19"/>
  <c r="P9" i="19"/>
  <c r="AA2" i="19"/>
  <c r="W2" i="19"/>
  <c r="T2" i="19"/>
  <c r="Q2" i="19"/>
  <c r="E6" i="18"/>
  <c r="DA8" i="18"/>
  <c r="H61" i="19" l="1"/>
  <c r="H82" i="12" l="1"/>
  <c r="H85" i="19"/>
  <c r="W2" i="12"/>
  <c r="EY6" i="18" l="1"/>
  <c r="D18" i="16"/>
  <c r="Q23" i="19" s="1"/>
  <c r="Q25" i="19" s="1"/>
  <c r="C18" i="16"/>
  <c r="H23" i="19" s="1"/>
  <c r="H25" i="19" s="1"/>
  <c r="C12" i="16"/>
  <c r="F15" i="16"/>
  <c r="DU6" i="18" l="1"/>
  <c r="DU8" i="18" s="1"/>
  <c r="DX8" i="18"/>
  <c r="DL8" i="18"/>
  <c r="DH8" i="18"/>
  <c r="DB6" i="18"/>
  <c r="DB8" i="18" s="1"/>
  <c r="B6" i="18"/>
  <c r="B8" i="18" s="1"/>
  <c r="E8" i="18"/>
  <c r="Q6" i="18"/>
  <c r="R6" i="18"/>
  <c r="R8" i="18" s="1"/>
  <c r="U6" i="18"/>
  <c r="U8" i="18" s="1"/>
  <c r="Z6" i="18"/>
  <c r="Z8" i="18" s="1"/>
  <c r="AC8" i="18"/>
  <c r="AF8" i="18"/>
  <c r="AG8" i="18"/>
  <c r="AK8" i="18"/>
  <c r="AO8" i="18"/>
  <c r="AP8" i="18"/>
  <c r="AQ8" i="18"/>
  <c r="AS8" i="18"/>
  <c r="AT8" i="18"/>
  <c r="BC6" i="18"/>
  <c r="BC8" i="18" s="1"/>
  <c r="BD6" i="18"/>
  <c r="BD8" i="18" s="1"/>
  <c r="BH6" i="18"/>
  <c r="BH8" i="18" s="1"/>
  <c r="BM6" i="18"/>
  <c r="BM8" i="18" s="1"/>
  <c r="BS6" i="18"/>
  <c r="BS8" i="18" s="1"/>
  <c r="CH8" i="18"/>
  <c r="CK8" i="18"/>
  <c r="D8" i="18"/>
  <c r="G8" i="18"/>
  <c r="K8" i="18"/>
  <c r="O8" i="18"/>
  <c r="P8" i="18"/>
  <c r="S8" i="18"/>
  <c r="V8" i="18"/>
  <c r="AJ8" i="18"/>
  <c r="AN8" i="18"/>
  <c r="AR8" i="18"/>
  <c r="AW8" i="18"/>
  <c r="AX8" i="18"/>
  <c r="AZ8" i="18"/>
  <c r="BA8" i="18"/>
  <c r="BB8" i="18"/>
  <c r="BE8" i="18"/>
  <c r="BF8" i="18"/>
  <c r="BI8" i="18"/>
  <c r="BJ8" i="18"/>
  <c r="BK8" i="18"/>
  <c r="BN8" i="18"/>
  <c r="BO8" i="18"/>
  <c r="BP8" i="18"/>
  <c r="BR8" i="18"/>
  <c r="CJ8" i="18"/>
  <c r="CL8" i="18"/>
  <c r="CU8" i="18"/>
  <c r="GE8" i="18"/>
  <c r="GD8" i="18"/>
  <c r="GA8" i="18"/>
  <c r="FZ8" i="18"/>
  <c r="FY8" i="18"/>
  <c r="FU8" i="18"/>
  <c r="FT8" i="18"/>
  <c r="FS8" i="18"/>
  <c r="FO8" i="18"/>
  <c r="FN8" i="18"/>
  <c r="FJ8" i="18"/>
  <c r="FI8" i="18"/>
  <c r="FH8" i="18"/>
  <c r="FG8" i="18"/>
  <c r="FF8" i="18"/>
  <c r="FC8" i="18"/>
  <c r="FB8" i="18"/>
  <c r="EZ8" i="18"/>
  <c r="EY8" i="18"/>
  <c r="DZ8" i="18"/>
  <c r="DR8" i="18"/>
  <c r="DI8" i="18"/>
  <c r="DD8" i="18"/>
  <c r="GF8" i="18"/>
  <c r="FX8" i="18"/>
  <c r="FR8" i="18"/>
  <c r="FM8" i="18"/>
  <c r="C267" i="11"/>
  <c r="C266" i="11"/>
  <c r="DQ6" i="18" l="1"/>
  <c r="DN6" i="18"/>
  <c r="EA6" i="18"/>
  <c r="EA8" i="18" s="1"/>
  <c r="DW6" i="18"/>
  <c r="DW8" i="18" s="1"/>
  <c r="DF6" i="18"/>
  <c r="DF8" i="18" s="1"/>
  <c r="H80" i="12"/>
  <c r="H83" i="19"/>
  <c r="H81" i="12"/>
  <c r="H84" i="19"/>
  <c r="DY8" i="18"/>
  <c r="DV8" i="18"/>
  <c r="DK6" i="18"/>
  <c r="AD6" i="18"/>
  <c r="AA6" i="18" s="1"/>
  <c r="AA8" i="18" s="1"/>
  <c r="DC8" i="18"/>
  <c r="DM8" i="18"/>
  <c r="BL6" i="18"/>
  <c r="BL8" i="18" s="1"/>
  <c r="BG6" i="18"/>
  <c r="BG8" i="18" s="1"/>
  <c r="DG6" i="18"/>
  <c r="DG8" i="18" s="1"/>
  <c r="BQ6" i="18"/>
  <c r="BQ8" i="18" s="1"/>
  <c r="AB6" i="18"/>
  <c r="AB8" i="18" s="1"/>
  <c r="X6" i="18"/>
  <c r="X8" i="18" s="1"/>
  <c r="T6" i="18"/>
  <c r="FV8" i="18"/>
  <c r="AU6" i="18"/>
  <c r="AI6" i="18"/>
  <c r="AI8" i="18" s="1"/>
  <c r="AE6" i="18"/>
  <c r="AE8" i="18" s="1"/>
  <c r="W6" i="18"/>
  <c r="W8" i="18" s="1"/>
  <c r="Y8" i="18"/>
  <c r="Q8" i="18"/>
  <c r="FP8" i="18"/>
  <c r="GG8" i="18"/>
  <c r="DE8" i="18"/>
  <c r="FL8" i="18"/>
  <c r="GB8" i="18"/>
  <c r="FK8" i="18"/>
  <c r="AD8" i="18" l="1"/>
  <c r="DS6" i="18"/>
  <c r="DS8" i="18" s="1"/>
  <c r="EB6" i="18"/>
  <c r="DJ8" i="18"/>
  <c r="AH6" i="18"/>
  <c r="AH8" i="18" s="1"/>
  <c r="DT8" i="18"/>
  <c r="T8" i="18"/>
  <c r="AM6" i="18"/>
  <c r="AM8" i="18" s="1"/>
  <c r="AV6" i="18"/>
  <c r="AV8" i="18" s="1"/>
  <c r="AU8" i="18"/>
  <c r="AL6" i="18"/>
  <c r="AL8" i="18" s="1"/>
  <c r="FQ8" i="18"/>
  <c r="GC8" i="18"/>
  <c r="FW8" i="18"/>
  <c r="EB8" i="18" l="1"/>
  <c r="EC8" i="18"/>
  <c r="AY6" i="18"/>
  <c r="DK8" i="18"/>
  <c r="CG6" i="18" l="1"/>
  <c r="CG8" i="18" s="1"/>
  <c r="AY8" i="18"/>
  <c r="G18" i="16" l="1"/>
  <c r="H24" i="19" s="1"/>
  <c r="H15" i="16"/>
  <c r="D12" i="16"/>
  <c r="GL6" i="18" s="1"/>
  <c r="GL8" i="18" l="1"/>
  <c r="J15" i="16"/>
  <c r="H18" i="16"/>
  <c r="Q24" i="19" s="1"/>
  <c r="C243" i="11"/>
  <c r="C242" i="11"/>
  <c r="AB54" i="11"/>
  <c r="D86" i="11"/>
  <c r="H68" i="12" l="1"/>
  <c r="H66" i="19"/>
  <c r="H55" i="12"/>
  <c r="H54" i="19"/>
  <c r="H53" i="19"/>
  <c r="E55" i="11" l="1"/>
  <c r="D8" i="17" l="1"/>
  <c r="D7" i="17"/>
  <c r="H56" i="12" l="1"/>
  <c r="H57" i="12"/>
  <c r="O12" i="12"/>
  <c r="O11" i="12"/>
  <c r="O10" i="12"/>
  <c r="P9" i="12"/>
  <c r="AA2" i="12"/>
  <c r="Q23" i="12" l="1"/>
  <c r="F5" i="16"/>
  <c r="F6" i="16"/>
  <c r="F7" i="16"/>
  <c r="F8" i="16"/>
  <c r="F9" i="16"/>
  <c r="F3" i="16"/>
  <c r="H23" i="12"/>
  <c r="C265" i="11"/>
  <c r="H78" i="12" s="1"/>
  <c r="C262" i="11"/>
  <c r="C260" i="11"/>
  <c r="H70" i="19" s="1"/>
  <c r="H62" i="12"/>
  <c r="H86" i="19" l="1"/>
  <c r="H63" i="12"/>
  <c r="H74" i="12"/>
  <c r="H72" i="19"/>
  <c r="H62" i="19"/>
  <c r="H79" i="12"/>
  <c r="H76" i="19"/>
  <c r="AB260" i="11"/>
  <c r="H72" i="12"/>
  <c r="C263" i="11"/>
  <c r="C261" i="11"/>
  <c r="H71" i="19" s="1"/>
  <c r="C259" i="11"/>
  <c r="C258" i="11"/>
  <c r="C257" i="11"/>
  <c r="H69" i="12" l="1"/>
  <c r="H67" i="19"/>
  <c r="H71" i="12"/>
  <c r="H69" i="19"/>
  <c r="H75" i="12"/>
  <c r="H73" i="19"/>
  <c r="H70" i="12"/>
  <c r="H68" i="19"/>
  <c r="H76" i="12"/>
  <c r="H74" i="19"/>
  <c r="AB261" i="11"/>
  <c r="H73" i="12"/>
  <c r="H61" i="12" l="1"/>
  <c r="H60" i="19"/>
  <c r="C246" i="11"/>
  <c r="H58" i="12" l="1"/>
  <c r="H57" i="19"/>
  <c r="H54" i="12"/>
  <c r="H3" i="16" l="1"/>
  <c r="G3" i="16"/>
  <c r="H5" i="16"/>
  <c r="J5" i="16" s="1"/>
  <c r="H4" i="16"/>
  <c r="J4" i="16" s="1"/>
  <c r="AB273" i="11"/>
  <c r="H60" i="12" l="1"/>
  <c r="H59" i="19"/>
  <c r="H59" i="12"/>
  <c r="H58" i="19"/>
  <c r="J3" i="16"/>
  <c r="AB42" i="11"/>
  <c r="AB190" i="11" l="1"/>
  <c r="AB187" i="11"/>
  <c r="AB189" i="11"/>
  <c r="AB188" i="11"/>
  <c r="B170" i="11" l="1"/>
  <c r="H53" i="12" l="1"/>
  <c r="H52" i="19"/>
  <c r="AB34" i="11"/>
  <c r="AB50" i="11" l="1"/>
  <c r="AB277" i="11" l="1"/>
  <c r="AB276" i="11"/>
  <c r="AB275" i="11"/>
  <c r="AB274" i="11"/>
  <c r="AC184" i="11" l="1"/>
  <c r="F186" i="11" s="1"/>
  <c r="EQ6" i="18" s="1"/>
  <c r="EQ8" i="18" s="1"/>
  <c r="BG34" i="11" l="1"/>
  <c r="B5" i="12" l="1"/>
  <c r="B5" i="19"/>
  <c r="AB44" i="11"/>
  <c r="AB43" i="11"/>
  <c r="AB40" i="11" l="1"/>
  <c r="AB223" i="11" l="1"/>
  <c r="AC217" i="11"/>
  <c r="F219" i="11" s="1"/>
  <c r="EU6" i="18" s="1"/>
  <c r="EU8" i="18" s="1"/>
  <c r="AB212" i="11"/>
  <c r="AC210" i="11"/>
  <c r="AB205" i="11"/>
  <c r="AC200" i="11"/>
  <c r="F202" i="11" s="1"/>
  <c r="ES6" i="18" s="1"/>
  <c r="ES8" i="18" s="1"/>
  <c r="AB195" i="11"/>
  <c r="AC192" i="11"/>
  <c r="F194" i="11" s="1"/>
  <c r="ER6" i="18" s="1"/>
  <c r="ER8" i="18" s="1"/>
  <c r="AB181" i="11"/>
  <c r="AB180" i="11"/>
  <c r="AC177" i="11"/>
  <c r="F179" i="11" s="1"/>
  <c r="EP6" i="18" s="1"/>
  <c r="EP8" i="18" s="1"/>
  <c r="AC172" i="11"/>
  <c r="F174" i="11" s="1"/>
  <c r="EO6" i="18" s="1"/>
  <c r="B96" i="11"/>
  <c r="AB92" i="11"/>
  <c r="AB53" i="11"/>
  <c r="AB49" i="11"/>
  <c r="AB48" i="11"/>
  <c r="Y46" i="11"/>
  <c r="D46" i="11"/>
  <c r="AB41" i="11"/>
  <c r="AB39" i="11"/>
  <c r="AB38" i="11"/>
  <c r="AB37" i="11"/>
  <c r="AB35" i="11"/>
  <c r="AB20" i="11"/>
  <c r="AB19" i="11"/>
  <c r="AB17" i="11"/>
  <c r="AB15" i="11"/>
  <c r="Y110" i="11" l="1"/>
  <c r="EO8" i="18"/>
  <c r="F212" i="11"/>
  <c r="AB96" i="11"/>
  <c r="Y129" i="11" l="1"/>
  <c r="EF6" i="18" s="1"/>
  <c r="EF8" i="18" s="1"/>
  <c r="AB110" i="11"/>
  <c r="EK8" i="18"/>
  <c r="F225" i="11"/>
  <c r="ET6" i="18"/>
  <c r="Y165" i="11"/>
  <c r="T231" i="11" l="1"/>
  <c r="H80" i="19" s="1"/>
  <c r="C253" i="11"/>
  <c r="H63" i="19" s="1"/>
  <c r="AB129" i="11"/>
  <c r="EG6" i="18"/>
  <c r="G8" i="16"/>
  <c r="C254" i="11"/>
  <c r="H64" i="19" s="1"/>
  <c r="EE6" i="18"/>
  <c r="EE8" i="18" s="1"/>
  <c r="H8" i="16"/>
  <c r="J8" i="16" s="1"/>
  <c r="EJ6" i="18"/>
  <c r="EI6" i="18" s="1"/>
  <c r="ET8" i="18"/>
  <c r="EV6" i="18"/>
  <c r="H7" i="16"/>
  <c r="J7" i="16" s="1"/>
  <c r="AB165" i="11"/>
  <c r="G7" i="16"/>
  <c r="AB147" i="11"/>
  <c r="H9" i="16"/>
  <c r="J9" i="16" s="1"/>
  <c r="G9" i="16"/>
  <c r="C255" i="11"/>
  <c r="H82" i="19" l="1"/>
  <c r="H79" i="19"/>
  <c r="K227" i="11"/>
  <c r="H81" i="19"/>
  <c r="H65" i="12"/>
  <c r="EJ8" i="18"/>
  <c r="ED6" i="18"/>
  <c r="EL6" i="18" s="1"/>
  <c r="AB254" i="11"/>
  <c r="H66" i="12"/>
  <c r="G12" i="16"/>
  <c r="H24" i="12" s="1"/>
  <c r="H25" i="12" s="1"/>
  <c r="H12" i="16"/>
  <c r="Q24" i="12" s="1"/>
  <c r="Q25" i="12" s="1"/>
  <c r="AB228" i="11"/>
  <c r="EN6" i="18"/>
  <c r="EN8" i="18" s="1"/>
  <c r="EV8" i="18"/>
  <c r="EW6" i="18"/>
  <c r="H67" i="12"/>
  <c r="H65" i="19"/>
  <c r="EI8" i="18"/>
  <c r="EM6" i="18"/>
  <c r="ED8" i="18" l="1"/>
  <c r="EX6" i="18"/>
  <c r="EX8" i="18" s="1"/>
  <c r="EW8" i="18"/>
  <c r="EG8" i="18"/>
  <c r="EL8" i="18"/>
  <c r="EH8" i="18" l="1"/>
  <c r="FD6" i="18"/>
  <c r="EM8" i="18"/>
  <c r="FE6" i="18" l="1"/>
  <c r="FE8" i="18" s="1"/>
  <c r="GM6" i="18"/>
  <c r="FD8" i="18"/>
  <c r="GM8" i="18" l="1"/>
  <c r="GN6" i="18"/>
  <c r="GN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8" authorId="0" shapeId="0" xr:uid="{00000000-0006-0000-0000-000001000000}">
      <text>
        <r>
          <rPr>
            <b/>
            <sz val="9"/>
            <color indexed="81"/>
            <rFont val="ＭＳ Ｐゴシック"/>
            <family val="3"/>
            <charset val="128"/>
          </rPr>
          <t>実績報告の場合は転居後の住所としてください。</t>
        </r>
      </text>
    </comment>
    <comment ref="U100" authorId="0" shapeId="0" xr:uid="{00000000-0006-0000-0000-000002000000}">
      <text>
        <r>
          <rPr>
            <b/>
            <sz val="9"/>
            <color indexed="81"/>
            <rFont val="ＭＳ Ｐゴシック"/>
            <family val="3"/>
            <charset val="128"/>
          </rPr>
          <t>併用住宅を選択すると、ここに入力欄が表示されます。</t>
        </r>
      </text>
    </comment>
    <comment ref="J273"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<sst xmlns="http://schemas.openxmlformats.org/spreadsheetml/2006/main" count="810" uniqueCount="516">
  <si>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</si>
  <si>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</si>
  <si>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</si>
  <si>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</si>
  <si>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</si>
  <si>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</si>
  <si>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</si>
  <si>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</si>
  <si>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</si>
  <si>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</si>
  <si>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</si>
  <si>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</si>
  <si>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</si>
  <si>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</si>
  <si>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</si>
  <si>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</si>
  <si>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</si>
  <si>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</si>
  <si>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</si>
  <si>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</si>
  <si>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</si>
  <si>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</si>
  <si>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</si>
  <si>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</si>
  <si>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</si>
  <si>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</si>
  <si>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</si>
  <si>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</si>
  <si>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</si>
  <si>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</si>
  <si>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</si>
  <si>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</si>
  <si>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</si>
  <si>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</si>
  <si>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</si>
  <si>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</si>
  <si>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</si>
  <si>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</si>
  <si>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</si>
  <si>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</si>
  <si>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</si>
  <si>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</si>
  <si>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</si>
  <si>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</si>
  <si>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</si>
  <si>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</si>
  <si>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</si>
  <si>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</si>
  <si>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</si>
  <si>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</si>
  <si>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</si>
  <si>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</si>
  <si>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</si>
  <si>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</si>
  <si>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</si>
  <si>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</si>
  <si>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</si>
  <si>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</si>
  <si>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</si>
  <si>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</si>
  <si>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</si>
  <si>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</si>
  <si>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</si>
  <si>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</si>
  <si>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</si>
  <si>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</si>
  <si>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</si>
  <si>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</si>
  <si>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</si>
  <si>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</si>
  <si>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</si>
  <si>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</si>
  <si>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</si>
  <si>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</si>
  <si>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</si>
  <si>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</si>
  <si>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</si>
  <si>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</si>
  <si>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</si>
  <si>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</si>
  <si>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</si>
  <si>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</si>
  <si>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</si>
  <si>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</si>
  <si>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</si>
  <si>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</si>
  <si>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</si>
  <si>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</si>
  <si>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</si>
  <si>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</si>
  <si>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</si>
  <si>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</si>
  <si>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</si>
  <si>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</si>
  <si>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</si>
  <si>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</si>
  <si>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</si>
  <si>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</si>
  <si>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</si>
  <si>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</si>
  <si>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</si>
  <si>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</si>
  <si>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</si>
  <si>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</si>
  <si>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</si>
  <si>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</si>
  <si>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</si>
  <si>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</si>
  <si>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</si>
  <si>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</si>
  <si>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</si>
  <si>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</si>
  <si>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</si>
  <si>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</si>
  <si>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</si>
  <si>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</si>
  <si>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</si>
  <si>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</si>
  <si>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</si>
  <si>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</si>
  <si>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</si>
  <si>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</si>
  <si>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</si>
  <si>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</si>
  <si>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</si>
  <si>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</si>
  <si>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</si>
  <si>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</si>
  <si>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</si>
  <si>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</si>
  <si>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</si>
  <si>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</si>
  <si>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</si>
  <si>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</si>
  <si>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</si>
  <si>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</si>
  <si>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</si>
  <si>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</si>
  <si>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</si>
  <si>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</si>
  <si>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</si>
  <si>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</si>
  <si>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</si>
  <si>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</si>
  <si>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</si>
  <si>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</si>
  <si>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</si>
  <si>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</si>
  <si>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</si>
  <si>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</si>
  <si>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</si>
  <si>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</si>
  <si>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</si>
  <si>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</si>
  <si>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</si>
  <si>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</si>
  <si>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</si>
  <si>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</si>
  <si>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</si>
  <si>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</si>
  <si>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</si>
  <si>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</si>
  <si>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</si>
  <si>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</si>
  <si>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</si>
  <si>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</si>
  <si>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</si>
  <si>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</si>
  <si>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</si>
  <si>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</si>
  <si>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</si>
  <si>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</si>
  <si>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</si>
  <si>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</si>
  <si>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</si>
  <si>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</si>
  <si>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</si>
  <si>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</si>
  <si>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</si>
  <si>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</si>
  <si>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</si>
  <si>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</si>
  <si>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</si>
  <si>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</si>
  <si>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</si>
  <si>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</si>
  <si>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</si>
  <si>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</si>
  <si>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</si>
  <si>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</si>
  <si>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</si>
  <si>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</si>
  <si>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</si>
  <si>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</si>
  <si>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</si>
  <si>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</si>
  <si>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</si>
  <si>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</si>
  <si>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</si>
  <si>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</si>
  <si>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</si>
  <si>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</si>
  <si>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</si>
  <si>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</si>
  <si>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</si>
  <si>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</si>
  <si>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</si>
  <si>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</si>
  <si>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</si>
  <si>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</si>
  <si>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</si>
  <si>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</si>
  <si>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</si>
  <si>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</si>
  <si>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</si>
  <si>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</si>
  <si>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</si>
  <si>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</si>
  <si>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</si>
  <si>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</si>
  <si>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</si>
  <si>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</si>
  <si>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</si>
  <si>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</si>
  <si>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</si>
  <si>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</si>
  <si>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</si>
  <si>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</si>
  <si>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</si>
  <si>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</si>
  <si>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</si>
  <si>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</si>
  <si>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</si>
  <si>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</si>
  <si>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</si>
  <si>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</si>
  <si>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</si>
  <si>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</si>
  <si>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</si>
  <si>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</si>
  <si>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</si>
  <si>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</si>
  <si>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</si>
  <si>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</si>
  <si>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</si>
  <si>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</si>
  <si>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</si>
  <si>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</si>
  <si>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</si>
  <si>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</si>
  <si>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</si>
  <si>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</si>
  <si>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</si>
  <si>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</si>
  <si>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</si>
  <si>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</si>
  <si>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</si>
  <si>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</si>
  <si>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</si>
  <si>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</si>
  <si>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</si>
  <si>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</si>
  <si>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</si>
  <si>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</si>
  <si>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</si>
  <si>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</si>
  <si>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</si>
  <si>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</si>
  <si>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</si>
  <si>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</si>
  <si>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</si>
  <si>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</si>
  <si>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</si>
  <si>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</si>
  <si>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</si>
  <si>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</si>
  <si>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</si>
  <si>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</si>
  <si>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</si>
  <si>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</si>
  <si>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</si>
  <si>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</si>
  <si>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</si>
  <si>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</si>
  <si>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</si>
  <si>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</si>
  <si>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</si>
  <si>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</si>
  <si>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</si>
  <si>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省エネルギー性能</t>
    <rPh sb="0" eb="1">
      <t>ショウ</t>
    </rPh>
    <rPh sb="6" eb="8">
      <t>セイノウ</t>
    </rPh>
    <phoneticPr fontId="1"/>
  </si>
  <si>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</si>
  <si>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</si>
  <si>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</si>
  <si>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18"/>
  </si>
  <si>
    <t>郵便番号</t>
    <rPh sb="0" eb="4">
      <t>ユウビンバンゴウ</t>
    </rPh>
    <phoneticPr fontId="32"/>
  </si>
  <si>
    <t>住所</t>
    <rPh sb="0" eb="2">
      <t>ジュウショ</t>
    </rPh>
    <phoneticPr fontId="32"/>
  </si>
  <si>
    <t>電話</t>
    <rPh sb="0" eb="2">
      <t>デンワ</t>
    </rPh>
    <phoneticPr fontId="18"/>
  </si>
  <si>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</si>
  <si>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8"/>
  </si>
  <si>
    <t>機械等級区分構造材</t>
    <rPh sb="0" eb="2">
      <t>キカイ</t>
    </rPh>
    <rPh sb="2" eb="4">
      <t>トウキュウ</t>
    </rPh>
    <rPh sb="4" eb="6">
      <t>クブン</t>
    </rPh>
    <rPh sb="6" eb="9">
      <t>コウゾウザイ</t>
    </rPh>
    <phoneticPr fontId="18"/>
  </si>
  <si>
    <t>県産ＣＬＴ材</t>
    <rPh sb="0" eb="2">
      <t>ケンサン</t>
    </rPh>
    <rPh sb="5" eb="6">
      <t>ザイ</t>
    </rPh>
    <phoneticPr fontId="18"/>
  </si>
  <si>
    <t>県産内外装材</t>
    <rPh sb="0" eb="2">
      <t>ケンサン</t>
    </rPh>
    <rPh sb="2" eb="5">
      <t>ナイガイソウ</t>
    </rPh>
    <rPh sb="5" eb="6">
      <t>ザイ</t>
    </rPh>
    <phoneticPr fontId="1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</si>
  <si>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</si>
  <si>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</si>
  <si>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</si>
  <si>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2"/>
  </si>
  <si>
    <t>伝統</t>
    <rPh sb="0" eb="2">
      <t>デントウ</t>
    </rPh>
    <phoneticPr fontId="1"/>
  </si>
  <si>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</si>
  <si>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</si>
  <si>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2"/>
  </si>
  <si>
    <t>実績減</t>
    <rPh sb="0" eb="2">
      <t>ジッセキ</t>
    </rPh>
    <rPh sb="2" eb="3">
      <t>ゲン</t>
    </rPh>
    <phoneticPr fontId="1"/>
  </si>
  <si>
    <t>交付確定額
（改修）</t>
    <rPh sb="0" eb="2">
      <t>コウフ</t>
    </rPh>
    <rPh sb="2" eb="4">
      <t>カクテイ</t>
    </rPh>
    <rPh sb="4" eb="5">
      <t>ガク</t>
    </rPh>
    <rPh sb="7" eb="9">
      <t>カイシュウ</t>
    </rPh>
    <phoneticPr fontId="32"/>
  </si>
  <si>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</si>
  <si>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</si>
  <si>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</si>
  <si>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</si>
  <si>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</si>
  <si>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</si>
  <si>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</si>
  <si>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</si>
  <si>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</si>
  <si>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</si>
  <si>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</si>
  <si>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</si>
  <si>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</si>
  <si>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1"/>
  </si>
  <si>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</si>
  <si>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</si>
  <si>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</si>
  <si>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</si>
  <si>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</si>
  <si>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</si>
  <si>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</si>
  <si>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</si>
  <si>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</si>
  <si>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</si>
  <si>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</si>
  <si>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</si>
  <si>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</si>
  <si>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</si>
  <si>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</si>
  <si>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</si>
  <si>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</si>
  <si>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</si>
  <si>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</si>
  <si>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</si>
  <si>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ＭＳ Ｐゴシック"/>
        <family val="3"/>
        <charset val="128"/>
        <scheme val="minor"/>
      </rPr>
      <t>（選択式）</t>
    </r>
    <rPh sb="2" eb="3">
      <t>サイ</t>
    </rPh>
    <rPh sb="3" eb="5">
      <t>イカ</t>
    </rPh>
    <phoneticPr fontId="32"/>
  </si>
  <si>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2"/>
  </si>
  <si>
    <r>
      <t>近居（子育て世帯）</t>
    </r>
    <r>
      <rPr>
        <sz val="10"/>
        <color rgb="FFFF0000"/>
        <rFont val="ＭＳ Ｐゴシック"/>
        <family val="3"/>
        <charset val="128"/>
        <scheme val="minor"/>
      </rPr>
      <t>（選択式）</t>
    </r>
    <rPh sb="0" eb="2">
      <t>キンキョ</t>
    </rPh>
    <phoneticPr fontId="32"/>
  </si>
  <si>
    <r>
      <t>同居（子育て世帯）</t>
    </r>
    <r>
      <rPr>
        <sz val="10"/>
        <color rgb="FFFF0000"/>
        <rFont val="ＭＳ Ｐゴシック"/>
        <family val="3"/>
        <charset val="128"/>
        <scheme val="minor"/>
      </rPr>
      <t>（選択式）</t>
    </r>
    <rPh sb="0" eb="2">
      <t>ドウキョ</t>
    </rPh>
    <rPh sb="3" eb="5">
      <t>コソダ</t>
    </rPh>
    <rPh sb="6" eb="8">
      <t>セタイ</t>
    </rPh>
    <phoneticPr fontId="32"/>
  </si>
  <si>
    <r>
      <t>同居（親世帯）</t>
    </r>
    <r>
      <rPr>
        <sz val="10"/>
        <color rgb="FFFF0000"/>
        <rFont val="ＭＳ Ｐ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</si>
  <si>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</si>
  <si>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</si>
  <si>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</si>
  <si>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</si>
  <si>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</si>
  <si>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</si>
  <si>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</si>
  <si>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</si>
  <si>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</si>
  <si>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2"/>
  </si>
  <si>
    <t>所在地</t>
    <rPh sb="0" eb="3">
      <t>ショザイチ</t>
    </rPh>
    <phoneticPr fontId="32"/>
  </si>
  <si>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</si>
  <si>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</si>
  <si>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2"/>
  </si>
  <si>
    <r>
      <t xml:space="preserve">要・不要
</t>
    </r>
    <r>
      <rPr>
        <sz val="10"/>
        <color rgb="FFFF0000"/>
        <rFont val="ＭＳ Ｐ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</si>
  <si>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</si>
  <si>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</si>
  <si>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</si>
  <si>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</si>
  <si>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</si>
  <si>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</si>
  <si>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</si>
  <si>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</si>
  <si>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</si>
  <si>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</si>
  <si>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</si>
  <si>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</si>
  <si>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</si>
  <si>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</si>
  <si>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</si>
  <si>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</si>
  <si>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</si>
  <si>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</si>
  <si>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</si>
  <si>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</si>
  <si>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</si>
  <si>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</si>
  <si>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</si>
  <si>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</si>
  <si>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</si>
  <si>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</si>
  <si>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</si>
  <si>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</si>
  <si>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</si>
  <si>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1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</si>
  <si>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</si>
  <si>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</si>
  <si>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</si>
  <si>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</si>
  <si>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新築</t>
  </si>
  <si>
    <t>月</t>
    <rPh sb="0" eb="1">
      <t>ガツ</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</si>
  <si>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</si>
  <si>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</si>
  <si>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</si>
  <si>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</si>
  <si>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</si>
  <si>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</si>
  <si>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〇</t>
  </si>
  <si>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</si>
  <si>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添付書類</t>
    <rPh sb="0" eb="4">
      <t>テンプショルイ</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</si>
  <si>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</si>
  <si>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</si>
  <si>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</si>
  <si>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</si>
  <si>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</si>
  <si>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</si>
  <si>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</si>
  <si>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</si>
  <si>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</si>
  <si>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　</t>
  </si>
  <si>
    <t>とっとり未来型省エネ住宅特別促進事業補助金交付申請書兼実績報告書</t>
    <rPh sb="4" eb="7">
      <t>ミライガタ</t>
    </rPh>
    <rPh sb="7" eb="8">
      <t>ショウ</t>
    </rPh>
    <rPh sb="10" eb="12">
      <t>ジュウタク</t>
    </rPh>
    <rPh sb="12" eb="14">
      <t>トクベツ</t>
    </rPh>
    <rPh sb="14" eb="16">
      <t>ソクシン</t>
    </rPh>
    <rPh sb="16" eb="18">
      <t>ジギョウ</t>
    </rPh>
    <rPh sb="18" eb="21">
      <t>ホジョキン</t>
    </rPh>
    <rPh sb="21" eb="26">
      <t>コウフシンセイショ</t>
    </rPh>
    <rPh sb="26" eb="27">
      <t>ケン</t>
    </rPh>
    <rPh sb="27" eb="29">
      <t>ジッセキ</t>
    </rPh>
    <rPh sb="29" eb="32">
      <t>ホウコクショ</t>
    </rPh>
    <phoneticPr fontId="1"/>
  </si>
  <si>
    <t>交付申請</t>
    <rPh sb="0" eb="2">
      <t>コウフ</t>
    </rPh>
    <rPh sb="2" eb="4">
      <t>シンセイ</t>
    </rPh>
    <phoneticPr fontId="1"/>
  </si>
  <si>
    <t>実績報告</t>
    <rPh sb="0" eb="4">
      <t>ジッセキホウコク</t>
    </rPh>
    <phoneticPr fontId="1"/>
  </si>
  <si>
    <t>交付申請額</t>
    <rPh sb="0" eb="2">
      <t>コウフ</t>
    </rPh>
    <rPh sb="2" eb="4">
      <t>シンセイ</t>
    </rPh>
    <rPh sb="4" eb="5">
      <t>ガク</t>
    </rPh>
    <phoneticPr fontId="1"/>
  </si>
  <si>
    <t>交付申請</t>
    <rPh sb="0" eb="4">
      <t>コウフシンセイ</t>
    </rPh>
    <phoneticPr fontId="1"/>
  </si>
  <si>
    <t>とっとり住まいる支援事業補助金交付申請書兼実績報告書</t>
    <rPh sb="4" eb="5">
      <t>ス</t>
    </rPh>
    <rPh sb="8" eb="10">
      <t>シエン</t>
    </rPh>
    <rPh sb="10" eb="12">
      <t>ジギョウ</t>
    </rPh>
    <rPh sb="12" eb="15">
      <t>ホジョキン</t>
    </rPh>
    <rPh sb="15" eb="20">
      <t>コウフシンセイショ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</si>
  <si>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phoneticPr fontId="1"/>
  </si>
  <si>
    <t>　下記のとおり、補助金の交付を受けたいので、鳥取県補助金等交付規則第５条の規定により、関係書類を添えて申請します。</t>
    <phoneticPr fontId="1"/>
  </si>
  <si>
    <t>登録番号</t>
    <rPh sb="0" eb="4">
      <t>トウロクバンゴウ</t>
    </rPh>
    <phoneticPr fontId="1"/>
  </si>
  <si>
    <t>←登録通知書の番号を記入してください。</t>
    <rPh sb="1" eb="6">
      <t>トウロクツウチショ</t>
    </rPh>
    <rPh sb="7" eb="9">
      <t>バンゴウ</t>
    </rPh>
    <rPh sb="10" eb="12">
      <t>キニュウ</t>
    </rPh>
    <phoneticPr fontId="1"/>
  </si>
  <si>
    <t>第</t>
    <rPh sb="0" eb="1">
      <t>ダイ</t>
    </rPh>
    <phoneticPr fontId="1"/>
  </si>
  <si>
    <t>号</t>
    <rPh sb="0" eb="1">
      <t>ゴウ</t>
    </rPh>
    <phoneticPr fontId="1"/>
  </si>
  <si>
    <t>③県産JAS製材の使用材積</t>
    <rPh sb="1" eb="3">
      <t>ケンサン</t>
    </rPh>
    <rPh sb="6" eb="7">
      <t>セイ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</si>
  <si>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</si>
  <si>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</si>
  <si>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</si>
  <si>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</si>
  <si>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</si>
  <si>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</si>
  <si>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</si>
  <si>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横架材
使用量
(m3)</t>
    <rPh sb="0" eb="3">
      <t>オウカザイ</t>
    </rPh>
    <rPh sb="4" eb="7">
      <t>シヨウリョウ</t>
    </rPh>
    <phoneticPr fontId="32"/>
  </si>
  <si>
    <t>横架材以外
使用量
(m3)</t>
    <rPh sb="0" eb="3">
      <t>オウカザイ</t>
    </rPh>
    <rPh sb="3" eb="5">
      <t>イガイ</t>
    </rPh>
    <rPh sb="6" eb="9">
      <t>シヨウリョウ</t>
    </rPh>
    <phoneticPr fontId="32"/>
  </si>
  <si>
    <t>県産JAS製材</t>
    <rPh sb="0" eb="2">
      <t>ケンサン</t>
    </rPh>
    <rPh sb="5" eb="7">
      <t>セイザイ</t>
    </rPh>
    <phoneticPr fontId="1"/>
  </si>
  <si>
    <t>鳥取県産材活用協議会が発行する県産材の産地証明書の写し</t>
    <rPh sb="3" eb="5">
      <t>サンザイ</t>
    </rPh>
    <rPh sb="5" eb="7">
      <t>カツヨウ</t>
    </rPh>
    <rPh sb="7" eb="10">
      <t>キョウギカイ</t>
    </rPh>
    <rPh sb="15" eb="18">
      <t>ケンサンザイ</t>
    </rPh>
    <rPh sb="19" eb="21">
      <t>サンチ</t>
    </rPh>
    <rPh sb="21" eb="24">
      <t>ショウメイショ</t>
    </rPh>
    <rPh sb="25" eb="26">
      <t>ウツ</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</si>
  <si>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</si>
  <si>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（ＪＡＳ格付及び含水率20%以下）であることを証明する書類</t>
  </si>
  <si>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</si>
  <si>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</si>
  <si>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</si>
  <si>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→DB列から範囲選択でコピぺ（行全体をコピペしないこと！）</t>
    <rPh sb="3" eb="4">
      <t>レツ</t>
    </rPh>
    <rPh sb="6" eb="10">
      <t>ハンイセンタク</t>
    </rPh>
    <rPh sb="15" eb="16">
      <t>ギョウ</t>
    </rPh>
    <rPh sb="16" eb="18">
      <t>ゼンタイ</t>
    </rPh>
    <phoneticPr fontId="1"/>
  </si>
  <si>
    <t>県産ヤング係数確認構造材</t>
    <rPh sb="0" eb="2">
      <t>ケンサン</t>
    </rPh>
    <rPh sb="5" eb="7">
      <t>ケイスウ</t>
    </rPh>
    <rPh sb="7" eb="9">
      <t>カクニン</t>
    </rPh>
    <rPh sb="9" eb="12">
      <t>コウゾウザイ</t>
    </rPh>
    <phoneticPr fontId="1"/>
  </si>
  <si>
    <t>県産ヤング係数確認構造材</t>
    <rPh sb="0" eb="2">
      <t>ケンサン</t>
    </rPh>
    <rPh sb="5" eb="7">
      <t>ケイスウ</t>
    </rPh>
    <rPh sb="7" eb="9">
      <t>カクニン</t>
    </rPh>
    <rPh sb="9" eb="12">
      <t>コウゾウザイ</t>
    </rPh>
    <phoneticPr fontId="18"/>
  </si>
  <si>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</si>
  <si>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2">
      <t>チイキ</t>
    </rPh>
    <rPh sb="2" eb="8">
      <t>ケンチクギノウカツヨウ</t>
    </rPh>
    <phoneticPr fontId="1"/>
  </si>
  <si>
    <t>はい</t>
  </si>
  <si>
    <t>登録決定通知（変更を行った場合は変更承認通知）記載の額を入力してください（０円も入力、空白不可）。</t>
    <rPh sb="0" eb="2">
      <t>トウロク</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</si>
  <si>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</si>
  <si>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</si>
  <si>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</si>
  <si>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</si>
  <si>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</si>
  <si>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</si>
  <si>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</si>
  <si>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</si>
  <si>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</si>
  <si>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</si>
  <si>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</si>
  <si>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</si>
  <si>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</si>
  <si>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登録住宅の交付申請兼実績報告用　令和8年4月1日改正</t>
    <rPh sb="0" eb="2">
      <t>トウロク</t>
    </rPh>
    <rPh sb="2" eb="4">
      <t>ジュウタク</t>
    </rPh>
    <rPh sb="5" eb="7">
      <t>コウフ</t>
    </rPh>
    <rPh sb="7" eb="9">
      <t>シンセイ</t>
    </rPh>
    <rPh sb="9" eb="10">
      <t>ケン</t>
    </rPh>
    <rPh sb="10" eb="12">
      <t>ジッセキ</t>
    </rPh>
    <rPh sb="12" eb="14">
      <t>ホウコク</t>
    </rPh>
    <rPh sb="14" eb="15">
      <t>ヨウ</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</si>
  <si>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</si>
  <si>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</si>
  <si>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rPh sb="22" eb="23">
      <t>オヤ</t>
    </rPh>
    <rPh sb="24" eb="26">
      <t>キンキョ</t>
    </rPh>
    <phoneticPr fontId="1"/>
  </si>
  <si>
    <t>イ　 直系尊属の世帯と同居する子育て世帯等（親と同居）</t>
    <rPh sb="22" eb="23">
      <t>オヤ</t>
    </rPh>
    <rPh sb="24" eb="26">
      <t>ドウキョ</t>
    </rPh>
    <phoneticPr fontId="1"/>
  </si>
  <si>
    <t>ウ　 直系卑属の子育て世帯等と同居する世帯（子と同居）</t>
    <rPh sb="22" eb="23">
      <t>コ</t>
    </rPh>
    <rPh sb="24" eb="26">
      <t>ドウキョ</t>
    </rPh>
    <phoneticPr fontId="1"/>
  </si>
  <si>
    <t>※全ての箇所が反映されるわけではないので様式第６号の内容確認・入力をお願いします。</t>
    <rPh sb="1" eb="2">
      <t>スベ</t>
    </rPh>
    <rPh sb="4" eb="6">
      <t>カショ</t>
    </rPh>
    <rPh sb="7" eb="9">
      <t>ハンエイ</t>
    </rPh>
    <rPh sb="20" eb="22">
      <t>ヨウシキ</t>
    </rPh>
    <rPh sb="22" eb="23">
      <t>ダイ</t>
    </rPh>
    <rPh sb="24" eb="25">
      <t>ゴウ</t>
    </rPh>
    <rPh sb="26" eb="28">
      <t>ナイヨウ</t>
    </rPh>
    <rPh sb="28" eb="30">
      <t>カクニン</t>
    </rPh>
    <rPh sb="31" eb="33">
      <t>ニュウリョク</t>
    </rPh>
    <rPh sb="35" eb="36">
      <t>ネガ</t>
    </rPh>
    <phoneticPr fontId="1"/>
  </si>
  <si>
    <r>
      <t>↓</t>
    </r>
    <r>
      <rPr>
        <b/>
        <sz val="11"/>
        <color rgb="FFFF0000"/>
        <rFont val="ＭＳ 明朝"/>
        <family val="1"/>
        <charset val="128"/>
      </rPr>
      <t>※値で貼り付け</t>
    </r>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</si>
  <si>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</si>
  <si>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</si>
  <si>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併用住宅住宅部分</t>
    <rPh sb="0" eb="2">
      <t>ヘイヨウ</t>
    </rPh>
    <rPh sb="2" eb="4">
      <t>ジュウタク</t>
    </rPh>
    <phoneticPr fontId="1"/>
  </si>
  <si>
    <t>併用住宅住宅以外</t>
    <rPh sb="0" eb="2">
      <t>ヘイヨウ</t>
    </rPh>
    <rPh sb="2" eb="4">
      <t>ジュウタク</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</si>
  <si>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</si>
  <si>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</si>
  <si>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</si>
  <si>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</si>
  <si>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</si>
  <si>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</si>
  <si>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</si>
  <si>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</si>
  <si>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</si>
  <si>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</si>
  <si>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</si>
  <si>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</si>
  <si>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</si>
  <si>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</si>
  <si>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</si>
  <si>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</si>
  <si>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</si>
  <si>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</si>
  <si>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</si>
  <si>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</si>
  <si>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</si>
  <si>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</si>
  <si>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</si>
  <si>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</si>
  <si>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</si>
  <si>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</si>
  <si>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</si>
  <si>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登録申請時の内容を以下にコピー＆ペーストすることで入力が省略できます。</t>
    <rPh sb="0" eb="2">
      <t>トウロク</t>
    </rPh>
    <rPh sb="2" eb="5">
      <t>シンセイジ</t>
    </rPh>
    <rPh sb="6" eb="8">
      <t>ナイヨウ</t>
    </rPh>
    <rPh sb="9" eb="11">
      <t>イカ</t>
    </rPh>
    <rPh sb="25" eb="27">
      <t>ニュウリョク</t>
    </rPh>
    <rPh sb="28" eb="30">
      <t>ショウリャク</t>
    </rPh>
    <phoneticPr fontId="1"/>
  </si>
  <si>
    <r>
      <t>登録申請の「実績報告時入力用シート」の赤枠内を選択・コピーして、以下に</t>
    </r>
    <r>
      <rPr>
        <b/>
        <u/>
        <sz val="11"/>
        <color rgb="FFFF0000"/>
        <rFont val="ＭＳ 明朝"/>
        <family val="1"/>
        <charset val="128"/>
      </rPr>
      <t>値で貼り付け</t>
    </r>
    <r>
      <rPr>
        <sz val="11"/>
        <color rgb="FFFF0000"/>
        <rFont val="ＭＳ 明朝"/>
        <family val="1"/>
        <charset val="128"/>
      </rPr>
      <t>してください。</t>
    </r>
    <rPh sb="0" eb="2">
      <t>トウロク</t>
    </rPh>
    <rPh sb="2" eb="4">
      <t>シンセイ</t>
    </rPh>
    <rPh sb="6" eb="8">
      <t>ジッセキ</t>
    </rPh>
    <rPh sb="8" eb="10">
      <t>ホウコク</t>
    </rPh>
    <rPh sb="10" eb="11">
      <t>ジ</t>
    </rPh>
    <rPh sb="11" eb="14">
      <t>ニュウリョクヨウ</t>
    </rPh>
    <rPh sb="19" eb="20">
      <t>アカ</t>
    </rPh>
    <rPh sb="20" eb="21">
      <t>ワク</t>
    </rPh>
    <rPh sb="21" eb="22">
      <t>ナイ</t>
    </rPh>
    <rPh sb="23" eb="25">
      <t>センタク</t>
    </rPh>
    <rPh sb="32" eb="34">
      <t>イカ</t>
    </rPh>
    <rPh sb="35" eb="36">
      <t>アタイ</t>
    </rPh>
    <rPh sb="37" eb="38">
      <t>ハ</t>
    </rPh>
    <rPh sb="39" eb="40">
      <t>ツ</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</si>
  <si>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</si>
  <si>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</si>
  <si>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Ver.1.1</t>
    <phoneticPr fontId="1"/>
  </si>
  <si>
    <t>・県産材を10m3以上使用する場合、1m3につき1.5が交付されます。（上限30万円）</t>
    <rPh sb="1" eb="3">
      <t>ケンサン</t>
    </rPh>
    <rPh sb="3" eb="4">
      <t>ザイ</t>
    </rPh>
    <rPh sb="9" eb="11">
      <t>イジョウ</t>
    </rPh>
    <rPh sb="11" eb="13">
      <t>シヨウ</t>
    </rPh>
    <rPh sb="15" eb="17">
      <t>バアイ</t>
    </rPh>
    <rPh sb="28" eb="30">
      <t>コウフ</t>
    </rPh>
    <rPh sb="36" eb="38">
      <t>ジョウゲン</t>
    </rPh>
    <rPh sb="40" eb="42">
      <t>マンエン</t>
    </rPh>
    <phoneticPr fontId="1"/>
  </si>
  <si>
    <t>・県産JAS製材（含水率20%以下のJAS格付材）を1m3以上使用する場合、１m3につき１万円が交付されます。（上限20万円)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</si>
</sst>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 numFmtId="189" formatCode="0_);[Red]\(0\)"/>
  </numFmts>
  <fonts count="5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b/>
      <u/>
      <sz val="11"/>
      <color rgb="FFFF0000"/>
      <name val="ＭＳ 明朝"/>
      <family val="1"/>
      <charset val="128"/>
    </font>
    <font>
      <sz val="11"/>
      <name val="ＭＳ 明朝"/>
      <family val="1"/>
      <charset val="128"/>
    </font>
    <font>
      <b/>
      <sz val="11"/>
      <color rgb="FFFF0000"/>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31">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5" fillId="3" borderId="0" xfId="0" applyFont="1" applyFill="1">
      <alignment vertical="center"/>
    </xf>
    <xf numFmtId="0" fontId="26" fillId="3" borderId="0" xfId="0" applyFont="1" applyFill="1">
      <alignment vertical="center"/>
    </xf>
    <xf numFmtId="0" fontId="26" fillId="3" borderId="12" xfId="0" applyFont="1" applyFill="1" applyBorder="1" applyProtection="1">
      <alignment vertical="center"/>
      <protection locked="0"/>
    </xf>
    <xf numFmtId="0" fontId="27" fillId="0" borderId="0" xfId="0" applyFont="1">
      <alignment vertical="center"/>
    </xf>
    <xf numFmtId="0" fontId="23" fillId="0" borderId="0" xfId="0" applyFont="1" applyAlignment="1">
      <alignment vertical="center" wrapText="1"/>
    </xf>
    <xf numFmtId="38" fontId="23" fillId="0" borderId="12" xfId="1" applyFont="1" applyBorder="1" applyProtection="1">
      <alignment vertical="center"/>
      <protection locked="0"/>
    </xf>
    <xf numFmtId="38" fontId="23" fillId="2" borderId="12" xfId="1" applyFont="1" applyFill="1" applyBorder="1">
      <alignment vertical="center"/>
    </xf>
    <xf numFmtId="38" fontId="23" fillId="2" borderId="12" xfId="0" applyNumberFormat="1" applyFont="1" applyFill="1" applyBorder="1">
      <alignment vertical="center"/>
    </xf>
    <xf numFmtId="38" fontId="23" fillId="0" borderId="12" xfId="1" applyFont="1" applyFill="1" applyBorder="1" applyProtection="1">
      <alignment vertical="center"/>
      <protection locked="0"/>
    </xf>
    <xf numFmtId="0" fontId="25"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6"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8" fillId="0" borderId="9" xfId="0" applyFont="1" applyBorder="1">
      <alignment vertical="center"/>
    </xf>
    <xf numFmtId="0" fontId="28"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3" fillId="0" borderId="12" xfId="0" applyFont="1" applyBorder="1" applyAlignment="1">
      <alignment horizontal="center" vertical="center"/>
    </xf>
    <xf numFmtId="0" fontId="23"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6" fillId="3" borderId="0" xfId="0" applyFont="1" applyFill="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178" fontId="30" fillId="0" borderId="0" xfId="0" applyNumberFormat="1" applyFont="1">
      <alignment vertical="center"/>
    </xf>
    <xf numFmtId="186" fontId="30" fillId="0" borderId="0" xfId="0" applyNumberFormat="1" applyFont="1">
      <alignment vertical="center"/>
    </xf>
    <xf numFmtId="185" fontId="30" fillId="6" borderId="0" xfId="0" applyNumberFormat="1" applyFont="1" applyFill="1">
      <alignment vertical="center"/>
    </xf>
    <xf numFmtId="0" fontId="30" fillId="6" borderId="0" xfId="0" applyFont="1" applyFill="1">
      <alignment vertical="center"/>
    </xf>
    <xf numFmtId="0" fontId="30" fillId="6" borderId="0" xfId="0" applyFont="1" applyFill="1" applyAlignment="1">
      <alignment horizontal="center" vertical="center"/>
    </xf>
    <xf numFmtId="178" fontId="30" fillId="6" borderId="0" xfId="0" applyNumberFormat="1" applyFont="1" applyFill="1">
      <alignment vertical="center"/>
    </xf>
    <xf numFmtId="186" fontId="30" fillId="6" borderId="0" xfId="0" applyNumberFormat="1" applyFont="1" applyFill="1">
      <alignment vertical="center"/>
    </xf>
    <xf numFmtId="178" fontId="30" fillId="7" borderId="10" xfId="0" applyNumberFormat="1" applyFont="1" applyFill="1" applyBorder="1">
      <alignment vertical="center"/>
    </xf>
    <xf numFmtId="0" fontId="29" fillId="0" borderId="13" xfId="0" applyFont="1" applyBorder="1" applyAlignment="1">
      <alignment vertical="top" wrapText="1"/>
    </xf>
    <xf numFmtId="0" fontId="33" fillId="0" borderId="13" xfId="0" applyFont="1" applyBorder="1" applyAlignment="1">
      <alignment vertical="top" wrapText="1"/>
    </xf>
    <xf numFmtId="0" fontId="30" fillId="0" borderId="13" xfId="0" applyFont="1" applyBorder="1" applyAlignment="1">
      <alignment horizontal="center" vertical="top" wrapText="1"/>
    </xf>
    <xf numFmtId="0" fontId="30" fillId="0" borderId="13" xfId="0" applyFont="1" applyBorder="1" applyAlignment="1">
      <alignment vertical="top" wrapText="1"/>
    </xf>
    <xf numFmtId="0" fontId="34" fillId="0" borderId="13" xfId="0" applyFont="1" applyBorder="1" applyAlignment="1">
      <alignment vertical="top" wrapText="1"/>
    </xf>
    <xf numFmtId="0" fontId="35" fillId="0" borderId="13" xfId="0" applyFont="1" applyBorder="1" applyAlignment="1">
      <alignment vertical="top" wrapText="1"/>
    </xf>
    <xf numFmtId="185" fontId="30" fillId="0" borderId="13" xfId="0" applyNumberFormat="1" applyFont="1" applyBorder="1" applyAlignment="1">
      <alignment vertical="top" wrapText="1"/>
    </xf>
    <xf numFmtId="0" fontId="30" fillId="0" borderId="1" xfId="0" applyFont="1" applyBorder="1" applyAlignment="1">
      <alignment vertical="top" wrapText="1"/>
    </xf>
    <xf numFmtId="0" fontId="30" fillId="0" borderId="2" xfId="0" applyFont="1" applyBorder="1" applyAlignment="1">
      <alignment horizontal="center" vertical="top" wrapText="1"/>
    </xf>
    <xf numFmtId="0" fontId="30" fillId="0" borderId="2" xfId="0" applyFont="1" applyBorder="1" applyAlignment="1">
      <alignment vertical="top" wrapText="1"/>
    </xf>
    <xf numFmtId="0" fontId="30" fillId="0" borderId="3" xfId="0" applyFont="1" applyBorder="1" applyAlignment="1">
      <alignment horizontal="center" vertical="top" wrapText="1"/>
    </xf>
    <xf numFmtId="0" fontId="30" fillId="0" borderId="1" xfId="0" applyFont="1" applyBorder="1" applyAlignment="1">
      <alignment horizontal="center" vertical="top" wrapText="1"/>
    </xf>
    <xf numFmtId="0" fontId="30" fillId="0" borderId="3" xfId="0" applyFont="1" applyBorder="1" applyAlignment="1">
      <alignment vertical="top"/>
    </xf>
    <xf numFmtId="178" fontId="30" fillId="8" borderId="0" xfId="0" applyNumberFormat="1" applyFont="1" applyFill="1" applyAlignment="1">
      <alignment vertical="top"/>
    </xf>
    <xf numFmtId="178" fontId="30" fillId="8" borderId="0" xfId="0" applyNumberFormat="1" applyFont="1" applyFill="1" applyAlignment="1">
      <alignment vertical="top" wrapText="1"/>
    </xf>
    <xf numFmtId="178" fontId="30" fillId="9" borderId="0" xfId="0" applyNumberFormat="1" applyFont="1" applyFill="1" applyAlignment="1">
      <alignment vertical="top" wrapText="1"/>
    </xf>
    <xf numFmtId="185" fontId="30" fillId="0" borderId="6" xfId="0" applyNumberFormat="1" applyFont="1" applyBorder="1" applyAlignment="1">
      <alignment vertical="top" wrapText="1"/>
    </xf>
    <xf numFmtId="185" fontId="30" fillId="0" borderId="5" xfId="0" applyNumberFormat="1" applyFont="1" applyBorder="1" applyAlignment="1">
      <alignment vertical="top" wrapText="1"/>
    </xf>
    <xf numFmtId="185" fontId="30" fillId="0" borderId="6" xfId="0" applyNumberFormat="1" applyFont="1" applyBorder="1" applyAlignment="1">
      <alignment vertical="top"/>
    </xf>
    <xf numFmtId="186" fontId="30" fillId="0" borderId="7" xfId="0" applyNumberFormat="1" applyFont="1" applyBorder="1" applyAlignment="1">
      <alignment vertical="top"/>
    </xf>
    <xf numFmtId="0" fontId="30" fillId="0" borderId="6" xfId="0" applyFont="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horizontal="center" vertical="top" wrapText="1"/>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Alignment="1">
      <alignment vertical="top" wrapText="1"/>
    </xf>
    <xf numFmtId="178" fontId="30" fillId="8" borderId="0" xfId="0" applyNumberFormat="1" applyFont="1" applyFill="1" applyAlignment="1">
      <alignment horizontal="center" vertical="top" wrapText="1"/>
    </xf>
    <xf numFmtId="178" fontId="30" fillId="9" borderId="1" xfId="0" applyNumberFormat="1" applyFont="1" applyFill="1" applyBorder="1" applyAlignment="1">
      <alignment vertical="top" wrapText="1"/>
    </xf>
    <xf numFmtId="178" fontId="30" fillId="9" borderId="2" xfId="0" applyNumberFormat="1" applyFont="1" applyFill="1" applyBorder="1" applyAlignment="1">
      <alignment vertical="top" wrapText="1"/>
    </xf>
    <xf numFmtId="185" fontId="30" fillId="0" borderId="5" xfId="0" applyNumberFormat="1" applyFont="1" applyBorder="1" applyAlignment="1">
      <alignment vertical="top"/>
    </xf>
    <xf numFmtId="186" fontId="30" fillId="0" borderId="5" xfId="0" applyNumberFormat="1" applyFont="1" applyBorder="1" applyAlignment="1">
      <alignment vertical="top"/>
    </xf>
    <xf numFmtId="0" fontId="36" fillId="0" borderId="29" xfId="0" applyFont="1" applyBorder="1">
      <alignment vertical="center"/>
    </xf>
    <xf numFmtId="0" fontId="33" fillId="0" borderId="29" xfId="0" applyFont="1" applyBorder="1">
      <alignment vertical="center"/>
    </xf>
    <xf numFmtId="0" fontId="30" fillId="0" borderId="29" xfId="0" applyFont="1" applyBorder="1" applyAlignment="1">
      <alignment horizontal="center" vertical="center"/>
    </xf>
    <xf numFmtId="0" fontId="30" fillId="0" borderId="29" xfId="0" applyFont="1" applyBorder="1">
      <alignment vertical="center"/>
    </xf>
    <xf numFmtId="185" fontId="30" fillId="0" borderId="29" xfId="0" applyNumberFormat="1" applyFont="1" applyBorder="1">
      <alignment vertical="center"/>
    </xf>
    <xf numFmtId="0" fontId="30" fillId="0" borderId="13" xfId="0" applyFont="1" applyBorder="1">
      <alignment vertical="center"/>
    </xf>
    <xf numFmtId="0" fontId="30" fillId="0" borderId="13" xfId="0" applyFont="1" applyBorder="1" applyAlignment="1">
      <alignment horizontal="center" vertical="center"/>
    </xf>
    <xf numFmtId="0" fontId="30" fillId="0" borderId="1" xfId="0" applyFont="1" applyBorder="1">
      <alignment vertical="center"/>
    </xf>
    <xf numFmtId="178" fontId="30" fillId="0" borderId="13" xfId="0" applyNumberFormat="1" applyFont="1" applyBorder="1">
      <alignment vertical="center"/>
    </xf>
    <xf numFmtId="178" fontId="30" fillId="4" borderId="1" xfId="0" applyNumberFormat="1" applyFont="1" applyFill="1" applyBorder="1">
      <alignment vertical="center"/>
    </xf>
    <xf numFmtId="178" fontId="30" fillId="4" borderId="3" xfId="0" applyNumberFormat="1" applyFont="1" applyFill="1" applyBorder="1">
      <alignment vertical="center"/>
    </xf>
    <xf numFmtId="178" fontId="30" fillId="2" borderId="1" xfId="0" applyNumberFormat="1" applyFont="1" applyFill="1" applyBorder="1">
      <alignment vertical="center"/>
    </xf>
    <xf numFmtId="178" fontId="30" fillId="2" borderId="2" xfId="0" applyNumberFormat="1" applyFont="1" applyFill="1" applyBorder="1">
      <alignment vertical="center"/>
    </xf>
    <xf numFmtId="178" fontId="30" fillId="2" borderId="3" xfId="0" applyNumberFormat="1" applyFont="1" applyFill="1" applyBorder="1">
      <alignment vertical="center"/>
    </xf>
    <xf numFmtId="178" fontId="30" fillId="10" borderId="1" xfId="0" applyNumberFormat="1" applyFont="1" applyFill="1" applyBorder="1">
      <alignment vertical="center"/>
    </xf>
    <xf numFmtId="178" fontId="30" fillId="10" borderId="2" xfId="0" applyNumberFormat="1" applyFont="1" applyFill="1" applyBorder="1">
      <alignment vertical="center"/>
    </xf>
    <xf numFmtId="178" fontId="30" fillId="10" borderId="3" xfId="0" applyNumberFormat="1" applyFont="1" applyFill="1" applyBorder="1">
      <alignment vertical="center"/>
    </xf>
    <xf numFmtId="178" fontId="37" fillId="6" borderId="3" xfId="0" applyNumberFormat="1" applyFont="1" applyFill="1" applyBorder="1">
      <alignment vertical="center"/>
    </xf>
    <xf numFmtId="178" fontId="30" fillId="7" borderId="1" xfId="0" applyNumberFormat="1" applyFont="1" applyFill="1" applyBorder="1">
      <alignment vertical="center"/>
    </xf>
    <xf numFmtId="178" fontId="30" fillId="7" borderId="2" xfId="0" applyNumberFormat="1" applyFont="1" applyFill="1" applyBorder="1">
      <alignment vertical="center"/>
    </xf>
    <xf numFmtId="178" fontId="30" fillId="7" borderId="3" xfId="0" applyNumberFormat="1" applyFont="1" applyFill="1" applyBorder="1">
      <alignment vertical="center"/>
    </xf>
    <xf numFmtId="178" fontId="30" fillId="11" borderId="1" xfId="0" applyNumberFormat="1" applyFont="1" applyFill="1" applyBorder="1">
      <alignment vertical="center"/>
    </xf>
    <xf numFmtId="178" fontId="30" fillId="11" borderId="2" xfId="0" applyNumberFormat="1" applyFont="1" applyFill="1" applyBorder="1">
      <alignment vertical="center"/>
    </xf>
    <xf numFmtId="178" fontId="30" fillId="11" borderId="3" xfId="0" applyNumberFormat="1" applyFont="1" applyFill="1" applyBorder="1">
      <alignment vertical="center"/>
    </xf>
    <xf numFmtId="178" fontId="30" fillId="3" borderId="1" xfId="0" applyNumberFormat="1" applyFont="1" applyFill="1" applyBorder="1">
      <alignment vertical="center"/>
    </xf>
    <xf numFmtId="178" fontId="30" fillId="3" borderId="2" xfId="0" applyNumberFormat="1" applyFont="1" applyFill="1" applyBorder="1">
      <alignment vertical="center"/>
    </xf>
    <xf numFmtId="178" fontId="30" fillId="3" borderId="3" xfId="0" applyNumberFormat="1" applyFont="1" applyFill="1" applyBorder="1">
      <alignment vertical="center"/>
    </xf>
    <xf numFmtId="178" fontId="30" fillId="4" borderId="2" xfId="0" applyNumberFormat="1" applyFont="1" applyFill="1" applyBorder="1" applyAlignment="1">
      <alignment vertical="center" wrapText="1"/>
    </xf>
    <xf numFmtId="178" fontId="30" fillId="4" borderId="3" xfId="0" applyNumberFormat="1" applyFont="1" applyFill="1" applyBorder="1" applyAlignment="1">
      <alignment vertical="center" wrapText="1"/>
    </xf>
    <xf numFmtId="178" fontId="30" fillId="9" borderId="0" xfId="0" applyNumberFormat="1" applyFont="1" applyFill="1" applyAlignment="1">
      <alignment vertical="center" wrapText="1"/>
    </xf>
    <xf numFmtId="185" fontId="30" fillId="0" borderId="9" xfId="0" applyNumberFormat="1" applyFont="1" applyBorder="1" applyAlignment="1">
      <alignment vertical="top" wrapText="1"/>
    </xf>
    <xf numFmtId="185" fontId="30" fillId="0" borderId="10" xfId="0" applyNumberFormat="1" applyFont="1" applyBorder="1" applyAlignment="1">
      <alignment vertical="top" wrapText="1"/>
    </xf>
    <xf numFmtId="185" fontId="30" fillId="0" borderId="0" xfId="0" applyNumberFormat="1" applyFont="1" applyAlignment="1">
      <alignment horizontal="center" vertical="top" wrapText="1"/>
    </xf>
    <xf numFmtId="185" fontId="30" fillId="0" borderId="8" xfId="0" applyNumberFormat="1" applyFont="1" applyBorder="1" applyAlignment="1">
      <alignment vertical="top"/>
    </xf>
    <xf numFmtId="186" fontId="30" fillId="0" borderId="4" xfId="0" applyNumberFormat="1" applyFont="1" applyBorder="1" applyAlignment="1">
      <alignment vertical="top"/>
    </xf>
    <xf numFmtId="0" fontId="30" fillId="0" borderId="8" xfId="0" applyFont="1" applyBorder="1">
      <alignment vertical="center"/>
    </xf>
    <xf numFmtId="0" fontId="30" fillId="0" borderId="4" xfId="0" applyFont="1" applyBorder="1">
      <alignment vertical="center"/>
    </xf>
    <xf numFmtId="0" fontId="30" fillId="0" borderId="4" xfId="0" applyFont="1" applyBorder="1" applyAlignment="1">
      <alignment horizontal="center" vertical="center"/>
    </xf>
    <xf numFmtId="187" fontId="30" fillId="0" borderId="29" xfId="0" applyNumberFormat="1" applyFont="1" applyBorder="1">
      <alignment vertical="center"/>
    </xf>
    <xf numFmtId="185" fontId="30" fillId="0" borderId="8" xfId="0" applyNumberFormat="1" applyFont="1" applyBorder="1" applyAlignment="1">
      <alignment vertical="top" wrapText="1"/>
    </xf>
    <xf numFmtId="0" fontId="30" fillId="0" borderId="4" xfId="0" applyFont="1" applyBorder="1" applyAlignment="1">
      <alignment vertical="top" wrapText="1"/>
    </xf>
    <xf numFmtId="178" fontId="30" fillId="4" borderId="2" xfId="0" applyNumberFormat="1" applyFont="1" applyFill="1" applyBorder="1">
      <alignment vertical="center"/>
    </xf>
    <xf numFmtId="178" fontId="37" fillId="6" borderId="1" xfId="0" applyNumberFormat="1" applyFont="1" applyFill="1" applyBorder="1">
      <alignment vertical="center"/>
    </xf>
    <xf numFmtId="178" fontId="30" fillId="8" borderId="13" xfId="0" applyNumberFormat="1" applyFont="1" applyFill="1" applyBorder="1" applyAlignment="1">
      <alignment vertical="center" wrapText="1"/>
    </xf>
    <xf numFmtId="178" fontId="30" fillId="4" borderId="1" xfId="0" applyNumberFormat="1" applyFont="1" applyFill="1" applyBorder="1" applyAlignment="1">
      <alignment vertical="center" wrapText="1"/>
    </xf>
    <xf numFmtId="178" fontId="30" fillId="3" borderId="5" xfId="0" applyNumberFormat="1" applyFont="1" applyFill="1" applyBorder="1">
      <alignment vertical="center"/>
    </xf>
    <xf numFmtId="178" fontId="30" fillId="4" borderId="13" xfId="0" applyNumberFormat="1" applyFont="1" applyFill="1" applyBorder="1" applyAlignment="1">
      <alignment vertical="center" wrapText="1"/>
    </xf>
    <xf numFmtId="0" fontId="30" fillId="0" borderId="9" xfId="0" applyFont="1" applyBorder="1" applyAlignment="1">
      <alignment vertical="top"/>
    </xf>
    <xf numFmtId="185" fontId="30" fillId="0" borderId="10" xfId="0" applyNumberFormat="1" applyFont="1" applyBorder="1" applyAlignment="1">
      <alignment vertical="top"/>
    </xf>
    <xf numFmtId="186" fontId="30" fillId="0" borderId="10" xfId="0" applyNumberFormat="1" applyFont="1" applyBorder="1" applyAlignment="1"/>
    <xf numFmtId="186" fontId="30" fillId="0" borderId="11" xfId="0" applyNumberFormat="1" applyFont="1" applyBorder="1" applyAlignment="1"/>
    <xf numFmtId="0" fontId="36" fillId="5" borderId="14" xfId="0" applyFont="1" applyFill="1" applyBorder="1" applyAlignment="1">
      <alignment vertical="center" wrapText="1"/>
    </xf>
    <xf numFmtId="0" fontId="33" fillId="0" borderId="29" xfId="0" applyFont="1" applyBorder="1" applyAlignment="1">
      <alignment vertical="center" wrapText="1"/>
    </xf>
    <xf numFmtId="0" fontId="31" fillId="0" borderId="29" xfId="0" applyFont="1" applyBorder="1" applyAlignment="1">
      <alignment horizontal="center" vertical="center" wrapText="1"/>
    </xf>
    <xf numFmtId="0" fontId="30" fillId="5" borderId="29" xfId="0" applyFont="1" applyFill="1" applyBorder="1" applyAlignment="1">
      <alignment horizontal="center" vertical="center" wrapText="1"/>
    </xf>
    <xf numFmtId="0" fontId="37" fillId="0" borderId="29" xfId="0" applyFont="1" applyBorder="1" applyAlignment="1">
      <alignment vertical="center" wrapText="1"/>
    </xf>
    <xf numFmtId="185" fontId="30" fillId="0" borderId="29" xfId="0" applyNumberFormat="1" applyFont="1" applyBorder="1" applyAlignment="1">
      <alignment vertical="center" wrapText="1"/>
    </xf>
    <xf numFmtId="0" fontId="30" fillId="0" borderId="29" xfId="0" applyFont="1" applyBorder="1" applyAlignment="1">
      <alignment vertical="center" wrapText="1"/>
    </xf>
    <xf numFmtId="0" fontId="30" fillId="0" borderId="29" xfId="0" applyFont="1" applyBorder="1" applyAlignment="1">
      <alignment horizontal="center" vertical="center" wrapText="1"/>
    </xf>
    <xf numFmtId="178" fontId="30" fillId="0" borderId="29" xfId="0" applyNumberFormat="1" applyFont="1" applyBorder="1" applyAlignment="1">
      <alignment vertical="center" wrapText="1"/>
    </xf>
    <xf numFmtId="178" fontId="30" fillId="0" borderId="13" xfId="0" applyNumberFormat="1" applyFont="1" applyBorder="1" applyAlignment="1">
      <alignment vertical="center" wrapText="1"/>
    </xf>
    <xf numFmtId="178" fontId="30" fillId="5" borderId="13" xfId="0" applyNumberFormat="1" applyFont="1" applyFill="1" applyBorder="1" applyAlignment="1">
      <alignment vertical="center" wrapText="1"/>
    </xf>
    <xf numFmtId="178" fontId="30" fillId="5" borderId="29" xfId="0" applyNumberFormat="1" applyFont="1" applyFill="1" applyBorder="1" applyAlignment="1">
      <alignment vertical="center" wrapText="1"/>
    </xf>
    <xf numFmtId="178" fontId="40" fillId="0" borderId="29" xfId="0" applyNumberFormat="1" applyFont="1" applyBorder="1" applyAlignment="1">
      <alignment vertical="center" wrapText="1"/>
    </xf>
    <xf numFmtId="178" fontId="30" fillId="4" borderId="29" xfId="0" applyNumberFormat="1" applyFont="1" applyFill="1" applyBorder="1" applyAlignment="1">
      <alignment vertical="center" wrapText="1"/>
    </xf>
    <xf numFmtId="178" fontId="41" fillId="0" borderId="13" xfId="0" applyNumberFormat="1" applyFont="1" applyBorder="1" applyAlignment="1">
      <alignment vertical="center" wrapText="1"/>
    </xf>
    <xf numFmtId="178" fontId="30" fillId="0" borderId="14" xfId="0" applyNumberFormat="1" applyFont="1" applyBorder="1" applyAlignment="1">
      <alignment vertical="center" wrapText="1"/>
    </xf>
    <xf numFmtId="178" fontId="42" fillId="8" borderId="0" xfId="0" applyNumberFormat="1" applyFont="1" applyFill="1" applyAlignment="1">
      <alignment vertical="center" wrapText="1"/>
    </xf>
    <xf numFmtId="178" fontId="42" fillId="12" borderId="0" xfId="0" applyNumberFormat="1" applyFont="1" applyFill="1" applyAlignment="1">
      <alignment vertical="center" wrapText="1"/>
    </xf>
    <xf numFmtId="178" fontId="30" fillId="9" borderId="13" xfId="0" applyNumberFormat="1" applyFont="1" applyFill="1" applyBorder="1" applyAlignment="1">
      <alignment vertical="center" wrapText="1"/>
    </xf>
    <xf numFmtId="185" fontId="30" fillId="0" borderId="13" xfId="0" applyNumberFormat="1" applyFont="1" applyBorder="1">
      <alignment vertical="center"/>
    </xf>
    <xf numFmtId="186" fontId="30" fillId="4" borderId="13" xfId="0" applyNumberFormat="1" applyFont="1" applyFill="1" applyBorder="1">
      <alignment vertical="center"/>
    </xf>
    <xf numFmtId="0" fontId="30" fillId="0" borderId="13" xfId="0" applyFont="1" applyBorder="1" applyAlignment="1">
      <alignment vertical="center" wrapText="1"/>
    </xf>
    <xf numFmtId="0" fontId="30" fillId="0" borderId="13" xfId="0" applyFont="1" applyBorder="1" applyAlignment="1">
      <alignment horizontal="center" vertical="center" wrapText="1"/>
    </xf>
    <xf numFmtId="185" fontId="30" fillId="0" borderId="13" xfId="0" applyNumberFormat="1" applyFont="1" applyBorder="1" applyAlignment="1">
      <alignment vertical="center" wrapText="1"/>
    </xf>
    <xf numFmtId="0" fontId="35" fillId="0" borderId="13" xfId="0" applyFont="1" applyBorder="1" applyAlignment="1">
      <alignment vertical="center" wrapText="1"/>
    </xf>
    <xf numFmtId="0" fontId="30" fillId="0" borderId="0" xfId="0" applyFont="1" applyAlignment="1">
      <alignment vertical="center" wrapText="1"/>
    </xf>
    <xf numFmtId="178" fontId="30" fillId="4" borderId="12" xfId="0" applyNumberFormat="1" applyFont="1" applyFill="1" applyBorder="1" applyAlignment="1">
      <alignment vertical="center" wrapText="1"/>
    </xf>
    <xf numFmtId="178" fontId="30"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0" fillId="8" borderId="14" xfId="0" applyNumberFormat="1" applyFont="1" applyFill="1" applyBorder="1" applyAlignment="1">
      <alignment vertical="center" wrapText="1"/>
    </xf>
    <xf numFmtId="178" fontId="30" fillId="0" borderId="0" xfId="0" applyNumberFormat="1" applyFont="1" applyAlignment="1">
      <alignment vertical="center" wrapText="1"/>
    </xf>
    <xf numFmtId="178" fontId="42" fillId="8" borderId="9" xfId="0" applyNumberFormat="1" applyFont="1" applyFill="1" applyBorder="1" applyAlignment="1">
      <alignment vertical="center" wrapText="1"/>
    </xf>
    <xf numFmtId="178" fontId="42" fillId="8" borderId="10" xfId="0" applyNumberFormat="1" applyFont="1" applyFill="1" applyBorder="1" applyAlignment="1">
      <alignment vertical="center" wrapText="1"/>
    </xf>
    <xf numFmtId="178" fontId="42" fillId="12" borderId="10" xfId="0" applyNumberFormat="1" applyFont="1" applyFill="1" applyBorder="1" applyAlignment="1">
      <alignment vertical="center" wrapText="1"/>
    </xf>
    <xf numFmtId="178" fontId="30" fillId="0" borderId="12" xfId="0" applyNumberFormat="1" applyFont="1" applyBorder="1" applyAlignment="1">
      <alignment vertical="center" wrapText="1"/>
    </xf>
    <xf numFmtId="0" fontId="30" fillId="0" borderId="12" xfId="0" applyFont="1" applyBorder="1" applyAlignment="1">
      <alignment vertical="center" wrapText="1"/>
    </xf>
    <xf numFmtId="185" fontId="30" fillId="0" borderId="12" xfId="0" applyNumberFormat="1" applyFont="1" applyBorder="1" applyAlignment="1">
      <alignment vertical="center" wrapText="1"/>
    </xf>
    <xf numFmtId="186" fontId="30" fillId="4" borderId="12" xfId="0" applyNumberFormat="1" applyFont="1" applyFill="1" applyBorder="1" applyAlignment="1">
      <alignment vertical="center" wrapText="1"/>
    </xf>
    <xf numFmtId="0" fontId="36"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3"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0" fontId="0" fillId="5" borderId="2" xfId="0"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183" fontId="0" fillId="0" borderId="12" xfId="0" applyNumberFormat="1" applyBorder="1">
      <alignment vertical="center"/>
    </xf>
    <xf numFmtId="0" fontId="30" fillId="13" borderId="0" xfId="0" applyFont="1" applyFill="1">
      <alignment vertical="center"/>
    </xf>
    <xf numFmtId="0" fontId="47" fillId="0" borderId="12" xfId="0" applyFont="1" applyBorder="1">
      <alignment vertical="center"/>
    </xf>
    <xf numFmtId="179" fontId="0" fillId="5" borderId="1" xfId="0" applyNumberFormat="1" applyFill="1" applyBorder="1">
      <alignment vertical="center"/>
    </xf>
    <xf numFmtId="178" fontId="30" fillId="13" borderId="0" xfId="0" applyNumberFormat="1" applyFont="1" applyFill="1">
      <alignment vertical="center"/>
    </xf>
    <xf numFmtId="0" fontId="33" fillId="13" borderId="0" xfId="0" applyFont="1" applyFill="1">
      <alignment vertical="center"/>
    </xf>
    <xf numFmtId="178"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178" fontId="48"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9" fillId="0" borderId="0" xfId="0" applyFont="1" applyProtection="1">
      <alignment vertical="center"/>
      <protection locked="0"/>
    </xf>
    <xf numFmtId="49" fontId="49"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9" fillId="0" borderId="0" xfId="0" applyFont="1">
      <alignment vertical="center"/>
    </xf>
    <xf numFmtId="49" fontId="49" fillId="0" borderId="0" xfId="0" applyNumberFormat="1" applyFont="1">
      <alignment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8" fillId="0" borderId="29" xfId="0" applyNumberFormat="1" applyFont="1" applyBorder="1" applyAlignment="1">
      <alignment vertical="center" wrapText="1"/>
    </xf>
    <xf numFmtId="0" fontId="28" fillId="0" borderId="0" xfId="0" applyFont="1">
      <alignment vertical="center"/>
    </xf>
    <xf numFmtId="0" fontId="12" fillId="0" borderId="0" xfId="0" applyFont="1" applyAlignment="1">
      <alignment horizontal="right" vertical="center"/>
    </xf>
    <xf numFmtId="0" fontId="24" fillId="0" borderId="0" xfId="0" applyFont="1">
      <alignment vertical="center"/>
    </xf>
    <xf numFmtId="0" fontId="55" fillId="0" borderId="0" xfId="0" applyFont="1">
      <alignment vertical="center"/>
    </xf>
    <xf numFmtId="0" fontId="23" fillId="0" borderId="30" xfId="0" applyFont="1" applyBorder="1" applyProtection="1">
      <alignment vertical="center"/>
      <protection locked="0"/>
    </xf>
    <xf numFmtId="0" fontId="23" fillId="0" borderId="31" xfId="0" applyFont="1" applyBorder="1" applyProtection="1">
      <alignment vertical="center"/>
      <protection locked="0"/>
    </xf>
    <xf numFmtId="0" fontId="23" fillId="0" borderId="32" xfId="0" applyFont="1" applyBorder="1" applyProtection="1">
      <alignment vertical="center"/>
      <protection locked="0"/>
    </xf>
    <xf numFmtId="49" fontId="12" fillId="0" borderId="0" xfId="0" applyNumberFormat="1" applyFont="1">
      <alignmen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shrinkToFit="1"/>
      <protection locked="0"/>
    </xf>
    <xf numFmtId="0" fontId="4" fillId="0" borderId="0" xfId="0" applyFont="1" applyAlignment="1">
      <alignment horizontal="left"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3" fillId="0" borderId="0" xfId="0" applyFont="1" applyAlignment="1">
      <alignment horizontal="left" vertical="center" wrapText="1"/>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8" fillId="0" borderId="0" xfId="0" applyFont="1" applyAlignment="1">
      <alignment horizontal="lef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0" xfId="0" applyNumberFormat="1" applyFont="1" applyAlignment="1" applyProtection="1">
      <alignment horizontal="right" vertical="center"/>
      <protection locked="0"/>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2" xfId="0" applyFont="1" applyBorder="1" applyAlignment="1">
      <alignment horizontal="lef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9" fillId="0" borderId="0" xfId="0" applyFont="1" applyAlignment="1">
      <alignment horizontal="center" vertical="center"/>
    </xf>
    <xf numFmtId="189" fontId="4" fillId="0" borderId="2"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0"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15" fillId="0" borderId="0" xfId="0" applyFont="1" applyAlignment="1">
      <alignment horizontal="left" vertical="top" wrapText="1"/>
    </xf>
    <xf numFmtId="182" fontId="4" fillId="0" borderId="0" xfId="0" applyNumberFormat="1" applyFont="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50" fillId="0" borderId="0" xfId="0" applyFont="1" applyAlignment="1">
      <alignment horizontal="left" vertical="center" wrapText="1"/>
    </xf>
    <xf numFmtId="0" fontId="6" fillId="0" borderId="0" xfId="0" applyFont="1" applyAlignment="1">
      <alignment horizontal="left" vertical="center"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left" vertical="center"/>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52" fillId="0" borderId="0" xfId="0" applyFont="1" applyAlignment="1">
      <alignment horizontal="left" vertical="center" wrapTex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4" fillId="0" borderId="0" xfId="0" applyFont="1" applyAlignment="1">
      <alignment horizontal="left" vertical="top" wrapText="1"/>
    </xf>
    <xf numFmtId="0" fontId="22" fillId="0" borderId="0" xfId="0" applyFont="1" applyAlignment="1">
      <alignment horizontal="center" vertical="center"/>
    </xf>
    <xf numFmtId="0" fontId="24"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0" fontId="4" fillId="0" borderId="0" xfId="0" applyFont="1" applyAlignment="1" applyProtection="1">
      <alignment horizontal="left"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49" fillId="0" borderId="0" xfId="0" applyFont="1" applyAlignment="1" applyProtection="1">
      <alignment horizontal="center" vertical="center"/>
      <protection locked="0"/>
    </xf>
    <xf numFmtId="178" fontId="30" fillId="4" borderId="0" xfId="0" applyNumberFormat="1" applyFont="1" applyFill="1" applyAlignment="1">
      <alignment horizontal="center" vertical="top" wrapText="1"/>
    </xf>
    <xf numFmtId="178" fontId="30" fillId="4" borderId="10" xfId="0" applyNumberFormat="1" applyFont="1" applyFill="1" applyBorder="1" applyAlignment="1">
      <alignment horizontal="center"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178" fontId="31" fillId="6" borderId="1" xfId="0" applyNumberFormat="1" applyFont="1" applyFill="1" applyBorder="1" applyAlignment="1">
      <alignment horizontal="center" vertical="center"/>
    </xf>
    <xf numFmtId="178" fontId="31" fillId="6" borderId="2" xfId="0" applyNumberFormat="1" applyFont="1" applyFill="1" applyBorder="1" applyAlignment="1">
      <alignment horizontal="center" vertical="center"/>
    </xf>
    <xf numFmtId="178" fontId="31" fillId="6" borderId="3" xfId="0" applyNumberFormat="1" applyFont="1" applyFill="1" applyBorder="1" applyAlignment="1">
      <alignment horizontal="center" vertical="center"/>
    </xf>
    <xf numFmtId="185" fontId="30" fillId="0" borderId="1"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3" xfId="0" applyNumberFormat="1" applyFont="1" applyBorder="1" applyAlignment="1">
      <alignment horizontal="center" vertical="center"/>
    </xf>
  </cellXfs>
  <cellStyles count="2">
    <cellStyle name="桁区切り" xfId="1" builtinId="6"/>
    <cellStyle name="標準" xfId="0" builtinId="0"/>
  </cellStyles>
  <dxfs count="94">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215265</xdr:colOff>
      <xdr:row>0</xdr:row>
      <xdr:rowOff>24765</xdr:rowOff>
    </xdr:from>
    <xdr:to>
      <xdr:col>26</xdr:col>
      <xdr:colOff>20955</xdr:colOff>
      <xdr:row>5</xdr:row>
      <xdr:rowOff>123825</xdr:rowOff>
    </xdr:to>
    <xdr:sp macro="" textlink="">
      <xdr:nvSpPr>
        <xdr:cNvPr id="2" name="四角形: 角を丸くする 1">
          <a:extLst>
            <a:ext uri="{FF2B5EF4-FFF2-40B4-BE49-F238E27FC236}">
              <a16:creationId xmlns:a16="http://schemas.microsoft.com/office/drawing/2014/main" id="{A4DF0A9F-BB44-4F8B-95AF-A3DA69FE5F53}"/>
            </a:ext>
          </a:extLst>
        </xdr:cNvPr>
        <xdr:cNvSpPr/>
      </xdr:nvSpPr>
      <xdr:spPr>
        <a:xfrm>
          <a:off x="215265" y="24765"/>
          <a:ext cx="5701665" cy="956310"/>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○はじめに、「要入力　交付決定状況入力シート」に入力ください。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H279"/>
  <sheetViews>
    <sheetView showGridLines="0" tabSelected="1" view="pageBreakPreview" topLeftCell="A90" zoomScaleNormal="100" zoomScaleSheetLayoutView="100" workbookViewId="0">
      <selection activeCell="B131" sqref="B131"/>
    </sheetView>
  </sheetViews>
  <sheetFormatPr defaultColWidth="3.109375" defaultRowHeight="13.2" x14ac:dyDescent="0.2"/>
  <cols>
    <col min="1" max="1" width="4.109375" style="1" customWidth="1"/>
    <col min="2" max="2" width="3.6640625" style="1" customWidth="1"/>
    <col min="3" max="3" width="6.44140625" style="1" bestFit="1" customWidth="1"/>
    <col min="4"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7" spans="1:60" ht="13.5" customHeight="1" x14ac:dyDescent="0.2">
      <c r="A7" s="1" t="s">
        <v>146</v>
      </c>
      <c r="K7" s="2"/>
      <c r="L7" s="2"/>
      <c r="M7" s="2"/>
      <c r="N7" s="2"/>
      <c r="O7" s="2"/>
      <c r="P7" s="2"/>
      <c r="Q7" s="2"/>
      <c r="R7" s="2"/>
      <c r="Z7" s="50"/>
      <c r="AA7" s="287" t="s">
        <v>470</v>
      </c>
      <c r="AC7" s="4" t="s">
        <v>70</v>
      </c>
      <c r="BG7" s="1" t="s">
        <v>114</v>
      </c>
      <c r="BH7" s="1" t="s">
        <v>132</v>
      </c>
    </row>
    <row r="8" spans="1:60" ht="15.6" customHeight="1" x14ac:dyDescent="0.2">
      <c r="K8" s="2"/>
      <c r="L8" s="2"/>
      <c r="M8" s="2"/>
      <c r="N8" s="2"/>
      <c r="O8" s="2"/>
      <c r="P8" s="2"/>
      <c r="Q8" s="2"/>
      <c r="R8" s="2"/>
      <c r="Y8" s="1" t="s">
        <v>513</v>
      </c>
      <c r="AC8" s="4" t="s">
        <v>167</v>
      </c>
      <c r="BG8" s="1" t="s">
        <v>115</v>
      </c>
      <c r="BH8" s="1" t="s">
        <v>133</v>
      </c>
    </row>
    <row r="9" spans="1:60" ht="20.25" customHeight="1" x14ac:dyDescent="0.2">
      <c r="A9" s="418" t="s">
        <v>412</v>
      </c>
      <c r="B9" s="418"/>
      <c r="C9" s="418"/>
      <c r="D9" s="418"/>
      <c r="E9" s="418"/>
      <c r="F9" s="418"/>
      <c r="G9" s="418"/>
      <c r="H9" s="418"/>
      <c r="I9" s="418"/>
      <c r="J9" s="418"/>
      <c r="K9" s="418"/>
      <c r="L9" s="418"/>
      <c r="M9" s="418"/>
      <c r="N9" s="418"/>
      <c r="O9" s="418"/>
      <c r="P9" s="418"/>
      <c r="Q9" s="418"/>
      <c r="R9" s="418"/>
      <c r="S9" s="418"/>
      <c r="T9" s="418"/>
      <c r="U9" s="418"/>
      <c r="V9" s="418"/>
      <c r="W9" s="418"/>
      <c r="X9" s="418"/>
      <c r="Y9" s="418"/>
      <c r="Z9" s="418"/>
      <c r="AA9" s="418"/>
      <c r="AC9" s="4"/>
    </row>
    <row r="10" spans="1:60" ht="16.2" x14ac:dyDescent="0.2">
      <c r="A10" s="418" t="s">
        <v>411</v>
      </c>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AC10" s="4" t="s">
        <v>67</v>
      </c>
      <c r="BG10" s="1" t="s">
        <v>116</v>
      </c>
      <c r="BH10" s="1" t="s">
        <v>134</v>
      </c>
    </row>
    <row r="11" spans="1:60" ht="1.5" customHeight="1" x14ac:dyDescent="0.2">
      <c r="AC11" s="4" t="s">
        <v>168</v>
      </c>
      <c r="BG11" s="1" t="s">
        <v>117</v>
      </c>
      <c r="BH11" s="1" t="s">
        <v>133</v>
      </c>
    </row>
    <row r="12" spans="1:60" x14ac:dyDescent="0.2">
      <c r="A12" s="298" t="s">
        <v>413</v>
      </c>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BG12" s="1" t="s">
        <v>118</v>
      </c>
      <c r="BH12" s="1" t="s">
        <v>132</v>
      </c>
    </row>
    <row r="13" spans="1:60" x14ac:dyDescent="0.2">
      <c r="A13" s="298"/>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BG13" s="1" t="s">
        <v>119</v>
      </c>
      <c r="BH13" s="1" t="s">
        <v>132</v>
      </c>
    </row>
    <row r="14" spans="1:60" ht="7.5" customHeight="1" x14ac:dyDescent="0.2">
      <c r="BG14" s="1" t="s">
        <v>120</v>
      </c>
      <c r="BH14" s="1" t="s">
        <v>132</v>
      </c>
    </row>
    <row r="15" spans="1:60" x14ac:dyDescent="0.2">
      <c r="C15" s="105" t="s">
        <v>256</v>
      </c>
      <c r="D15" s="105"/>
      <c r="E15" s="359"/>
      <c r="F15" s="359"/>
      <c r="G15" s="1" t="s">
        <v>8</v>
      </c>
      <c r="H15" s="345"/>
      <c r="I15" s="345"/>
      <c r="J15" s="1" t="s">
        <v>22</v>
      </c>
      <c r="K15" s="345"/>
      <c r="L15" s="345"/>
      <c r="M15" s="1" t="s">
        <v>7</v>
      </c>
      <c r="AB15" s="4" t="str">
        <f>IF(OR(C15="",H15="",K15=""),"←リストから選択してください（和暦年月日）","")</f>
        <v>←リストから選択してください（和暦年月日）</v>
      </c>
      <c r="BG15" s="1" t="s">
        <v>135</v>
      </c>
      <c r="BH15" s="1" t="s">
        <v>132</v>
      </c>
    </row>
    <row r="16" spans="1:60" ht="3" customHeight="1" x14ac:dyDescent="0.2">
      <c r="BG16" s="1" t="s">
        <v>121</v>
      </c>
      <c r="BH16" s="1" t="s">
        <v>134</v>
      </c>
    </row>
    <row r="17" spans="1:60" x14ac:dyDescent="0.2">
      <c r="K17" s="5" t="s">
        <v>21</v>
      </c>
      <c r="L17" s="6" t="s">
        <v>12</v>
      </c>
      <c r="M17" s="7"/>
      <c r="N17" s="6" t="s">
        <v>10</v>
      </c>
      <c r="O17" s="355"/>
      <c r="P17" s="355"/>
      <c r="Q17" s="355"/>
      <c r="R17" s="355"/>
      <c r="S17" s="355"/>
      <c r="T17" s="355"/>
      <c r="U17" s="355"/>
      <c r="V17" s="355"/>
      <c r="W17" s="355"/>
      <c r="X17" s="355"/>
      <c r="Y17" s="355"/>
      <c r="Z17" s="356"/>
      <c r="AB17" s="4" t="str">
        <f>IF(O17="","←直接郵便番号を記入してください","")</f>
        <v>←直接郵便番号を記入してください</v>
      </c>
      <c r="BG17" s="1" t="s">
        <v>122</v>
      </c>
      <c r="BH17" s="1" t="s">
        <v>134</v>
      </c>
    </row>
    <row r="18" spans="1:60" ht="19.5" customHeight="1" x14ac:dyDescent="0.2">
      <c r="L18" s="8"/>
      <c r="M18" s="9"/>
      <c r="N18" s="352"/>
      <c r="O18" s="353"/>
      <c r="P18" s="353"/>
      <c r="Q18" s="353"/>
      <c r="R18" s="353"/>
      <c r="S18" s="353"/>
      <c r="T18" s="353"/>
      <c r="U18" s="353"/>
      <c r="V18" s="353"/>
      <c r="W18" s="353"/>
      <c r="X18" s="353"/>
      <c r="Y18" s="353"/>
      <c r="Z18" s="354"/>
      <c r="AB18" s="4" t="s">
        <v>226</v>
      </c>
      <c r="BG18" s="1" t="s">
        <v>123</v>
      </c>
      <c r="BH18" s="1" t="s">
        <v>134</v>
      </c>
    </row>
    <row r="19" spans="1:60" x14ac:dyDescent="0.2">
      <c r="L19" s="10" t="s">
        <v>6</v>
      </c>
      <c r="M19" s="11"/>
      <c r="N19" s="346"/>
      <c r="O19" s="347"/>
      <c r="P19" s="347"/>
      <c r="Q19" s="347"/>
      <c r="R19" s="347"/>
      <c r="S19" s="347"/>
      <c r="T19" s="347"/>
      <c r="U19" s="347"/>
      <c r="V19" s="347"/>
      <c r="W19" s="347"/>
      <c r="X19" s="347"/>
      <c r="Y19" s="347"/>
      <c r="Z19" s="348"/>
      <c r="AB19" s="4" t="str">
        <f>IF(N19="","←直接建築主の氏名を記入してください","")</f>
        <v>←直接建築主の氏名を記入してください</v>
      </c>
      <c r="BG19" s="1" t="s">
        <v>124</v>
      </c>
      <c r="BH19" s="1" t="s">
        <v>134</v>
      </c>
    </row>
    <row r="20" spans="1:60" x14ac:dyDescent="0.2">
      <c r="L20" s="10" t="s">
        <v>9</v>
      </c>
      <c r="M20" s="11"/>
      <c r="N20" s="349"/>
      <c r="O20" s="350"/>
      <c r="P20" s="350"/>
      <c r="Q20" s="350"/>
      <c r="R20" s="350"/>
      <c r="S20" s="350"/>
      <c r="T20" s="350"/>
      <c r="U20" s="350"/>
      <c r="V20" s="350"/>
      <c r="W20" s="350"/>
      <c r="X20" s="350"/>
      <c r="Y20" s="350"/>
      <c r="Z20" s="351"/>
      <c r="AB20" s="4" t="str">
        <f>IF(N20="","←直接電話番号を記入してください","")</f>
        <v>←直接電話番号を記入してください</v>
      </c>
      <c r="BG20" s="1" t="s">
        <v>125</v>
      </c>
      <c r="BH20" s="1" t="s">
        <v>133</v>
      </c>
    </row>
    <row r="21" spans="1:60" x14ac:dyDescent="0.2">
      <c r="A21" s="1" t="s">
        <v>42</v>
      </c>
      <c r="BG21" s="1" t="s">
        <v>126</v>
      </c>
      <c r="BH21" s="1" t="s">
        <v>133</v>
      </c>
    </row>
    <row r="22" spans="1:60" x14ac:dyDescent="0.2">
      <c r="A22" s="1" t="s">
        <v>41</v>
      </c>
      <c r="AA22" s="12"/>
      <c r="BG22" s="1" t="s">
        <v>127</v>
      </c>
      <c r="BH22" s="1" t="s">
        <v>133</v>
      </c>
    </row>
    <row r="23" spans="1:60" ht="26.25" customHeight="1" x14ac:dyDescent="0.2">
      <c r="A23" s="298" t="s">
        <v>188</v>
      </c>
      <c r="B23" s="298"/>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BG23" s="1" t="s">
        <v>128</v>
      </c>
      <c r="BH23" s="1" t="s">
        <v>133</v>
      </c>
    </row>
    <row r="24" spans="1:60" ht="3" customHeight="1" x14ac:dyDescent="0.2">
      <c r="AA24" s="12"/>
      <c r="BG24" s="1" t="s">
        <v>129</v>
      </c>
      <c r="BH24" s="1" t="s">
        <v>133</v>
      </c>
    </row>
    <row r="25" spans="1:60" x14ac:dyDescent="0.2">
      <c r="A25" s="1" t="s">
        <v>32</v>
      </c>
      <c r="BG25" s="1" t="s">
        <v>130</v>
      </c>
      <c r="BH25" s="1" t="s">
        <v>133</v>
      </c>
    </row>
    <row r="26" spans="1:60" ht="3.6" customHeight="1" x14ac:dyDescent="0.2">
      <c r="AA26" s="12"/>
      <c r="BG26" s="1" t="s">
        <v>131</v>
      </c>
      <c r="BH26" s="1" t="s">
        <v>133</v>
      </c>
    </row>
    <row r="27" spans="1:60" ht="13.5" customHeight="1" x14ac:dyDescent="0.2">
      <c r="B27" s="63"/>
      <c r="C27" s="298" t="s">
        <v>150</v>
      </c>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row>
    <row r="28" spans="1:60" x14ac:dyDescent="0.2">
      <c r="B28" s="3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row>
    <row r="29" spans="1:60" x14ac:dyDescent="0.2">
      <c r="B29" s="63"/>
      <c r="C29" s="1" t="s">
        <v>139</v>
      </c>
    </row>
    <row r="30" spans="1:60" x14ac:dyDescent="0.2">
      <c r="C30" s="13" t="s">
        <v>79</v>
      </c>
    </row>
    <row r="31" spans="1:60" x14ac:dyDescent="0.2">
      <c r="C31" s="14" t="s">
        <v>78</v>
      </c>
      <c r="D31" s="13"/>
    </row>
    <row r="32" spans="1:60" x14ac:dyDescent="0.2">
      <c r="C32" s="13" t="s">
        <v>80</v>
      </c>
    </row>
    <row r="33" spans="2:59" x14ac:dyDescent="0.2">
      <c r="C33" s="13" t="s">
        <v>77</v>
      </c>
    </row>
    <row r="34" spans="2:59" x14ac:dyDescent="0.2">
      <c r="D34" s="317" t="s">
        <v>1</v>
      </c>
      <c r="E34" s="318"/>
      <c r="F34" s="318"/>
      <c r="G34" s="318"/>
      <c r="H34" s="319"/>
      <c r="I34" s="309" t="s">
        <v>106</v>
      </c>
      <c r="J34" s="310"/>
      <c r="K34" s="310"/>
      <c r="L34" s="324"/>
      <c r="M34" s="299" t="str">
        <f>IF('要入力　登録決定状況入力シート'!C26&lt;&gt;0,'要入力　登録決定状況入力シート'!C26,"")</f>
        <v/>
      </c>
      <c r="N34" s="300"/>
      <c r="O34" s="300"/>
      <c r="P34" s="300"/>
      <c r="Q34" s="300"/>
      <c r="R34" s="300"/>
      <c r="S34" s="300"/>
      <c r="T34" s="300"/>
      <c r="U34" s="300"/>
      <c r="V34" s="300"/>
      <c r="W34" s="300"/>
      <c r="X34" s="301"/>
      <c r="AB34" s="4" t="str">
        <f>IF(M34="","←リストから選択してください（市町村名）","")</f>
        <v>←リストから選択してください（市町村名）</v>
      </c>
      <c r="BG34" s="1" t="str">
        <f>IF(M34="","",VLOOKUP(M34,BG7:BH26,2,FALSE))</f>
        <v/>
      </c>
    </row>
    <row r="35" spans="2:59" x14ac:dyDescent="0.2">
      <c r="D35" s="321"/>
      <c r="E35" s="322"/>
      <c r="F35" s="322"/>
      <c r="G35" s="322"/>
      <c r="H35" s="323"/>
      <c r="I35" s="421" t="str">
        <f>IF('要入力　登録決定状況入力シート'!C27&lt;&gt;0,'要入力　登録決定状況入力シート'!C27,"")</f>
        <v/>
      </c>
      <c r="J35" s="422"/>
      <c r="K35" s="422"/>
      <c r="L35" s="422"/>
      <c r="M35" s="422"/>
      <c r="N35" s="422"/>
      <c r="O35" s="422"/>
      <c r="P35" s="422"/>
      <c r="Q35" s="422"/>
      <c r="R35" s="422"/>
      <c r="S35" s="422"/>
      <c r="T35" s="422"/>
      <c r="U35" s="422"/>
      <c r="V35" s="422"/>
      <c r="W35" s="422"/>
      <c r="X35" s="423"/>
      <c r="AB35" s="4" t="str">
        <f>IF(I35="","←市町村名より後の所在地を直接記入してください","")</f>
        <v>←市町村名より後の所在地を直接記入してください</v>
      </c>
    </row>
    <row r="36" spans="2:59" x14ac:dyDescent="0.2">
      <c r="D36" s="309" t="s">
        <v>419</v>
      </c>
      <c r="E36" s="310"/>
      <c r="F36" s="310"/>
      <c r="G36" s="310"/>
      <c r="H36" s="324"/>
      <c r="I36" s="346" t="str">
        <f>IF('要入力　登録決定状況入力シート'!C28&lt;&gt;0,'要入力　登録決定状況入力シート'!C28,"")</f>
        <v/>
      </c>
      <c r="J36" s="347"/>
      <c r="K36" s="347"/>
      <c r="L36" s="347"/>
      <c r="M36" s="347"/>
      <c r="N36" s="347"/>
      <c r="O36" s="347"/>
      <c r="P36" s="347"/>
      <c r="Q36" s="347"/>
      <c r="R36" s="347"/>
      <c r="S36" s="347"/>
      <c r="T36" s="347"/>
      <c r="U36" s="347"/>
      <c r="V36" s="347"/>
      <c r="W36" s="347"/>
      <c r="X36" s="348"/>
      <c r="AB36" s="4" t="str">
        <f>IF(I36="","←住居表示がある場合のみ入力してください","")</f>
        <v>←住居表示がある場合のみ入力してください</v>
      </c>
    </row>
    <row r="37" spans="2:59" x14ac:dyDescent="0.2">
      <c r="D37" s="317" t="s">
        <v>24</v>
      </c>
      <c r="E37" s="318"/>
      <c r="F37" s="318"/>
      <c r="G37" s="318"/>
      <c r="H37" s="319"/>
      <c r="I37" s="299" t="str">
        <f>IF('要入力　登録決定状況入力シート'!C29&lt;&gt;0,'要入力　登録決定状況入力シート'!C29,"")</f>
        <v/>
      </c>
      <c r="J37" s="300"/>
      <c r="K37" s="300"/>
      <c r="L37" s="300"/>
      <c r="M37" s="300"/>
      <c r="N37" s="300"/>
      <c r="O37" s="309" t="s">
        <v>110</v>
      </c>
      <c r="P37" s="310"/>
      <c r="Q37" s="310"/>
      <c r="R37" s="324"/>
      <c r="S37" s="357" t="str">
        <f>IF('要入力　登録決定状況入力シート'!C30&lt;&gt;0,'要入力　登録決定状況入力シート'!C30,"")</f>
        <v/>
      </c>
      <c r="T37" s="358"/>
      <c r="U37" s="358"/>
      <c r="V37" s="358"/>
      <c r="W37" s="310" t="s">
        <v>82</v>
      </c>
      <c r="X37" s="324"/>
      <c r="AB37" s="4" t="str">
        <f>IF(I37="","←リストから選択してください（専用住宅・併用住宅）","")</f>
        <v>←リストから選択してください（専用住宅・併用住宅）</v>
      </c>
    </row>
    <row r="38" spans="2:59" x14ac:dyDescent="0.2">
      <c r="D38" s="317" t="s">
        <v>143</v>
      </c>
      <c r="E38" s="318"/>
      <c r="F38" s="318"/>
      <c r="G38" s="318"/>
      <c r="H38" s="319"/>
      <c r="I38" s="373" t="str">
        <f>IF('要入力　登録決定状況入力シート'!C31&lt;&gt;0,'要入力　登録決定状況入力シート'!C31,"")</f>
        <v/>
      </c>
      <c r="J38" s="373"/>
      <c r="K38" s="373"/>
      <c r="L38" s="365" t="s">
        <v>147</v>
      </c>
      <c r="M38" s="424" t="s">
        <v>71</v>
      </c>
      <c r="N38" s="425"/>
      <c r="O38" s="425"/>
      <c r="P38" s="425"/>
      <c r="Q38" s="426"/>
      <c r="R38" s="361" t="s">
        <v>72</v>
      </c>
      <c r="S38" s="361"/>
      <c r="T38" s="361"/>
      <c r="U38" s="361"/>
      <c r="V38" s="360" t="str">
        <f>IF('要入力　登録決定状況入力シート'!C32&lt;&gt;0,'要入力　登録決定状況入力シート'!C32,"")</f>
        <v/>
      </c>
      <c r="W38" s="360"/>
      <c r="X38" s="15" t="s">
        <v>147</v>
      </c>
      <c r="AB38" s="16" t="str">
        <f>IF(I38="","←延床面積を入力してください。",IF(AND(I37="併用住宅",V38=""),"←面積を入力してください。",""))</f>
        <v>←延床面積を入力してください。</v>
      </c>
    </row>
    <row r="39" spans="2:59" x14ac:dyDescent="0.2">
      <c r="D39" s="321"/>
      <c r="E39" s="322"/>
      <c r="F39" s="322"/>
      <c r="G39" s="322"/>
      <c r="H39" s="323"/>
      <c r="I39" s="374"/>
      <c r="J39" s="374"/>
      <c r="K39" s="374"/>
      <c r="L39" s="366"/>
      <c r="M39" s="427"/>
      <c r="N39" s="428"/>
      <c r="O39" s="428"/>
      <c r="P39" s="428"/>
      <c r="Q39" s="429"/>
      <c r="R39" s="362" t="s">
        <v>73</v>
      </c>
      <c r="S39" s="362"/>
      <c r="T39" s="362"/>
      <c r="U39" s="362"/>
      <c r="V39" s="343" t="str">
        <f>IF('要入力　登録決定状況入力シート'!C33&lt;&gt;0,'要入力　登録決定状況入力シート'!C33,"")</f>
        <v/>
      </c>
      <c r="W39" s="343"/>
      <c r="X39" s="18" t="s">
        <v>147</v>
      </c>
      <c r="AB39" s="16" t="str">
        <f>IF(AND(I37="併用住宅",V39=""),"←面積を入力してください。","")</f>
        <v/>
      </c>
    </row>
    <row r="40" spans="2:59" x14ac:dyDescent="0.2">
      <c r="D40" s="317" t="s">
        <v>30</v>
      </c>
      <c r="E40" s="318"/>
      <c r="F40" s="318"/>
      <c r="G40" s="318"/>
      <c r="H40" s="319"/>
      <c r="I40" s="367" t="str">
        <f>IF('要入力　登録決定状況入力シート'!C34&lt;&gt;0,'要入力　登録決定状況入力シート'!C34,"")</f>
        <v/>
      </c>
      <c r="J40" s="368"/>
      <c r="K40" s="368"/>
      <c r="L40" s="368"/>
      <c r="M40" s="368"/>
      <c r="N40" s="368"/>
      <c r="O40" s="19" t="s">
        <v>29</v>
      </c>
      <c r="P40" s="19"/>
      <c r="Q40" s="19"/>
      <c r="R40" s="41"/>
      <c r="S40" s="369" t="s">
        <v>111</v>
      </c>
      <c r="T40" s="369"/>
      <c r="U40" s="369"/>
      <c r="V40" s="364" t="str">
        <f>IF('要入力　登録決定状況入力シート'!C35&lt;&gt;0,'要入力　登録決定状況入力シート'!C35,"")</f>
        <v/>
      </c>
      <c r="W40" s="364"/>
      <c r="X40" s="20" t="s">
        <v>112</v>
      </c>
      <c r="AB40" s="4" t="str">
        <f>IF(I40="","←直接記入してください",IF(V40="","←階数を選択してください。",""))</f>
        <v>←直接記入してください</v>
      </c>
    </row>
    <row r="41" spans="2:59" x14ac:dyDescent="0.2">
      <c r="D41" s="8"/>
      <c r="E41" s="17"/>
      <c r="F41" s="17"/>
      <c r="G41" s="17"/>
      <c r="H41" s="9"/>
      <c r="I41" s="430" t="s">
        <v>81</v>
      </c>
      <c r="J41" s="431"/>
      <c r="K41" s="431"/>
      <c r="L41" s="64" t="str">
        <f>IF('要入力　登録決定状況入力シート'!C36&lt;&gt;0,'要入力　登録決定状況入力シート'!C36,"")</f>
        <v/>
      </c>
      <c r="M41" s="17" t="s">
        <v>25</v>
      </c>
      <c r="N41" s="17"/>
      <c r="O41" s="21" t="s">
        <v>27</v>
      </c>
      <c r="P41" s="17"/>
      <c r="Q41" s="64" t="str">
        <f>IF('要入力　登録決定状況入力シート'!C37&lt;&gt;0,'要入力　登録決定状況入力シート'!C37,"")</f>
        <v/>
      </c>
      <c r="R41" s="17" t="s">
        <v>25</v>
      </c>
      <c r="S41" s="17"/>
      <c r="T41" s="21" t="s">
        <v>28</v>
      </c>
      <c r="U41" s="17"/>
      <c r="V41" s="64" t="str">
        <f>IF('要入力　登録決定状況入力シート'!C38&lt;&gt;0,'要入力　登録決定状況入力シート'!C38,"")</f>
        <v/>
      </c>
      <c r="W41" s="17" t="s">
        <v>55</v>
      </c>
      <c r="X41" s="9"/>
      <c r="AB41" s="4" t="str">
        <f>IF(OR(L41="",Q41="",V41=""),"←直接記入してください","")</f>
        <v>←直接記入してください</v>
      </c>
    </row>
    <row r="42" spans="2:59" x14ac:dyDescent="0.2">
      <c r="D42" s="313" t="s">
        <v>26</v>
      </c>
      <c r="E42" s="313"/>
      <c r="F42" s="313"/>
      <c r="G42" s="313"/>
      <c r="H42" s="313"/>
      <c r="I42" s="385" t="str">
        <f>IF('要入力　登録決定状況入力シート'!C39&lt;&gt;0,'要入力　登録決定状況入力シート'!C39,"")</f>
        <v/>
      </c>
      <c r="J42" s="385"/>
      <c r="K42" s="385"/>
      <c r="L42" s="385"/>
      <c r="M42" s="385"/>
      <c r="N42" s="385"/>
      <c r="O42" s="385"/>
      <c r="P42" s="385"/>
      <c r="Q42" s="385"/>
      <c r="R42" s="385"/>
      <c r="S42" s="385"/>
      <c r="T42" s="385"/>
      <c r="U42" s="385"/>
      <c r="V42" s="385"/>
      <c r="W42" s="385"/>
      <c r="X42" s="385"/>
      <c r="AB42" s="4" t="str">
        <f>IF(I42="","←リストから選択してください（在来軸組工法、伝統構法、その他）","")</f>
        <v>←リストから選択してください（在来軸組工法、伝統構法、その他）</v>
      </c>
    </row>
    <row r="43" spans="2:59" x14ac:dyDescent="0.2">
      <c r="D43" s="317" t="s">
        <v>2</v>
      </c>
      <c r="E43" s="318"/>
      <c r="F43" s="318"/>
      <c r="G43" s="318"/>
      <c r="H43" s="319"/>
      <c r="I43" s="376" t="s">
        <v>144</v>
      </c>
      <c r="J43" s="377"/>
      <c r="K43" s="377"/>
      <c r="L43" s="377"/>
      <c r="M43" s="377"/>
      <c r="N43" s="375" t="str">
        <f>IF('要入力　登録決定状況入力シート'!C40&lt;&gt;0,'要入力　登録決定状況入力シート'!C40,"")</f>
        <v/>
      </c>
      <c r="O43" s="375"/>
      <c r="P43" s="375"/>
      <c r="Q43" s="375"/>
      <c r="R43" s="40" t="s">
        <v>8</v>
      </c>
      <c r="S43" s="363" t="str">
        <f>IF('要入力　登録決定状況入力シート'!C41&lt;&gt;0,'要入力　登録決定状況入力シート'!C41,"")</f>
        <v/>
      </c>
      <c r="T43" s="363"/>
      <c r="U43" s="40" t="s">
        <v>22</v>
      </c>
      <c r="V43" s="363" t="str">
        <f>IF('要入力　登録決定状況入力シート'!C42&lt;&gt;0,'要入力　登録決定状況入力シート'!C42,"")</f>
        <v/>
      </c>
      <c r="W43" s="363"/>
      <c r="X43" s="7" t="s">
        <v>7</v>
      </c>
      <c r="AB43" s="4" t="str">
        <f>IF(OR(N43="",S43="",V43=""),"←リストから選択してください（和暦年月日）","")</f>
        <v>←リストから選択してください（和暦年月日）</v>
      </c>
    </row>
    <row r="44" spans="2:59" x14ac:dyDescent="0.2">
      <c r="D44" s="321"/>
      <c r="E44" s="322"/>
      <c r="F44" s="322"/>
      <c r="G44" s="322"/>
      <c r="H44" s="323"/>
      <c r="I44" s="371" t="s">
        <v>145</v>
      </c>
      <c r="J44" s="372"/>
      <c r="K44" s="372"/>
      <c r="L44" s="372"/>
      <c r="M44" s="372"/>
      <c r="N44" s="370" t="str">
        <f>IF('要入力　登録決定状況入力シート'!C43&lt;&gt;0,'要入力　登録決定状況入力シート'!C43,"")</f>
        <v/>
      </c>
      <c r="O44" s="370"/>
      <c r="P44" s="370"/>
      <c r="Q44" s="370"/>
      <c r="R44" s="1" t="s">
        <v>8</v>
      </c>
      <c r="S44" s="345" t="str">
        <f>IF('要入力　登録決定状況入力シート'!C44&lt;&gt;0,'要入力　登録決定状況入力シート'!C44,"")</f>
        <v/>
      </c>
      <c r="T44" s="345"/>
      <c r="U44" s="1" t="s">
        <v>22</v>
      </c>
      <c r="V44" s="345" t="str">
        <f>IF('要入力　登録決定状況入力シート'!C45&lt;&gt;0,'要入力　登録決定状況入力シート'!C45,"")</f>
        <v/>
      </c>
      <c r="W44" s="345"/>
      <c r="X44" s="81" t="s">
        <v>7</v>
      </c>
      <c r="AB44" s="4" t="str">
        <f>IF(OR(N44="",S44="",V44=""),"←リストから選択してください（和暦年月日）","")</f>
        <v>←リストから選択してください（和暦年月日）</v>
      </c>
    </row>
    <row r="45" spans="2:59" x14ac:dyDescent="0.2">
      <c r="D45" s="309" t="s">
        <v>429</v>
      </c>
      <c r="E45" s="310"/>
      <c r="F45" s="310"/>
      <c r="G45" s="310"/>
      <c r="H45" s="324"/>
      <c r="I45" s="276"/>
      <c r="J45" s="276"/>
      <c r="K45" s="276" t="s">
        <v>431</v>
      </c>
      <c r="L45" s="388"/>
      <c r="M45" s="388"/>
      <c r="N45" s="388"/>
      <c r="O45" s="388"/>
      <c r="P45" s="388"/>
      <c r="Q45" s="388"/>
      <c r="R45" s="388"/>
      <c r="S45" s="388"/>
      <c r="T45" s="388"/>
      <c r="U45" s="388"/>
      <c r="V45" s="276" t="s">
        <v>432</v>
      </c>
      <c r="W45" s="276"/>
      <c r="X45" s="277"/>
      <c r="AB45" s="4" t="s">
        <v>430</v>
      </c>
    </row>
    <row r="46" spans="2:59" ht="1.5" customHeight="1" x14ac:dyDescent="0.2">
      <c r="D46" s="387" t="str">
        <f>IF(I42="その他","（工法名）","")</f>
        <v/>
      </c>
      <c r="E46" s="387"/>
      <c r="F46" s="387"/>
      <c r="G46" s="387"/>
      <c r="H46" s="387"/>
      <c r="I46" s="386"/>
      <c r="J46" s="386"/>
      <c r="K46" s="386"/>
      <c r="L46" s="386"/>
      <c r="M46" s="386"/>
      <c r="N46" s="386"/>
      <c r="O46" s="386"/>
      <c r="P46" s="386"/>
      <c r="Q46" s="386"/>
      <c r="R46" s="386"/>
      <c r="S46" s="386"/>
      <c r="T46" s="386"/>
      <c r="U46" s="386"/>
      <c r="V46" s="386"/>
      <c r="W46" s="386"/>
      <c r="X46" s="386"/>
      <c r="Y46" s="22" t="str">
        <f>IF(AND($I$42="その他",I46=""),"←工法を直接入力してください","")</f>
        <v/>
      </c>
    </row>
    <row r="47" spans="2:59" x14ac:dyDescent="0.2">
      <c r="B47" s="63"/>
      <c r="C47" s="1" t="s">
        <v>138</v>
      </c>
    </row>
    <row r="48" spans="2:59" x14ac:dyDescent="0.2">
      <c r="D48" s="309" t="s">
        <v>3</v>
      </c>
      <c r="E48" s="310"/>
      <c r="F48" s="310"/>
      <c r="G48" s="310"/>
      <c r="H48" s="324"/>
      <c r="I48" s="404" t="str">
        <f>IF('要入力　登録決定状況入力シート'!C46&lt;&gt;0,'要入力　登録決定状況入力シート'!C46,"")</f>
        <v/>
      </c>
      <c r="J48" s="355"/>
      <c r="K48" s="355"/>
      <c r="L48" s="355"/>
      <c r="M48" s="355"/>
      <c r="N48" s="355"/>
      <c r="O48" s="355"/>
      <c r="P48" s="355"/>
      <c r="Q48" s="355"/>
      <c r="R48" s="355"/>
      <c r="S48" s="355"/>
      <c r="T48" s="355"/>
      <c r="U48" s="355"/>
      <c r="V48" s="355"/>
      <c r="W48" s="355"/>
      <c r="X48" s="356"/>
      <c r="AB48" s="4" t="str">
        <f>IF(I48="","←直接記入してください","")</f>
        <v>←直接記入してください</v>
      </c>
    </row>
    <row r="49" spans="2:28" x14ac:dyDescent="0.2">
      <c r="D49" s="309" t="s">
        <v>4</v>
      </c>
      <c r="E49" s="310"/>
      <c r="F49" s="310"/>
      <c r="G49" s="310"/>
      <c r="H49" s="324"/>
      <c r="I49" s="346" t="str">
        <f>IF('要入力　登録決定状況入力シート'!C47&lt;&gt;0,'要入力　登録決定状況入力シート'!C47,"")</f>
        <v/>
      </c>
      <c r="J49" s="347"/>
      <c r="K49" s="347"/>
      <c r="L49" s="347"/>
      <c r="M49" s="347"/>
      <c r="N49" s="347"/>
      <c r="O49" s="347"/>
      <c r="P49" s="347"/>
      <c r="Q49" s="347"/>
      <c r="R49" s="347"/>
      <c r="S49" s="347"/>
      <c r="T49" s="347"/>
      <c r="U49" s="347"/>
      <c r="V49" s="347"/>
      <c r="W49" s="347"/>
      <c r="X49" s="348"/>
      <c r="AB49" s="4" t="str">
        <f>IF(I49="","←直接記入してください","")</f>
        <v>←直接記入してください</v>
      </c>
    </row>
    <row r="50" spans="2:28" x14ac:dyDescent="0.2">
      <c r="D50" s="309" t="s">
        <v>23</v>
      </c>
      <c r="E50" s="310"/>
      <c r="F50" s="310"/>
      <c r="G50" s="310"/>
      <c r="H50" s="324"/>
      <c r="I50" s="389" t="str">
        <f>IF('要入力　登録決定状況入力シート'!C48&lt;&gt;0,'要入力　登録決定状況入力シート'!C48,"")</f>
        <v/>
      </c>
      <c r="J50" s="390"/>
      <c r="K50" s="390"/>
      <c r="L50" s="390"/>
      <c r="M50" s="390"/>
      <c r="N50" s="390"/>
      <c r="O50" s="390"/>
      <c r="P50" s="390"/>
      <c r="Q50" s="390"/>
      <c r="R50" s="390"/>
      <c r="S50" s="390"/>
      <c r="T50" s="390"/>
      <c r="U50" s="390"/>
      <c r="V50" s="390"/>
      <c r="W50" s="390"/>
      <c r="X50" s="391"/>
      <c r="AB50" s="4" t="str">
        <f>IF(I50="","←直接記入してください(0857-00-000等）","")</f>
        <v>←直接記入してください(0857-00-000等）</v>
      </c>
    </row>
    <row r="51" spans="2:28" ht="4.5" customHeight="1" x14ac:dyDescent="0.2"/>
    <row r="52" spans="2:28" x14ac:dyDescent="0.2">
      <c r="B52" s="63"/>
      <c r="C52" s="1" t="s">
        <v>137</v>
      </c>
    </row>
    <row r="53" spans="2:28" x14ac:dyDescent="0.2">
      <c r="D53" s="309" t="s">
        <v>31</v>
      </c>
      <c r="E53" s="310"/>
      <c r="F53" s="310"/>
      <c r="G53" s="310"/>
      <c r="H53" s="324"/>
      <c r="I53" s="299" t="str">
        <f>IF('要入力　登録決定状況入力シート'!C49&lt;&gt;0,'要入力　登録決定状況入力シート'!C49,"")</f>
        <v/>
      </c>
      <c r="J53" s="300"/>
      <c r="K53" s="300"/>
      <c r="L53" s="300"/>
      <c r="M53" s="300"/>
      <c r="N53" s="301"/>
      <c r="Y53" s="22"/>
      <c r="AB53" s="4" t="str">
        <f>IF(I53="","←リストから選択してください（要・不要）","")</f>
        <v>←リストから選択してください（要・不要）</v>
      </c>
    </row>
    <row r="54" spans="2:28" x14ac:dyDescent="0.2">
      <c r="D54" s="302" t="s">
        <v>241</v>
      </c>
      <c r="E54" s="303"/>
      <c r="F54" s="303"/>
      <c r="G54" s="303"/>
      <c r="H54" s="303"/>
      <c r="I54" s="303"/>
      <c r="J54" s="303"/>
      <c r="K54" s="303"/>
      <c r="L54" s="303"/>
      <c r="M54" s="303"/>
      <c r="N54" s="304"/>
      <c r="O54" s="419" t="str">
        <f>IF('要入力　登録決定状況入力シート'!C50&lt;&gt;0,'要入力　登録決定状況入力シート'!C50,"")</f>
        <v/>
      </c>
      <c r="P54" s="419"/>
      <c r="Q54" s="419"/>
      <c r="R54" s="96" t="s">
        <v>8</v>
      </c>
      <c r="S54" s="420" t="str">
        <f>IF('要入力　登録決定状況入力シート'!C51&lt;&gt;0,'要入力　登録決定状況入力シート'!C51,"")</f>
        <v/>
      </c>
      <c r="T54" s="420"/>
      <c r="U54" s="96" t="s">
        <v>22</v>
      </c>
      <c r="V54" s="420" t="str">
        <f>IF('要入力　登録決定状況入力シート'!C52&lt;&gt;0,'要入力　登録決定状況入力シート'!C52,"")</f>
        <v/>
      </c>
      <c r="W54" s="420"/>
      <c r="X54" s="11" t="s">
        <v>7</v>
      </c>
      <c r="Y54" s="22"/>
      <c r="AB54" s="4" t="str">
        <f>IF(OR(O54="",S54="",V54=""),"←リストから選択してください（和暦年月日）","")</f>
        <v>←リストから選択してください（和暦年月日）</v>
      </c>
    </row>
    <row r="55" spans="2:28" x14ac:dyDescent="0.2">
      <c r="E55" s="42" t="str">
        <f>IF(I53="要","＜実績報告時の提出書類＞検査済証の写し",IF(I53="不要","＜実績報告時の提出書類＞建築工事届の写し",""))</f>
        <v/>
      </c>
    </row>
    <row r="56" spans="2:28" x14ac:dyDescent="0.2">
      <c r="B56" s="63"/>
      <c r="C56" s="1" t="s">
        <v>136</v>
      </c>
    </row>
    <row r="57" spans="2:28" ht="4.3499999999999996" customHeight="1" x14ac:dyDescent="0.2"/>
    <row r="58" spans="2:28" x14ac:dyDescent="0.2">
      <c r="B58" s="63"/>
      <c r="C58" s="1" t="s">
        <v>242</v>
      </c>
      <c r="R58" s="1" t="s">
        <v>254</v>
      </c>
      <c r="U58" s="299"/>
      <c r="V58" s="300"/>
      <c r="W58" s="300"/>
      <c r="X58" s="300"/>
      <c r="Y58" s="300"/>
      <c r="Z58" s="301"/>
      <c r="AB58" s="4" t="str">
        <f>IF(U58="","←NE-STの場合には性能区分を選択してください","")</f>
        <v>←NE-STの場合には性能区分を選択してください</v>
      </c>
    </row>
    <row r="59" spans="2:28" ht="4.3499999999999996" customHeight="1" x14ac:dyDescent="0.2"/>
    <row r="60" spans="2:28" x14ac:dyDescent="0.2">
      <c r="B60" s="63"/>
      <c r="C60" s="1" t="s">
        <v>249</v>
      </c>
      <c r="R60" s="1" t="s">
        <v>250</v>
      </c>
      <c r="U60" s="299"/>
      <c r="V60" s="300"/>
      <c r="W60" s="300"/>
      <c r="X60" s="300"/>
      <c r="Y60" s="300"/>
      <c r="Z60" s="301"/>
      <c r="AB60" s="4" t="str">
        <f>IF(U60="","←再生可能エネルギー発電設備を設置する場合には設備を選択してください","")</f>
        <v>←再生可能エネルギー発電設備を設置する場合には設備を選択してください</v>
      </c>
    </row>
    <row r="61" spans="2:28" ht="16.350000000000001" hidden="1" customHeight="1" x14ac:dyDescent="0.2">
      <c r="AB61" s="4"/>
    </row>
    <row r="62" spans="2:28" ht="4.3499999999999996" customHeight="1" x14ac:dyDescent="0.2">
      <c r="AB62" s="4"/>
    </row>
    <row r="63" spans="2:28" x14ac:dyDescent="0.2">
      <c r="B63" s="63"/>
      <c r="C63" s="1" t="s">
        <v>251</v>
      </c>
      <c r="R63" s="1" t="s">
        <v>49</v>
      </c>
      <c r="U63" s="299"/>
      <c r="V63" s="300"/>
      <c r="W63" s="300"/>
      <c r="X63" s="300"/>
      <c r="Y63" s="300"/>
      <c r="Z63" s="301"/>
      <c r="AB63" s="4" t="str">
        <f>IF(U63="","←ZEHの認証を取得（予定）の場合には区分を選択してください","")</f>
        <v>←ZEHの認証を取得（予定）の場合には区分を選択してください</v>
      </c>
    </row>
    <row r="64" spans="2:28" ht="10.5" hidden="1" customHeight="1" x14ac:dyDescent="0.2">
      <c r="AB64" s="4"/>
    </row>
    <row r="65" spans="2:28" ht="5.85" customHeight="1" x14ac:dyDescent="0.2">
      <c r="AB65" s="4"/>
    </row>
    <row r="66" spans="2:28" x14ac:dyDescent="0.2">
      <c r="B66" s="63"/>
      <c r="C66" s="1" t="s">
        <v>252</v>
      </c>
      <c r="U66" s="77"/>
      <c r="V66" s="77"/>
      <c r="W66" s="77"/>
      <c r="X66" s="77"/>
      <c r="Y66" s="77"/>
      <c r="Z66" s="77"/>
    </row>
    <row r="67" spans="2:28" ht="12" customHeight="1" x14ac:dyDescent="0.2">
      <c r="C67" s="1" t="s">
        <v>405</v>
      </c>
      <c r="D67" s="13" t="s">
        <v>253</v>
      </c>
    </row>
    <row r="68" spans="2:28" ht="5.85" customHeight="1" x14ac:dyDescent="0.2"/>
    <row r="69" spans="2:28" x14ac:dyDescent="0.2">
      <c r="B69" s="63"/>
      <c r="C69" s="1" t="s">
        <v>407</v>
      </c>
    </row>
    <row r="70" spans="2:28" ht="4.3499999999999996" customHeight="1" x14ac:dyDescent="0.2"/>
    <row r="71" spans="2:28" ht="14.25" customHeight="1" x14ac:dyDescent="0.2">
      <c r="B71" s="93" t="s">
        <v>467</v>
      </c>
      <c r="C71" s="22"/>
      <c r="D71" s="99"/>
      <c r="E71" s="99"/>
      <c r="F71" s="99"/>
      <c r="G71" s="99"/>
      <c r="H71" s="99"/>
      <c r="I71" s="25"/>
      <c r="J71" s="25"/>
      <c r="K71" s="25"/>
      <c r="L71" s="25"/>
      <c r="M71" s="25"/>
      <c r="N71" s="25"/>
      <c r="O71" s="25"/>
      <c r="P71" s="25"/>
      <c r="Q71" s="25"/>
      <c r="R71" s="25"/>
      <c r="S71" s="25"/>
      <c r="T71" s="25"/>
      <c r="U71" s="25"/>
      <c r="V71" s="25"/>
      <c r="W71" s="25"/>
      <c r="X71" s="25"/>
      <c r="Y71" s="22"/>
    </row>
    <row r="72" spans="2:28" ht="13.5" customHeight="1" x14ac:dyDescent="0.2">
      <c r="D72" s="415" t="s">
        <v>255</v>
      </c>
      <c r="E72" s="416"/>
      <c r="F72" s="416"/>
      <c r="G72" s="416"/>
      <c r="H72" s="416"/>
      <c r="I72" s="416"/>
      <c r="J72" s="416"/>
      <c r="K72" s="416"/>
      <c r="L72" s="416"/>
      <c r="M72" s="416"/>
      <c r="N72" s="416"/>
      <c r="O72" s="417"/>
      <c r="P72" s="309" t="s">
        <v>5</v>
      </c>
      <c r="Q72" s="310"/>
      <c r="R72" s="310"/>
      <c r="S72" s="310"/>
      <c r="T72" s="324"/>
      <c r="U72" s="309" t="s">
        <v>19</v>
      </c>
      <c r="V72" s="310"/>
      <c r="W72" s="310"/>
      <c r="X72" s="310"/>
      <c r="Y72" s="310"/>
      <c r="Z72" s="324"/>
    </row>
    <row r="73" spans="2:28" x14ac:dyDescent="0.2">
      <c r="D73" s="294" t="str">
        <f>IF('要入力　登録決定状況入力シート'!C53&lt;&gt;0,'要入力　登録決定状況入力シート'!C53,"")</f>
        <v/>
      </c>
      <c r="E73" s="295"/>
      <c r="F73" s="295"/>
      <c r="G73" s="295"/>
      <c r="H73" s="295"/>
      <c r="I73" s="295"/>
      <c r="J73" s="295"/>
      <c r="K73" s="295"/>
      <c r="L73" s="295"/>
      <c r="M73" s="295"/>
      <c r="N73" s="295"/>
      <c r="O73" s="296"/>
      <c r="P73" s="299" t="str">
        <f>IF('要入力　登録決定状況入力シート'!C54&lt;&gt;0,'要入力　登録決定状況入力シート'!C54,"")</f>
        <v/>
      </c>
      <c r="Q73" s="300"/>
      <c r="R73" s="300"/>
      <c r="S73" s="300"/>
      <c r="T73" s="301"/>
      <c r="U73" s="299" t="str">
        <f>IF('要入力　登録決定状況入力シート'!C55&lt;&gt;0,'要入力　登録決定状況入力シート'!C55,"")</f>
        <v/>
      </c>
      <c r="V73" s="300"/>
      <c r="W73" s="300"/>
      <c r="X73" s="300"/>
      <c r="Y73" s="300"/>
      <c r="Z73" s="301"/>
    </row>
    <row r="74" spans="2:28" x14ac:dyDescent="0.2">
      <c r="D74" s="294" t="str">
        <f>IF('要入力　登録決定状況入力シート'!C56&lt;&gt;0,'要入力　登録決定状況入力シート'!C56,"")</f>
        <v/>
      </c>
      <c r="E74" s="295"/>
      <c r="F74" s="295"/>
      <c r="G74" s="295"/>
      <c r="H74" s="295"/>
      <c r="I74" s="295"/>
      <c r="J74" s="295"/>
      <c r="K74" s="295"/>
      <c r="L74" s="295"/>
      <c r="M74" s="295"/>
      <c r="N74" s="295"/>
      <c r="O74" s="296"/>
      <c r="P74" s="299" t="str">
        <f>IF('要入力　登録決定状況入力シート'!C57&lt;&gt;0,'要入力　登録決定状況入力シート'!C57,"")</f>
        <v/>
      </c>
      <c r="Q74" s="300"/>
      <c r="R74" s="300"/>
      <c r="S74" s="300"/>
      <c r="T74" s="301"/>
      <c r="U74" s="299" t="str">
        <f>IF('要入力　登録決定状況入力シート'!C58&lt;&gt;0,'要入力　登録決定状況入力シート'!C58,"")</f>
        <v/>
      </c>
      <c r="V74" s="300"/>
      <c r="W74" s="300"/>
      <c r="X74" s="300"/>
      <c r="Y74" s="300"/>
      <c r="Z74" s="301"/>
    </row>
    <row r="75" spans="2:28" x14ac:dyDescent="0.2">
      <c r="D75" s="294" t="str">
        <f>IF('要入力　登録決定状況入力シート'!C59&lt;&gt;0,'要入力　登録決定状況入力シート'!C59,"")</f>
        <v/>
      </c>
      <c r="E75" s="295"/>
      <c r="F75" s="295"/>
      <c r="G75" s="295"/>
      <c r="H75" s="295"/>
      <c r="I75" s="295"/>
      <c r="J75" s="295"/>
      <c r="K75" s="295"/>
      <c r="L75" s="295"/>
      <c r="M75" s="295"/>
      <c r="N75" s="295"/>
      <c r="O75" s="296"/>
      <c r="P75" s="299" t="str">
        <f>IF('要入力　登録決定状況入力シート'!C60&lt;&gt;0,'要入力　登録決定状況入力シート'!C60,"")</f>
        <v/>
      </c>
      <c r="Q75" s="300"/>
      <c r="R75" s="300"/>
      <c r="S75" s="300"/>
      <c r="T75" s="301"/>
      <c r="U75" s="299" t="str">
        <f>IF('要入力　登録決定状況入力シート'!C61&lt;&gt;0,'要入力　登録決定状況入力シート'!C61,"")</f>
        <v/>
      </c>
      <c r="V75" s="300"/>
      <c r="W75" s="300"/>
      <c r="X75" s="300"/>
      <c r="Y75" s="300"/>
      <c r="Z75" s="301"/>
    </row>
    <row r="76" spans="2:28" x14ac:dyDescent="0.2">
      <c r="D76" s="294" t="str">
        <f>IF('要入力　登録決定状況入力シート'!C62&lt;&gt;0,'要入力　登録決定状況入力シート'!C62,"")</f>
        <v/>
      </c>
      <c r="E76" s="295"/>
      <c r="F76" s="295"/>
      <c r="G76" s="295"/>
      <c r="H76" s="295"/>
      <c r="I76" s="295"/>
      <c r="J76" s="295"/>
      <c r="K76" s="295"/>
      <c r="L76" s="295"/>
      <c r="M76" s="295"/>
      <c r="N76" s="295"/>
      <c r="O76" s="296"/>
      <c r="P76" s="299" t="str">
        <f>IF('要入力　登録決定状況入力シート'!C63&lt;&gt;0,'要入力　登録決定状況入力シート'!C63,"")</f>
        <v/>
      </c>
      <c r="Q76" s="300"/>
      <c r="R76" s="300"/>
      <c r="S76" s="300"/>
      <c r="T76" s="301"/>
      <c r="U76" s="299" t="str">
        <f>IF('要入力　登録決定状況入力シート'!C64&lt;&gt;0,'要入力　登録決定状況入力シート'!C64,"")</f>
        <v/>
      </c>
      <c r="V76" s="300"/>
      <c r="W76" s="300"/>
      <c r="X76" s="300"/>
      <c r="Y76" s="300"/>
      <c r="Z76" s="301"/>
    </row>
    <row r="77" spans="2:28" x14ac:dyDescent="0.2">
      <c r="D77" s="294" t="str">
        <f>IF('要入力　登録決定状況入力シート'!C65&lt;&gt;0,'要入力　登録決定状況入力シート'!C65,"")</f>
        <v/>
      </c>
      <c r="E77" s="295"/>
      <c r="F77" s="295"/>
      <c r="G77" s="295"/>
      <c r="H77" s="295"/>
      <c r="I77" s="295"/>
      <c r="J77" s="295"/>
      <c r="K77" s="295"/>
      <c r="L77" s="295"/>
      <c r="M77" s="295"/>
      <c r="N77" s="295"/>
      <c r="O77" s="296"/>
      <c r="P77" s="299" t="str">
        <f>IF('要入力　登録決定状況入力シート'!C66&lt;&gt;0,'要入力　登録決定状況入力シート'!C66,"")</f>
        <v/>
      </c>
      <c r="Q77" s="300"/>
      <c r="R77" s="300"/>
      <c r="S77" s="300"/>
      <c r="T77" s="301"/>
      <c r="U77" s="299" t="str">
        <f>IF('要入力　登録決定状況入力シート'!C67&lt;&gt;0,'要入力　登録決定状況入力シート'!C67,"")</f>
        <v/>
      </c>
      <c r="V77" s="300"/>
      <c r="W77" s="300"/>
      <c r="X77" s="300"/>
      <c r="Y77" s="300"/>
      <c r="Z77" s="301"/>
    </row>
    <row r="78" spans="2:28" ht="4.5" customHeight="1" x14ac:dyDescent="0.2">
      <c r="C78" s="93"/>
      <c r="D78" s="23"/>
    </row>
    <row r="79" spans="2:28" ht="13.5" customHeight="1" x14ac:dyDescent="0.2">
      <c r="B79" s="63"/>
      <c r="C79" s="93" t="s">
        <v>466</v>
      </c>
      <c r="D79" s="23"/>
    </row>
    <row r="80" spans="2:28" ht="4.5" customHeight="1" x14ac:dyDescent="0.2">
      <c r="D80" s="23"/>
    </row>
    <row r="81" spans="1:28" ht="13.5" customHeight="1" x14ac:dyDescent="0.2">
      <c r="B81" s="63"/>
      <c r="C81" s="93" t="s">
        <v>468</v>
      </c>
      <c r="D81" s="23"/>
    </row>
    <row r="82" spans="1:28" ht="3.6" customHeight="1" x14ac:dyDescent="0.2">
      <c r="C82" s="93"/>
      <c r="D82" s="23"/>
    </row>
    <row r="83" spans="1:28" ht="13.5" customHeight="1" x14ac:dyDescent="0.2">
      <c r="B83" s="63"/>
      <c r="C83" s="93" t="s">
        <v>469</v>
      </c>
      <c r="D83" s="23"/>
    </row>
    <row r="84" spans="1:28" ht="3.9" customHeight="1" x14ac:dyDescent="0.2">
      <c r="D84" s="23"/>
    </row>
    <row r="85" spans="1:28" x14ac:dyDescent="0.2">
      <c r="B85" s="63"/>
      <c r="C85" s="1" t="s">
        <v>239</v>
      </c>
      <c r="E85" s="13"/>
      <c r="P85" s="24"/>
    </row>
    <row r="86" spans="1:28" x14ac:dyDescent="0.2">
      <c r="D86" s="76" t="str">
        <f>IF(B85="","",IF(B85="✔","＜実績報告時の提出書類&gt;変更後の各階平面図、配置図",""))</f>
        <v/>
      </c>
      <c r="E86" s="13"/>
      <c r="P86" s="24"/>
    </row>
    <row r="87" spans="1:28" x14ac:dyDescent="0.2">
      <c r="D87" s="76"/>
      <c r="E87" s="13"/>
      <c r="P87" s="24"/>
      <c r="AA87" s="5" t="s">
        <v>69</v>
      </c>
    </row>
    <row r="88" spans="1:28" x14ac:dyDescent="0.2">
      <c r="A88" s="1" t="s">
        <v>36</v>
      </c>
    </row>
    <row r="89" spans="1:28" x14ac:dyDescent="0.2">
      <c r="B89" s="63"/>
      <c r="C89" s="1" t="s">
        <v>148</v>
      </c>
    </row>
    <row r="91" spans="1:28" x14ac:dyDescent="0.2">
      <c r="B91" s="63"/>
      <c r="C91" s="1" t="s">
        <v>107</v>
      </c>
    </row>
    <row r="92" spans="1:28" x14ac:dyDescent="0.2">
      <c r="D92" s="309" t="s">
        <v>83</v>
      </c>
      <c r="E92" s="310"/>
      <c r="F92" s="310"/>
      <c r="G92" s="310"/>
      <c r="H92" s="324"/>
      <c r="I92" s="299" t="str">
        <f>IF('要入力　登録決定状況入力シート'!C68&lt;&gt;0,'要入力　登録決定状況入力シート'!C68,"")</f>
        <v/>
      </c>
      <c r="J92" s="300"/>
      <c r="K92" s="300"/>
      <c r="L92" s="300"/>
      <c r="M92" s="300"/>
      <c r="N92" s="300"/>
      <c r="O92" s="300"/>
      <c r="P92" s="300"/>
      <c r="Q92" s="300"/>
      <c r="R92" s="300"/>
      <c r="S92" s="300"/>
      <c r="T92" s="300"/>
      <c r="U92" s="300"/>
      <c r="V92" s="300"/>
      <c r="W92" s="300"/>
      <c r="X92" s="301"/>
      <c r="AB92" s="4" t="str">
        <f>IF(AND(B91="✔",I92=""),"←直接入力してください","")</f>
        <v/>
      </c>
    </row>
    <row r="93" spans="1:28" x14ac:dyDescent="0.2">
      <c r="D93" s="42" t="s">
        <v>171</v>
      </c>
      <c r="E93" s="39"/>
      <c r="F93" s="39"/>
      <c r="G93" s="39"/>
      <c r="H93" s="39"/>
      <c r="I93" s="39"/>
      <c r="J93" s="39"/>
      <c r="K93" s="39"/>
      <c r="L93" s="39"/>
      <c r="M93" s="39"/>
      <c r="N93" s="39"/>
      <c r="O93" s="39"/>
      <c r="P93" s="39"/>
      <c r="Q93" s="39"/>
      <c r="R93" s="39"/>
      <c r="S93" s="39"/>
      <c r="T93" s="39"/>
      <c r="U93" s="39"/>
      <c r="V93" s="39"/>
      <c r="W93" s="39"/>
      <c r="X93" s="39"/>
      <c r="Y93" s="39"/>
      <c r="AB93" s="4"/>
    </row>
    <row r="94" spans="1:28" x14ac:dyDescent="0.2">
      <c r="B94" s="43" t="s">
        <v>445</v>
      </c>
      <c r="F94" s="55"/>
    </row>
    <row r="95" spans="1:28" x14ac:dyDescent="0.2">
      <c r="B95" s="63"/>
      <c r="C95" s="1" t="s">
        <v>108</v>
      </c>
    </row>
    <row r="96" spans="1:28" x14ac:dyDescent="0.2">
      <c r="B96" s="411" t="str">
        <f>IF(AND(B91="✔",B95="✔"),"「プレカットを行う場合は、県内のプレカット工場で加工すること。」と「プレカットを一切使用しない。」のどちらかを✔してください。","")</f>
        <v/>
      </c>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3" t="str">
        <f>IF(B96="","","×")</f>
        <v/>
      </c>
    </row>
    <row r="97" spans="1:39" x14ac:dyDescent="0.2">
      <c r="B97" s="411"/>
      <c r="C97" s="411"/>
      <c r="D97" s="411"/>
      <c r="E97" s="411"/>
      <c r="F97" s="411"/>
      <c r="G97" s="411"/>
      <c r="H97" s="411"/>
      <c r="I97" s="411"/>
      <c r="J97" s="411"/>
      <c r="K97" s="411"/>
      <c r="L97" s="411"/>
      <c r="M97" s="411"/>
      <c r="N97" s="411"/>
      <c r="O97" s="411"/>
      <c r="P97" s="411"/>
      <c r="Q97" s="411"/>
      <c r="R97" s="411"/>
      <c r="S97" s="411"/>
      <c r="T97" s="411"/>
      <c r="U97" s="411"/>
      <c r="V97" s="411"/>
      <c r="W97" s="411"/>
      <c r="X97" s="411"/>
      <c r="Y97" s="411"/>
      <c r="Z97" s="411"/>
      <c r="AA97" s="411"/>
    </row>
    <row r="98" spans="1:39" hidden="1" x14ac:dyDescent="0.2">
      <c r="AA98" s="5"/>
    </row>
    <row r="99" spans="1:39" x14ac:dyDescent="0.2">
      <c r="Q99" s="1" t="s">
        <v>166</v>
      </c>
      <c r="T99" s="25"/>
    </row>
    <row r="100" spans="1:39" ht="18" customHeight="1" x14ac:dyDescent="0.2">
      <c r="D100" s="309" t="s">
        <v>49</v>
      </c>
      <c r="E100" s="310"/>
      <c r="F100" s="310"/>
      <c r="G100" s="310"/>
      <c r="H100" s="310"/>
      <c r="I100" s="310"/>
      <c r="J100" s="310"/>
      <c r="K100" s="310"/>
      <c r="L100" s="310"/>
      <c r="M100" s="310"/>
      <c r="N100" s="310"/>
      <c r="O100" s="310"/>
      <c r="P100" s="324"/>
      <c r="Q100" s="309" t="s">
        <v>48</v>
      </c>
      <c r="R100" s="310"/>
      <c r="S100" s="310"/>
      <c r="T100" s="324"/>
      <c r="U100" s="410" t="str">
        <f>IF(I37="併用住宅","併用住宅の場合、住宅部分の使用量","")</f>
        <v/>
      </c>
      <c r="V100" s="410"/>
      <c r="W100" s="410"/>
      <c r="X100" s="410"/>
      <c r="Y100" s="337" t="s">
        <v>93</v>
      </c>
      <c r="Z100" s="337"/>
      <c r="AA100" s="337"/>
    </row>
    <row r="101" spans="1:39" x14ac:dyDescent="0.2">
      <c r="D101" s="435" t="s">
        <v>94</v>
      </c>
      <c r="E101" s="436"/>
      <c r="F101" s="436"/>
      <c r="G101" s="436"/>
      <c r="H101" s="436"/>
      <c r="I101" s="436"/>
      <c r="J101" s="436"/>
      <c r="K101" s="436"/>
      <c r="L101" s="436"/>
      <c r="M101" s="436"/>
      <c r="N101" s="436"/>
      <c r="O101" s="436"/>
      <c r="P101" s="437"/>
      <c r="Q101" s="412"/>
      <c r="R101" s="413"/>
      <c r="S101" s="413"/>
      <c r="T101" s="414"/>
      <c r="U101" s="410"/>
      <c r="V101" s="410"/>
      <c r="W101" s="410"/>
      <c r="X101" s="410"/>
      <c r="Y101" s="393"/>
      <c r="Z101" s="393"/>
      <c r="AA101" s="393"/>
      <c r="AE101" s="1"/>
      <c r="AF101" s="1"/>
      <c r="AG101" s="1"/>
      <c r="AH101" s="26"/>
      <c r="AI101" s="27"/>
      <c r="AJ101" s="27"/>
      <c r="AK101" s="27"/>
      <c r="AL101" s="27"/>
      <c r="AM101" s="27"/>
    </row>
    <row r="102" spans="1:39" x14ac:dyDescent="0.2">
      <c r="D102" s="28"/>
      <c r="E102" s="379" t="s">
        <v>142</v>
      </c>
      <c r="F102" s="380"/>
      <c r="G102" s="380"/>
      <c r="H102" s="380"/>
      <c r="I102" s="380"/>
      <c r="J102" s="380"/>
      <c r="K102" s="380"/>
      <c r="L102" s="380"/>
      <c r="M102" s="380"/>
      <c r="N102" s="380"/>
      <c r="O102" s="380"/>
      <c r="P102" s="381"/>
      <c r="Q102" s="412"/>
      <c r="R102" s="413"/>
      <c r="S102" s="413"/>
      <c r="T102" s="414"/>
      <c r="U102" s="432"/>
      <c r="V102" s="433"/>
      <c r="W102" s="433"/>
      <c r="X102" s="434"/>
      <c r="Y102" s="397" t="str">
        <f>IF(OR(I37="",Q101=""),"",(IF(I37="専用住宅",IF(Q102&gt;=20,30,Q102*1.5),IF(I37="併用住宅",IF(U102&gt;=20,30,U102*1.5)))))</f>
        <v/>
      </c>
      <c r="Z102" s="398"/>
      <c r="AA102" s="29" t="s">
        <v>0</v>
      </c>
      <c r="AE102" s="1"/>
      <c r="AF102" s="1"/>
      <c r="AG102" s="1"/>
      <c r="AH102" s="26"/>
      <c r="AI102" s="27"/>
      <c r="AJ102" s="27"/>
      <c r="AK102" s="27"/>
      <c r="AL102" s="27"/>
      <c r="AM102" s="27"/>
    </row>
    <row r="103" spans="1:39" x14ac:dyDescent="0.2">
      <c r="D103" s="28"/>
      <c r="E103" s="30"/>
      <c r="F103" s="435" t="s">
        <v>433</v>
      </c>
      <c r="G103" s="439"/>
      <c r="H103" s="439"/>
      <c r="I103" s="439"/>
      <c r="J103" s="439"/>
      <c r="K103" s="439"/>
      <c r="L103" s="439"/>
      <c r="M103" s="439"/>
      <c r="N103" s="439"/>
      <c r="O103" s="439"/>
      <c r="P103" s="440"/>
      <c r="Q103" s="412"/>
      <c r="R103" s="413"/>
      <c r="S103" s="413"/>
      <c r="T103" s="414"/>
      <c r="U103" s="432"/>
      <c r="V103" s="433"/>
      <c r="W103" s="433"/>
      <c r="X103" s="434"/>
      <c r="Y103" s="408" t="str">
        <f>IF(I37="","",IF(I37="専用住宅",IF(Q103&gt;=20,20,Q103),IF(I37="併用住宅",IF(U103&gt;=20,20,U103))))</f>
        <v/>
      </c>
      <c r="Z103" s="409"/>
      <c r="AA103" s="29" t="s">
        <v>0</v>
      </c>
      <c r="AE103" s="1"/>
      <c r="AF103" s="1"/>
      <c r="AG103" s="1"/>
      <c r="AH103" s="26"/>
      <c r="AI103" s="27"/>
      <c r="AJ103" s="27"/>
      <c r="AK103" s="27"/>
      <c r="AL103" s="27"/>
      <c r="AM103" s="27"/>
    </row>
    <row r="104" spans="1:39" ht="13.2" customHeight="1" x14ac:dyDescent="0.2">
      <c r="D104" s="28"/>
      <c r="E104" s="30"/>
      <c r="F104" s="283"/>
      <c r="G104" s="444" t="s">
        <v>458</v>
      </c>
      <c r="H104" s="445"/>
      <c r="I104" s="445"/>
      <c r="J104" s="445"/>
      <c r="K104" s="445"/>
      <c r="L104" s="445"/>
      <c r="M104" s="445"/>
      <c r="N104" s="445"/>
      <c r="O104" s="445"/>
      <c r="P104" s="446"/>
      <c r="Q104" s="447"/>
      <c r="R104" s="448"/>
      <c r="S104" s="448"/>
      <c r="T104" s="449"/>
      <c r="U104" s="453"/>
      <c r="V104" s="454"/>
      <c r="W104" s="454"/>
      <c r="X104" s="454"/>
      <c r="Y104" s="284"/>
      <c r="Z104" s="284"/>
      <c r="AA104" s="88"/>
      <c r="AE104" s="1"/>
      <c r="AF104" s="1"/>
      <c r="AG104" s="1"/>
      <c r="AH104" s="26"/>
      <c r="AI104" s="27"/>
      <c r="AJ104" s="27"/>
      <c r="AK104" s="27"/>
      <c r="AL104" s="27"/>
      <c r="AM104" s="27"/>
    </row>
    <row r="105" spans="1:39" x14ac:dyDescent="0.2">
      <c r="D105" s="28"/>
      <c r="E105" s="30"/>
      <c r="F105" s="283"/>
      <c r="G105" s="455" t="s">
        <v>434</v>
      </c>
      <c r="H105" s="456"/>
      <c r="I105" s="456"/>
      <c r="J105" s="456"/>
      <c r="K105" s="456"/>
      <c r="L105" s="456"/>
      <c r="M105" s="456"/>
      <c r="N105" s="456"/>
      <c r="O105" s="456"/>
      <c r="P105" s="457"/>
      <c r="Q105" s="450"/>
      <c r="R105" s="451"/>
      <c r="S105" s="451"/>
      <c r="T105" s="452"/>
      <c r="U105" s="453"/>
      <c r="V105" s="454"/>
      <c r="W105" s="454"/>
      <c r="X105" s="454"/>
      <c r="Y105" s="284"/>
      <c r="Z105" s="284"/>
      <c r="AA105" s="88"/>
      <c r="AE105" s="1"/>
      <c r="AF105" s="1"/>
      <c r="AG105" s="1"/>
      <c r="AH105" s="26" t="s">
        <v>434</v>
      </c>
      <c r="AI105" s="27">
        <f>Q104*3</f>
        <v>0</v>
      </c>
      <c r="AJ105" s="27">
        <f>U104*3</f>
        <v>0</v>
      </c>
      <c r="AK105" s="27"/>
      <c r="AL105" s="27"/>
      <c r="AM105" s="27"/>
    </row>
    <row r="106" spans="1:39" x14ac:dyDescent="0.2">
      <c r="D106" s="28"/>
      <c r="E106" s="30"/>
      <c r="F106" s="283"/>
      <c r="G106" s="444" t="s">
        <v>458</v>
      </c>
      <c r="H106" s="445"/>
      <c r="I106" s="445"/>
      <c r="J106" s="445"/>
      <c r="K106" s="445"/>
      <c r="L106" s="445"/>
      <c r="M106" s="445"/>
      <c r="N106" s="445"/>
      <c r="O106" s="445"/>
      <c r="P106" s="446"/>
      <c r="Q106" s="447"/>
      <c r="R106" s="448"/>
      <c r="S106" s="448"/>
      <c r="T106" s="449"/>
      <c r="U106" s="453"/>
      <c r="V106" s="454"/>
      <c r="W106" s="454"/>
      <c r="X106" s="454"/>
      <c r="Y106" s="284"/>
      <c r="Z106" s="284"/>
      <c r="AA106" s="88"/>
      <c r="AE106" s="1"/>
      <c r="AF106" s="1"/>
      <c r="AG106" s="1"/>
      <c r="AH106" s="26" t="s">
        <v>435</v>
      </c>
      <c r="AI106" s="27">
        <f>Q106*2</f>
        <v>0</v>
      </c>
      <c r="AJ106" s="27">
        <f>U106*2</f>
        <v>0</v>
      </c>
      <c r="AK106" s="27"/>
      <c r="AL106" s="27"/>
      <c r="AM106" s="27"/>
    </row>
    <row r="107" spans="1:39" x14ac:dyDescent="0.2">
      <c r="D107" s="28"/>
      <c r="E107" s="30"/>
      <c r="F107" s="31"/>
      <c r="G107" s="458" t="s">
        <v>435</v>
      </c>
      <c r="H107" s="459"/>
      <c r="I107" s="459"/>
      <c r="J107" s="459"/>
      <c r="K107" s="459"/>
      <c r="L107" s="459"/>
      <c r="M107" s="459"/>
      <c r="N107" s="459"/>
      <c r="O107" s="459"/>
      <c r="P107" s="460"/>
      <c r="Q107" s="450"/>
      <c r="R107" s="451"/>
      <c r="S107" s="451"/>
      <c r="T107" s="452"/>
      <c r="U107" s="453"/>
      <c r="V107" s="454"/>
      <c r="W107" s="454"/>
      <c r="X107" s="454"/>
      <c r="Y107" s="408" t="str">
        <f>IF(I37="","",IF(I37="専用住宅",IF(AI107&gt;=30,30,AI107),IF(I37="併用住宅",IF(AJ107&gt;=30,30,AJ107))))</f>
        <v/>
      </c>
      <c r="Z107" s="409"/>
      <c r="AA107" s="29" t="s">
        <v>0</v>
      </c>
      <c r="AE107" s="1"/>
      <c r="AF107" s="1"/>
      <c r="AG107" s="1"/>
      <c r="AH107" s="26"/>
      <c r="AI107" s="27">
        <f>SUM(AI105:AI106)</f>
        <v>0</v>
      </c>
      <c r="AJ107" s="27">
        <f>SUM(AJ105:AJ106)</f>
        <v>0</v>
      </c>
      <c r="AK107" s="27"/>
      <c r="AL107" s="27"/>
      <c r="AM107" s="27"/>
    </row>
    <row r="108" spans="1:39" x14ac:dyDescent="0.2">
      <c r="D108" s="28"/>
      <c r="E108" s="30"/>
      <c r="F108" s="438" t="s">
        <v>95</v>
      </c>
      <c r="G108" s="439"/>
      <c r="H108" s="439"/>
      <c r="I108" s="439"/>
      <c r="J108" s="439"/>
      <c r="K108" s="439"/>
      <c r="L108" s="439"/>
      <c r="M108" s="439"/>
      <c r="N108" s="439"/>
      <c r="O108" s="439"/>
      <c r="P108" s="440"/>
      <c r="Q108" s="412"/>
      <c r="R108" s="413"/>
      <c r="S108" s="413"/>
      <c r="T108" s="414"/>
      <c r="U108" s="432"/>
      <c r="V108" s="433"/>
      <c r="W108" s="433"/>
      <c r="X108" s="433"/>
      <c r="AE108" s="1"/>
      <c r="AF108" s="1"/>
      <c r="AG108" s="1"/>
      <c r="AH108" s="26"/>
      <c r="AI108" s="27"/>
      <c r="AJ108" s="27"/>
      <c r="AK108" s="27"/>
      <c r="AL108" s="27"/>
      <c r="AM108" s="27"/>
    </row>
    <row r="109" spans="1:39" x14ac:dyDescent="0.2">
      <c r="D109" s="8"/>
      <c r="E109" s="32"/>
      <c r="F109" s="405" t="s">
        <v>96</v>
      </c>
      <c r="G109" s="406"/>
      <c r="H109" s="406"/>
      <c r="I109" s="406"/>
      <c r="J109" s="406"/>
      <c r="K109" s="406"/>
      <c r="L109" s="406"/>
      <c r="M109" s="406"/>
      <c r="N109" s="406"/>
      <c r="O109" s="406"/>
      <c r="P109" s="407"/>
      <c r="Q109" s="399"/>
      <c r="R109" s="400"/>
      <c r="S109" s="400"/>
      <c r="T109" s="401"/>
      <c r="U109" s="403"/>
      <c r="V109" s="403"/>
      <c r="W109" s="403"/>
      <c r="X109" s="403"/>
      <c r="Y109" s="441" t="str">
        <f>IF(OR(I37="",AND(Q108="",Q109="")),"",MIN(IF(AND(I37="専用住宅",Q108&gt;=1),5,IF(AND(I37="併用住宅",U108&gt;=1),5,0))+IF(AND(I37="専用住宅",Q109&gt;=1),INT(Q109)*0.3,IF(AND(I37="併用住宅",U109&gt;=1),INT(U109)*0.3,0)),20))</f>
        <v/>
      </c>
      <c r="Z109" s="442"/>
      <c r="AA109" s="29" t="s">
        <v>0</v>
      </c>
      <c r="AE109" s="1"/>
      <c r="AF109" s="1"/>
      <c r="AG109" s="1"/>
      <c r="AH109" s="26"/>
      <c r="AI109" s="27"/>
      <c r="AJ109" s="27"/>
      <c r="AK109" s="27"/>
      <c r="AL109" s="27"/>
      <c r="AM109" s="27"/>
    </row>
    <row r="110" spans="1:39" ht="18" customHeight="1" x14ac:dyDescent="0.2">
      <c r="E110" s="13"/>
      <c r="X110" s="33" t="s">
        <v>68</v>
      </c>
      <c r="Y110" s="397" t="str">
        <f>IF(Y102="","",IF(AND(B27="✔",B29="✔",B47="✔",B52="✔",B56="✔",B89="✔",OR(B91="✔",B95="✔"),B96=""),SUM(Y102:Z109),0))</f>
        <v/>
      </c>
      <c r="Z110" s="398"/>
      <c r="AA110" s="29" t="s">
        <v>0</v>
      </c>
      <c r="AB110" s="4" t="str">
        <f>IF(AND(Y110=0),"←合計金額が算出されない場合は、前のページにチェック漏れ等がありますので御確認ください。","")</f>
        <v/>
      </c>
    </row>
    <row r="111" spans="1:39" x14ac:dyDescent="0.2">
      <c r="A111" s="14" t="s">
        <v>514</v>
      </c>
      <c r="B111" s="14"/>
      <c r="C111" s="14"/>
      <c r="D111" s="14"/>
      <c r="E111" s="14"/>
      <c r="F111" s="14"/>
      <c r="G111" s="14"/>
      <c r="H111" s="14"/>
      <c r="I111" s="14"/>
      <c r="J111" s="14"/>
      <c r="K111" s="14"/>
      <c r="L111" s="14"/>
      <c r="M111" s="14"/>
      <c r="N111" s="14"/>
    </row>
    <row r="112" spans="1:39" x14ac:dyDescent="0.2">
      <c r="A112" s="14"/>
      <c r="B112" s="44" t="s">
        <v>436</v>
      </c>
      <c r="C112" s="14"/>
      <c r="D112" s="14"/>
      <c r="E112" s="14"/>
      <c r="F112" s="14"/>
      <c r="G112" s="14"/>
      <c r="H112" s="14"/>
      <c r="I112" s="14"/>
      <c r="J112" s="14"/>
      <c r="K112" s="14"/>
      <c r="L112" s="14"/>
      <c r="M112" s="14"/>
      <c r="N112" s="14"/>
    </row>
    <row r="113" spans="1:55" x14ac:dyDescent="0.2">
      <c r="A113" s="14" t="s">
        <v>515</v>
      </c>
      <c r="B113" s="14"/>
      <c r="C113" s="14"/>
      <c r="D113" s="14"/>
      <c r="E113" s="14"/>
      <c r="F113" s="14"/>
      <c r="G113" s="14"/>
      <c r="H113" s="14"/>
      <c r="I113" s="14"/>
      <c r="J113" s="14"/>
      <c r="K113" s="14"/>
      <c r="L113" s="14"/>
      <c r="M113" s="14"/>
      <c r="N113" s="14"/>
    </row>
    <row r="114" spans="1:55" x14ac:dyDescent="0.2">
      <c r="A114" s="14"/>
      <c r="B114" s="44" t="s">
        <v>437</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c r="B115" s="44" t="s">
        <v>438</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ht="13.2" customHeight="1" x14ac:dyDescent="0.2">
      <c r="A116" s="443" t="s">
        <v>459</v>
      </c>
      <c r="B116" s="443"/>
      <c r="C116" s="443"/>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row>
    <row r="117" spans="1:55" x14ac:dyDescent="0.2">
      <c r="A117" s="443"/>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row>
    <row r="118" spans="1:55" x14ac:dyDescent="0.2">
      <c r="A118" s="14"/>
      <c r="B118" s="44" t="s">
        <v>460</v>
      </c>
      <c r="C118" s="14"/>
      <c r="D118" s="14"/>
      <c r="E118" s="14"/>
      <c r="F118" s="14"/>
      <c r="G118" s="14"/>
      <c r="H118" s="14"/>
      <c r="I118" s="14"/>
      <c r="J118" s="14"/>
      <c r="K118" s="14"/>
      <c r="L118" s="14"/>
      <c r="M118" s="14"/>
      <c r="N118" s="14"/>
    </row>
    <row r="119" spans="1:55" x14ac:dyDescent="0.2">
      <c r="A119" s="14" t="s">
        <v>149</v>
      </c>
      <c r="B119" s="14"/>
      <c r="C119" s="14"/>
      <c r="D119" s="14"/>
      <c r="E119" s="14"/>
      <c r="F119" s="14"/>
      <c r="G119" s="14"/>
      <c r="H119" s="14"/>
      <c r="I119" s="14"/>
      <c r="J119" s="14"/>
      <c r="K119" s="14"/>
      <c r="L119" s="14"/>
      <c r="M119" s="14"/>
      <c r="N119" s="14"/>
    </row>
    <row r="120" spans="1:55" x14ac:dyDescent="0.2">
      <c r="A120" s="14"/>
      <c r="B120" s="44" t="s">
        <v>113</v>
      </c>
      <c r="C120" s="14"/>
      <c r="D120" s="14"/>
      <c r="E120" s="14"/>
      <c r="F120" s="14"/>
      <c r="G120" s="14"/>
      <c r="H120" s="14"/>
      <c r="I120" s="14"/>
      <c r="J120" s="14"/>
      <c r="K120" s="14"/>
      <c r="L120" s="14"/>
      <c r="M120" s="14"/>
      <c r="N120" s="14"/>
    </row>
    <row r="121" spans="1:55" x14ac:dyDescent="0.2">
      <c r="A121" s="14" t="s">
        <v>439</v>
      </c>
      <c r="B121" s="14"/>
      <c r="C121" s="14"/>
      <c r="D121" s="14"/>
      <c r="E121" s="14"/>
      <c r="F121" s="14"/>
      <c r="G121" s="14"/>
      <c r="H121" s="14"/>
      <c r="I121" s="14"/>
      <c r="J121" s="14"/>
      <c r="K121" s="14"/>
      <c r="L121" s="14"/>
      <c r="M121" s="14"/>
      <c r="N121" s="14"/>
    </row>
    <row r="122" spans="1:55" x14ac:dyDescent="0.2">
      <c r="A122" s="14"/>
      <c r="B122" s="44" t="s">
        <v>140</v>
      </c>
      <c r="C122" s="14"/>
      <c r="D122" s="14"/>
      <c r="E122" s="14"/>
      <c r="F122" s="14"/>
      <c r="G122" s="14"/>
      <c r="H122" s="14"/>
      <c r="I122" s="14"/>
      <c r="J122" s="14"/>
      <c r="K122" s="14"/>
      <c r="L122" s="14"/>
      <c r="M122" s="14"/>
      <c r="N122" s="14"/>
    </row>
    <row r="123" spans="1:55" x14ac:dyDescent="0.2">
      <c r="A123" s="14"/>
      <c r="C123" s="14"/>
      <c r="D123" s="14"/>
      <c r="E123" s="14"/>
      <c r="F123" s="14"/>
      <c r="G123" s="14"/>
      <c r="H123" s="54" t="s">
        <v>447</v>
      </c>
      <c r="I123" s="14"/>
      <c r="J123" s="14"/>
      <c r="K123" s="14"/>
      <c r="L123" s="14"/>
      <c r="M123" s="14"/>
      <c r="N123" s="14"/>
    </row>
    <row r="124" spans="1:55" x14ac:dyDescent="0.2">
      <c r="A124" s="14"/>
      <c r="B124" s="54"/>
      <c r="C124" s="14"/>
      <c r="D124" s="14"/>
      <c r="E124" s="14"/>
      <c r="F124" s="14"/>
      <c r="G124" s="14"/>
      <c r="H124" s="24" t="s">
        <v>446</v>
      </c>
      <c r="I124" s="14"/>
      <c r="J124" s="14"/>
      <c r="K124" s="14"/>
      <c r="L124" s="14"/>
      <c r="M124" s="14"/>
      <c r="N124" s="14"/>
    </row>
    <row r="125" spans="1:55" x14ac:dyDescent="0.2">
      <c r="A125" s="14" t="s">
        <v>440</v>
      </c>
      <c r="B125" s="14"/>
      <c r="C125" s="14"/>
      <c r="D125" s="14"/>
      <c r="E125" s="14"/>
      <c r="F125" s="14"/>
      <c r="G125" s="14"/>
      <c r="H125" s="14"/>
      <c r="I125" s="14"/>
      <c r="J125" s="14"/>
      <c r="K125" s="14"/>
      <c r="L125" s="14"/>
      <c r="M125" s="14"/>
      <c r="N125" s="14"/>
    </row>
    <row r="126" spans="1:55" ht="5.25" customHeight="1" x14ac:dyDescent="0.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
      <c r="A127" s="1" t="s">
        <v>194</v>
      </c>
      <c r="Y127" s="337" t="s">
        <v>93</v>
      </c>
      <c r="Z127" s="337"/>
      <c r="AA127" s="337"/>
    </row>
    <row r="128" spans="1:55" ht="14.25" customHeight="1" x14ac:dyDescent="0.2">
      <c r="B128" s="1" t="s">
        <v>54</v>
      </c>
      <c r="Y128" s="393"/>
      <c r="Z128" s="393"/>
      <c r="AA128" s="393"/>
    </row>
    <row r="129" spans="2:30" x14ac:dyDescent="0.2">
      <c r="B129" s="286" t="s">
        <v>461</v>
      </c>
      <c r="Y129" s="338" t="str">
        <f>IF(AND(Y110&lt;&gt;"",Y110&gt;=15,OR(B131="✔",P131="✔")),IF(B81="✔",0,10),"")</f>
        <v/>
      </c>
      <c r="Z129" s="339"/>
      <c r="AA129" s="29" t="s">
        <v>0</v>
      </c>
      <c r="AB129" s="3" t="str">
        <f>Y129</f>
        <v/>
      </c>
      <c r="AD129" s="3" t="s">
        <v>74</v>
      </c>
    </row>
    <row r="130" spans="2:30" ht="7.35" customHeight="1" x14ac:dyDescent="0.2"/>
    <row r="131" spans="2:30" ht="11.25" customHeight="1" x14ac:dyDescent="0.2">
      <c r="B131" s="63"/>
      <c r="C131" s="1" t="s">
        <v>51</v>
      </c>
      <c r="P131" s="63"/>
      <c r="Q131" s="1" t="s">
        <v>53</v>
      </c>
    </row>
    <row r="132" spans="2:30" ht="13.5" customHeight="1" x14ac:dyDescent="0.2">
      <c r="C132" s="1" t="s">
        <v>52</v>
      </c>
      <c r="Q132" s="395" t="s">
        <v>165</v>
      </c>
      <c r="R132" s="395"/>
      <c r="S132" s="395"/>
      <c r="T132" s="395"/>
      <c r="U132" s="395"/>
      <c r="V132" s="395"/>
      <c r="W132" s="395"/>
      <c r="X132" s="395"/>
      <c r="Y132" s="395"/>
      <c r="Z132" s="395"/>
      <c r="AA132" s="395"/>
    </row>
    <row r="133" spans="2:30" ht="7.5" customHeight="1" x14ac:dyDescent="0.2">
      <c r="Q133" s="395"/>
      <c r="R133" s="395"/>
      <c r="S133" s="395"/>
      <c r="T133" s="395"/>
      <c r="U133" s="395"/>
      <c r="V133" s="395"/>
      <c r="W133" s="395"/>
      <c r="X133" s="395"/>
      <c r="Y133" s="395"/>
      <c r="Z133" s="395"/>
      <c r="AA133" s="395"/>
    </row>
    <row r="134" spans="2:30" x14ac:dyDescent="0.2">
      <c r="C134" s="13" t="s">
        <v>46</v>
      </c>
      <c r="Q134" s="13" t="s">
        <v>46</v>
      </c>
    </row>
    <row r="135" spans="2:30" x14ac:dyDescent="0.2">
      <c r="C135" s="396" t="s">
        <v>50</v>
      </c>
      <c r="D135" s="395"/>
      <c r="E135" s="395"/>
      <c r="F135" s="395"/>
      <c r="G135" s="395"/>
      <c r="H135" s="395"/>
      <c r="I135" s="395"/>
      <c r="J135" s="395"/>
      <c r="K135" s="395"/>
      <c r="L135" s="395"/>
      <c r="M135" s="395"/>
      <c r="N135" s="395"/>
      <c r="Q135" s="396" t="s">
        <v>47</v>
      </c>
      <c r="R135" s="396"/>
      <c r="S135" s="396"/>
      <c r="T135" s="396"/>
      <c r="U135" s="396"/>
      <c r="V135" s="396"/>
      <c r="W135" s="396"/>
      <c r="X135" s="396"/>
      <c r="Y135" s="396"/>
      <c r="Z135" s="396"/>
      <c r="AA135" s="396"/>
    </row>
    <row r="136" spans="2:30" x14ac:dyDescent="0.2">
      <c r="C136" s="395"/>
      <c r="D136" s="395"/>
      <c r="E136" s="395"/>
      <c r="F136" s="395"/>
      <c r="G136" s="395"/>
      <c r="H136" s="395"/>
      <c r="I136" s="395"/>
      <c r="J136" s="395"/>
      <c r="K136" s="395"/>
      <c r="L136" s="395"/>
      <c r="M136" s="395"/>
      <c r="N136" s="395"/>
      <c r="Q136" s="396"/>
      <c r="R136" s="396"/>
      <c r="S136" s="396"/>
      <c r="T136" s="396"/>
      <c r="U136" s="396"/>
      <c r="V136" s="396"/>
      <c r="W136" s="396"/>
      <c r="X136" s="396"/>
      <c r="Y136" s="396"/>
      <c r="Z136" s="396"/>
      <c r="AA136" s="396"/>
    </row>
    <row r="137" spans="2:30" x14ac:dyDescent="0.2">
      <c r="C137" s="44" t="s">
        <v>109</v>
      </c>
      <c r="D137" s="45"/>
      <c r="E137" s="45"/>
      <c r="F137" s="45"/>
      <c r="G137" s="45"/>
      <c r="H137" s="45"/>
      <c r="I137" s="45"/>
      <c r="J137" s="45"/>
      <c r="K137" s="45"/>
      <c r="L137" s="45"/>
      <c r="M137" s="45"/>
      <c r="N137" s="45"/>
      <c r="Q137" s="44" t="s">
        <v>109</v>
      </c>
      <c r="R137" s="45"/>
      <c r="S137" s="45"/>
      <c r="T137" s="45"/>
      <c r="U137" s="45"/>
      <c r="V137" s="45"/>
      <c r="W137" s="45"/>
      <c r="X137" s="45"/>
      <c r="Y137" s="45"/>
      <c r="Z137" s="45"/>
      <c r="AA137" s="45"/>
    </row>
    <row r="138" spans="2:30" ht="13.5" customHeight="1" x14ac:dyDescent="0.2">
      <c r="C138" s="402" t="s">
        <v>236</v>
      </c>
      <c r="D138" s="402"/>
      <c r="E138" s="402"/>
      <c r="F138" s="402"/>
      <c r="G138" s="402"/>
      <c r="H138" s="402"/>
      <c r="I138" s="402"/>
      <c r="J138" s="402"/>
      <c r="K138" s="402"/>
      <c r="L138" s="402"/>
      <c r="M138" s="402"/>
      <c r="N138" s="402"/>
      <c r="Q138" s="402" t="s">
        <v>237</v>
      </c>
      <c r="R138" s="402"/>
      <c r="S138" s="402"/>
      <c r="T138" s="402"/>
      <c r="U138" s="402"/>
      <c r="V138" s="402"/>
      <c r="W138" s="402"/>
      <c r="X138" s="402"/>
      <c r="Y138" s="402"/>
      <c r="Z138" s="402"/>
      <c r="AA138" s="402"/>
    </row>
    <row r="139" spans="2:30" ht="13.5" customHeight="1" x14ac:dyDescent="0.2">
      <c r="C139" s="402"/>
      <c r="D139" s="402"/>
      <c r="E139" s="402"/>
      <c r="F139" s="402"/>
      <c r="G139" s="402"/>
      <c r="H139" s="402"/>
      <c r="I139" s="402"/>
      <c r="J139" s="402"/>
      <c r="K139" s="402"/>
      <c r="L139" s="402"/>
      <c r="M139" s="402"/>
      <c r="N139" s="402"/>
      <c r="Q139" s="402"/>
      <c r="R139" s="402"/>
      <c r="S139" s="402"/>
      <c r="T139" s="402"/>
      <c r="U139" s="402"/>
      <c r="V139" s="402"/>
      <c r="W139" s="402"/>
      <c r="X139" s="402"/>
      <c r="Y139" s="402"/>
      <c r="Z139" s="402"/>
      <c r="AA139" s="402"/>
    </row>
    <row r="140" spans="2:30" ht="13.5" customHeight="1" x14ac:dyDescent="0.2">
      <c r="D140" s="35"/>
      <c r="E140" s="35"/>
      <c r="F140" s="35"/>
      <c r="G140" s="35"/>
      <c r="H140" s="35"/>
      <c r="I140" s="35"/>
      <c r="J140" s="35"/>
      <c r="K140" s="35"/>
      <c r="L140" s="35"/>
      <c r="M140" s="35"/>
      <c r="N140" s="35"/>
      <c r="Q140" s="51" t="s">
        <v>235</v>
      </c>
      <c r="R140" s="36"/>
      <c r="S140" s="36"/>
      <c r="T140" s="36"/>
      <c r="U140" s="36"/>
      <c r="V140" s="36"/>
      <c r="W140" s="36"/>
      <c r="X140" s="36"/>
      <c r="Y140" s="36"/>
      <c r="Z140" s="36"/>
      <c r="AA140" s="36"/>
    </row>
    <row r="141" spans="2:30" ht="3" customHeight="1" x14ac:dyDescent="0.2"/>
    <row r="142" spans="2:30" x14ac:dyDescent="0.2">
      <c r="C142" s="394" t="s">
        <v>75</v>
      </c>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c r="AA142" s="36"/>
    </row>
    <row r="143" spans="2:30" ht="9" customHeight="1" x14ac:dyDescent="0.2">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6"/>
    </row>
    <row r="144" spans="2:30" ht="2.25" customHeight="1" x14ac:dyDescent="0.2">
      <c r="Y144" s="37"/>
      <c r="Z144" s="37"/>
      <c r="AA144" s="37"/>
    </row>
    <row r="145" spans="1:30" x14ac:dyDescent="0.2">
      <c r="A145" s="1" t="s">
        <v>195</v>
      </c>
      <c r="Y145" s="392" t="s">
        <v>93</v>
      </c>
      <c r="Z145" s="392"/>
      <c r="AA145" s="392"/>
    </row>
    <row r="146" spans="1:30" ht="13.5" customHeight="1" x14ac:dyDescent="0.2">
      <c r="B146" s="93" t="s">
        <v>462</v>
      </c>
      <c r="Y146" s="393"/>
      <c r="Z146" s="393"/>
      <c r="AA146" s="393"/>
    </row>
    <row r="147" spans="1:30" ht="13.5" customHeight="1" x14ac:dyDescent="0.2">
      <c r="B147" s="22" t="s">
        <v>471</v>
      </c>
      <c r="Y147" s="338" t="str">
        <f>IF(OR(B148="✔",B151="✔",B153="✔",B148="✔"),10,"")</f>
        <v/>
      </c>
      <c r="Z147" s="339"/>
      <c r="AA147" s="29" t="s">
        <v>0</v>
      </c>
      <c r="AB147" s="3" t="str">
        <f>Y147</f>
        <v/>
      </c>
    </row>
    <row r="148" spans="1:30" x14ac:dyDescent="0.2">
      <c r="B148" s="63"/>
      <c r="C148" s="293" t="s">
        <v>473</v>
      </c>
      <c r="AB148" s="1"/>
      <c r="AD148" s="3" t="s">
        <v>74</v>
      </c>
    </row>
    <row r="149" spans="1:30" x14ac:dyDescent="0.2">
      <c r="C149" s="13" t="s">
        <v>511</v>
      </c>
    </row>
    <row r="150" spans="1:30" ht="5.25" customHeight="1" x14ac:dyDescent="0.2"/>
    <row r="151" spans="1:30" x14ac:dyDescent="0.2">
      <c r="B151" s="63"/>
      <c r="C151" s="293" t="s">
        <v>474</v>
      </c>
      <c r="Y151" s="39"/>
      <c r="Z151" s="39"/>
      <c r="AA151" s="88"/>
    </row>
    <row r="152" spans="1:30" ht="5.25" customHeight="1" x14ac:dyDescent="0.2"/>
    <row r="153" spans="1:30" x14ac:dyDescent="0.2">
      <c r="B153" s="63"/>
      <c r="C153" s="293" t="s">
        <v>475</v>
      </c>
      <c r="Y153" s="39"/>
      <c r="Z153" s="39"/>
      <c r="AA153" s="88"/>
    </row>
    <row r="154" spans="1:30" x14ac:dyDescent="0.2">
      <c r="C154" s="13" t="s">
        <v>512</v>
      </c>
    </row>
    <row r="155" spans="1:30" ht="3.75" customHeight="1" x14ac:dyDescent="0.2"/>
    <row r="156" spans="1:30" ht="15" customHeight="1" x14ac:dyDescent="0.2">
      <c r="B156" s="378" t="s">
        <v>472</v>
      </c>
      <c r="C156" s="378"/>
      <c r="D156" s="378"/>
      <c r="E156" s="378"/>
      <c r="F156" s="378"/>
      <c r="G156" s="378"/>
      <c r="H156" s="313" t="s">
        <v>152</v>
      </c>
      <c r="I156" s="313"/>
      <c r="J156" s="313"/>
      <c r="K156" s="313"/>
      <c r="L156" s="313"/>
      <c r="M156" s="313"/>
      <c r="N156" s="313"/>
      <c r="O156" s="312" t="str">
        <f>IF('要入力　登録決定状況入力シート'!C69&lt;&gt;0,'要入力　登録決定状況入力シート'!C69,"")</f>
        <v/>
      </c>
      <c r="P156" s="312"/>
      <c r="Q156" s="312"/>
      <c r="R156" s="312"/>
      <c r="S156" s="312"/>
      <c r="T156" s="312"/>
      <c r="U156" s="312"/>
      <c r="V156" s="312"/>
      <c r="W156" s="312"/>
      <c r="X156" s="312"/>
      <c r="Y156" s="312"/>
      <c r="Z156" s="312"/>
      <c r="AB156" s="4" t="str">
        <f>IF(AND(O156="",B148="✔"),"→申請者の住宅建設地の小学校区を記載してください。","")</f>
        <v/>
      </c>
    </row>
    <row r="157" spans="1:30" ht="15" customHeight="1" x14ac:dyDescent="0.2">
      <c r="A157" s="81"/>
      <c r="B157" s="379" t="s">
        <v>240</v>
      </c>
      <c r="C157" s="380"/>
      <c r="D157" s="380"/>
      <c r="E157" s="380"/>
      <c r="F157" s="380"/>
      <c r="G157" s="381"/>
      <c r="H157" s="313" t="s">
        <v>153</v>
      </c>
      <c r="I157" s="313"/>
      <c r="J157" s="313"/>
      <c r="K157" s="313"/>
      <c r="L157" s="313"/>
      <c r="M157" s="313"/>
      <c r="N157" s="313"/>
      <c r="O157" s="312" t="str">
        <f>IF('要入力　登録決定状況入力シート'!C70&lt;&gt;0,'要入力　登録決定状況入力シート'!C70,"")</f>
        <v/>
      </c>
      <c r="P157" s="312"/>
      <c r="Q157" s="312"/>
      <c r="R157" s="312"/>
      <c r="S157" s="312"/>
      <c r="T157" s="312"/>
      <c r="U157" s="312"/>
      <c r="V157" s="312"/>
      <c r="W157" s="312"/>
      <c r="X157" s="312"/>
      <c r="Y157" s="312"/>
      <c r="Z157" s="312"/>
      <c r="AB157" s="4" t="str">
        <f>IF(AND(O157="",B148="✔"),"→近居対象の親族世帯の住所を記載してください。","")</f>
        <v/>
      </c>
    </row>
    <row r="158" spans="1:30" ht="15" customHeight="1" x14ac:dyDescent="0.2">
      <c r="A158" s="81"/>
      <c r="B158" s="382"/>
      <c r="C158" s="383"/>
      <c r="D158" s="383"/>
      <c r="E158" s="383"/>
      <c r="F158" s="383"/>
      <c r="G158" s="384"/>
      <c r="H158" s="313" t="s">
        <v>154</v>
      </c>
      <c r="I158" s="313"/>
      <c r="J158" s="313"/>
      <c r="K158" s="313"/>
      <c r="L158" s="313"/>
      <c r="M158" s="313"/>
      <c r="N158" s="313"/>
      <c r="O158" s="312" t="str">
        <f>IF('要入力　登録決定状況入力シート'!C71&lt;&gt;0,'要入力　登録決定状況入力シート'!C71,"")</f>
        <v/>
      </c>
      <c r="P158" s="312"/>
      <c r="Q158" s="312"/>
      <c r="R158" s="312"/>
      <c r="S158" s="312"/>
      <c r="T158" s="312"/>
      <c r="U158" s="312"/>
      <c r="V158" s="312"/>
      <c r="W158" s="312"/>
      <c r="X158" s="312"/>
      <c r="Y158" s="312"/>
      <c r="Z158" s="312"/>
      <c r="AB158" s="4" t="str">
        <f>IF(AND(O158="",B148="✔"),"→近居対象の親族世帯の小学校区を記載してください。","")</f>
        <v/>
      </c>
    </row>
    <row r="159" spans="1:30" ht="12.75" customHeight="1" x14ac:dyDescent="0.2">
      <c r="C159" s="46" t="s">
        <v>109</v>
      </c>
    </row>
    <row r="160" spans="1:30" x14ac:dyDescent="0.2">
      <c r="C160" s="47" t="s">
        <v>84</v>
      </c>
      <c r="D160" s="34"/>
      <c r="E160" s="34"/>
      <c r="F160" s="34"/>
      <c r="G160" s="34"/>
      <c r="H160" s="34"/>
      <c r="I160" s="34"/>
      <c r="J160" s="34"/>
      <c r="K160" s="34"/>
      <c r="L160" s="34"/>
      <c r="M160" s="34"/>
      <c r="N160" s="34"/>
    </row>
    <row r="161" spans="1:30" ht="13.5" customHeight="1" x14ac:dyDescent="0.2">
      <c r="C161" s="47" t="s">
        <v>238</v>
      </c>
      <c r="D161" s="36"/>
      <c r="E161" s="36"/>
      <c r="F161" s="36"/>
      <c r="G161" s="36"/>
      <c r="H161" s="36"/>
      <c r="I161" s="36"/>
      <c r="J161" s="36"/>
      <c r="K161" s="36"/>
      <c r="L161" s="36"/>
      <c r="M161" s="36"/>
      <c r="N161" s="36"/>
    </row>
    <row r="162" spans="1:30" x14ac:dyDescent="0.2">
      <c r="AA162" s="5" t="s">
        <v>69</v>
      </c>
    </row>
    <row r="163" spans="1:30" x14ac:dyDescent="0.2">
      <c r="A163" s="93" t="s">
        <v>463</v>
      </c>
      <c r="Y163" s="337" t="s">
        <v>93</v>
      </c>
      <c r="Z163" s="337"/>
      <c r="AA163" s="337"/>
    </row>
    <row r="164" spans="1:30" ht="12.75" customHeight="1" x14ac:dyDescent="0.2">
      <c r="B164" s="335" t="s">
        <v>464</v>
      </c>
      <c r="C164" s="335"/>
      <c r="D164" s="335"/>
      <c r="E164" s="335"/>
      <c r="F164" s="335"/>
      <c r="G164" s="335"/>
      <c r="H164" s="335"/>
      <c r="I164" s="335"/>
      <c r="J164" s="335"/>
      <c r="K164" s="335"/>
      <c r="L164" s="335"/>
      <c r="M164" s="335"/>
      <c r="N164" s="335"/>
      <c r="O164" s="335"/>
      <c r="P164" s="335"/>
      <c r="Q164" s="335"/>
      <c r="R164" s="335"/>
      <c r="S164" s="335"/>
      <c r="T164" s="335"/>
      <c r="U164" s="335"/>
      <c r="V164" s="335"/>
      <c r="W164" s="335"/>
      <c r="X164" s="336"/>
      <c r="Y164" s="337"/>
      <c r="Z164" s="337"/>
      <c r="AA164" s="337"/>
    </row>
    <row r="165" spans="1:30" x14ac:dyDescent="0.2">
      <c r="B165" s="335"/>
      <c r="C165" s="335"/>
      <c r="D165" s="335"/>
      <c r="E165" s="335"/>
      <c r="F165" s="335"/>
      <c r="G165" s="335"/>
      <c r="H165" s="335"/>
      <c r="I165" s="335"/>
      <c r="J165" s="335"/>
      <c r="K165" s="335"/>
      <c r="L165" s="335"/>
      <c r="M165" s="335"/>
      <c r="N165" s="335"/>
      <c r="O165" s="335"/>
      <c r="P165" s="335"/>
      <c r="Q165" s="335"/>
      <c r="R165" s="335"/>
      <c r="S165" s="335"/>
      <c r="T165" s="335"/>
      <c r="U165" s="335"/>
      <c r="V165" s="335"/>
      <c r="W165" s="335"/>
      <c r="X165" s="336"/>
      <c r="Y165" s="338" t="str">
        <f>IF(AND(Y110&lt;&gt;"",Y110&gt;=15,B169="✔",I42&lt;&gt;"その他",SUM(F174,F179,F186,F194,F202,F212,F219)&gt;=4),20,"")</f>
        <v/>
      </c>
      <c r="Z165" s="339"/>
      <c r="AA165" s="29" t="s">
        <v>0</v>
      </c>
      <c r="AB165" s="3" t="str">
        <f>Y165</f>
        <v/>
      </c>
    </row>
    <row r="166" spans="1:30" ht="13.5" customHeight="1" x14ac:dyDescent="0.2">
      <c r="B166" s="38"/>
      <c r="C166" s="305" t="s">
        <v>465</v>
      </c>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5"/>
      <c r="AA166" s="305"/>
    </row>
    <row r="167" spans="1:30" ht="13.5" customHeight="1" x14ac:dyDescent="0.2">
      <c r="B167" s="38"/>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row>
    <row r="168" spans="1:30" ht="7.35" customHeight="1" x14ac:dyDescent="0.2"/>
    <row r="169" spans="1:30" x14ac:dyDescent="0.2">
      <c r="B169" s="63"/>
      <c r="C169" s="1" t="s">
        <v>20</v>
      </c>
      <c r="H169" s="1" t="s">
        <v>190</v>
      </c>
      <c r="AD169" s="3" t="s">
        <v>74</v>
      </c>
    </row>
    <row r="170" spans="1:30" x14ac:dyDescent="0.2">
      <c r="B170" s="22" t="str">
        <f>IF(AND(I42="その他",B169="✔"),"工法が異なります","")</f>
        <v/>
      </c>
      <c r="H170" s="1" t="s">
        <v>189</v>
      </c>
    </row>
    <row r="171" spans="1:30" ht="7.35" customHeight="1" x14ac:dyDescent="0.2"/>
    <row r="172" spans="1:30" ht="13.5" customHeight="1" x14ac:dyDescent="0.2">
      <c r="B172" s="63"/>
      <c r="C172" s="1" t="s">
        <v>58</v>
      </c>
      <c r="H172" s="298" t="s">
        <v>172</v>
      </c>
      <c r="I172" s="298"/>
      <c r="J172" s="298"/>
      <c r="K172" s="298"/>
      <c r="L172" s="298"/>
      <c r="M172" s="298"/>
      <c r="N172" s="298"/>
      <c r="O172" s="298"/>
      <c r="P172" s="298"/>
      <c r="Q172" s="298"/>
      <c r="R172" s="298"/>
      <c r="S172" s="298"/>
      <c r="T172" s="298"/>
      <c r="U172" s="298"/>
      <c r="V172" s="298"/>
      <c r="W172" s="298"/>
      <c r="X172" s="298"/>
      <c r="Y172" s="298"/>
      <c r="Z172" s="298"/>
      <c r="AA172" s="298"/>
      <c r="AC172" s="3">
        <f>IF(AND(B91="",B95="✔",B172="✔"),4,0)</f>
        <v>0</v>
      </c>
    </row>
    <row r="173" spans="1:30" x14ac:dyDescent="0.2">
      <c r="C173" s="1" t="s">
        <v>89</v>
      </c>
      <c r="H173" s="298"/>
      <c r="I173" s="298"/>
      <c r="J173" s="298"/>
      <c r="K173" s="298"/>
      <c r="L173" s="298"/>
      <c r="M173" s="298"/>
      <c r="N173" s="298"/>
      <c r="O173" s="298"/>
      <c r="P173" s="298"/>
      <c r="Q173" s="298"/>
      <c r="R173" s="298"/>
      <c r="S173" s="298"/>
      <c r="T173" s="298"/>
      <c r="U173" s="298"/>
      <c r="V173" s="298"/>
      <c r="W173" s="298"/>
      <c r="X173" s="298"/>
      <c r="Y173" s="298"/>
      <c r="Z173" s="298"/>
      <c r="AA173" s="298"/>
    </row>
    <row r="174" spans="1:30" x14ac:dyDescent="0.2">
      <c r="C174" s="302" t="s">
        <v>158</v>
      </c>
      <c r="D174" s="303"/>
      <c r="E174" s="304"/>
      <c r="F174" s="52" t="str">
        <f>IF(AC172=0,"",AC172)</f>
        <v/>
      </c>
      <c r="H174" s="298"/>
      <c r="I174" s="298"/>
      <c r="J174" s="298"/>
      <c r="K174" s="298"/>
      <c r="L174" s="298"/>
      <c r="M174" s="298"/>
      <c r="N174" s="298"/>
      <c r="O174" s="298"/>
      <c r="P174" s="298"/>
      <c r="Q174" s="298"/>
      <c r="R174" s="298"/>
      <c r="S174" s="298"/>
      <c r="T174" s="298"/>
      <c r="U174" s="298"/>
      <c r="V174" s="298"/>
      <c r="W174" s="298"/>
      <c r="X174" s="298"/>
      <c r="Y174" s="298"/>
      <c r="Z174" s="298"/>
      <c r="AA174" s="298"/>
    </row>
    <row r="175" spans="1:30" x14ac:dyDescent="0.2">
      <c r="C175" s="340" t="s">
        <v>177</v>
      </c>
      <c r="D175" s="340"/>
      <c r="E175" s="340"/>
      <c r="F175" s="340"/>
      <c r="G175" s="340"/>
      <c r="H175" s="340"/>
      <c r="I175" s="340"/>
      <c r="J175" s="340"/>
      <c r="K175" s="340"/>
      <c r="L175" s="340"/>
      <c r="M175" s="340"/>
      <c r="N175" s="340"/>
      <c r="O175" s="340"/>
      <c r="P175" s="340"/>
      <c r="Q175" s="340"/>
      <c r="R175" s="340"/>
      <c r="S175" s="340"/>
      <c r="T175" s="340"/>
      <c r="U175" s="340"/>
      <c r="V175" s="340"/>
      <c r="W175" s="340"/>
      <c r="X175" s="340"/>
      <c r="Y175" s="340"/>
      <c r="Z175" s="340"/>
      <c r="AA175" s="340"/>
    </row>
    <row r="176" spans="1:30" x14ac:dyDescent="0.2">
      <c r="H176" s="38"/>
      <c r="I176" s="38"/>
      <c r="J176" s="38"/>
      <c r="K176" s="38"/>
      <c r="L176" s="38"/>
      <c r="M176" s="38"/>
      <c r="N176" s="38"/>
      <c r="O176" s="38"/>
      <c r="P176" s="38"/>
      <c r="Q176" s="38"/>
      <c r="R176" s="38"/>
      <c r="S176" s="38"/>
      <c r="T176" s="38"/>
      <c r="U176" s="38"/>
      <c r="V176" s="38"/>
      <c r="W176" s="38"/>
      <c r="X176" s="38"/>
      <c r="Y176" s="38"/>
      <c r="Z176" s="38"/>
      <c r="AA176" s="38"/>
    </row>
    <row r="177" spans="2:29" x14ac:dyDescent="0.2">
      <c r="B177" s="63"/>
      <c r="C177" s="1" t="s">
        <v>59</v>
      </c>
      <c r="H177" s="1" t="s">
        <v>174</v>
      </c>
      <c r="AC177" s="3">
        <f>IF(AND(B177="✔",N181&gt;=40,OR(N180="ささら子下見板",N180="押縁下見板",N180="南京下見板")),2,0)</f>
        <v>0</v>
      </c>
    </row>
    <row r="178" spans="2:29" x14ac:dyDescent="0.2">
      <c r="C178" s="1" t="s">
        <v>90</v>
      </c>
      <c r="H178" s="308" t="s">
        <v>62</v>
      </c>
      <c r="I178" s="308"/>
      <c r="J178" s="308"/>
      <c r="K178" s="308"/>
      <c r="L178" s="308"/>
      <c r="M178" s="308"/>
      <c r="N178" s="308"/>
      <c r="O178" s="308"/>
      <c r="P178" s="308" t="s">
        <v>56</v>
      </c>
      <c r="Q178" s="308"/>
      <c r="R178" s="308"/>
      <c r="S178" s="308"/>
      <c r="T178" s="308"/>
      <c r="U178" s="308"/>
      <c r="V178" s="308"/>
      <c r="W178" s="308"/>
      <c r="X178" s="308"/>
      <c r="Y178" s="308"/>
      <c r="Z178" s="308"/>
      <c r="AA178" s="308"/>
    </row>
    <row r="179" spans="2:29" x14ac:dyDescent="0.2">
      <c r="C179" s="309" t="s">
        <v>158</v>
      </c>
      <c r="D179" s="310"/>
      <c r="E179" s="324"/>
      <c r="F179" s="52" t="str">
        <f>IF(AC177=0,"",AC177)</f>
        <v/>
      </c>
      <c r="H179" s="308" t="s">
        <v>63</v>
      </c>
      <c r="I179" s="308"/>
      <c r="J179" s="308"/>
      <c r="K179" s="308"/>
      <c r="L179" s="308"/>
      <c r="M179" s="308"/>
      <c r="N179" s="308"/>
      <c r="O179" s="308"/>
      <c r="P179" s="308" t="s">
        <v>57</v>
      </c>
      <c r="Q179" s="308"/>
      <c r="R179" s="308"/>
      <c r="S179" s="308"/>
      <c r="T179" s="308"/>
      <c r="U179" s="308"/>
      <c r="V179" s="308"/>
      <c r="W179" s="308"/>
      <c r="X179" s="308"/>
      <c r="Y179" s="308"/>
      <c r="Z179" s="308"/>
      <c r="AA179" s="308"/>
    </row>
    <row r="180" spans="2:29" x14ac:dyDescent="0.2">
      <c r="H180" s="1" t="s">
        <v>103</v>
      </c>
      <c r="N180" s="299"/>
      <c r="O180" s="300"/>
      <c r="P180" s="300"/>
      <c r="Q180" s="300"/>
      <c r="R180" s="300"/>
      <c r="S180" s="301"/>
      <c r="AB180" s="4" t="str">
        <f>IF(AND(B177="✔",N180=""),"←リストから選択してください（ささら子下見板、押縁下見板、南京下見板）","")</f>
        <v/>
      </c>
    </row>
    <row r="181" spans="2:29" x14ac:dyDescent="0.2">
      <c r="H181" s="13" t="s">
        <v>104</v>
      </c>
      <c r="N181" s="342"/>
      <c r="O181" s="343"/>
      <c r="P181" s="344"/>
      <c r="Q181" s="1" t="s">
        <v>88</v>
      </c>
      <c r="AB181" s="4" t="str">
        <f>IF(AND(B177="✔",N181=""),"←施工面積を入力してください。","")</f>
        <v/>
      </c>
    </row>
    <row r="182" spans="2:29" x14ac:dyDescent="0.2">
      <c r="C182" s="341" t="s">
        <v>178</v>
      </c>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c r="AA182" s="341"/>
    </row>
    <row r="184" spans="2:29" x14ac:dyDescent="0.2">
      <c r="B184" s="63"/>
      <c r="C184" s="1" t="s">
        <v>60</v>
      </c>
      <c r="H184" s="56" t="s">
        <v>185</v>
      </c>
      <c r="AC184" s="3">
        <f>IF(AND(B184="✔",N188&gt;=40),2,IF(AND(B184="✔",N188+N189&gt;=40),1,0))</f>
        <v>0</v>
      </c>
    </row>
    <row r="185" spans="2:29" x14ac:dyDescent="0.2">
      <c r="C185" s="1" t="s">
        <v>155</v>
      </c>
      <c r="H185" s="56" t="s">
        <v>186</v>
      </c>
    </row>
    <row r="186" spans="2:29" x14ac:dyDescent="0.2">
      <c r="C186" s="302" t="s">
        <v>158</v>
      </c>
      <c r="D186" s="303"/>
      <c r="E186" s="304"/>
      <c r="F186" s="52" t="str">
        <f>IF(AC184=0,"",AC184)</f>
        <v/>
      </c>
      <c r="H186" s="1" t="s">
        <v>187</v>
      </c>
    </row>
    <row r="187" spans="2:29" x14ac:dyDescent="0.2">
      <c r="H187" s="23" t="s">
        <v>179</v>
      </c>
      <c r="AB187" s="22" t="str">
        <f>IF(AND(N188&gt;0,R188=""),"←こて塗り仕上げの材料を選択してください。",IF(AND(R188="その他のこて塗り",V188=""),"←こて塗りの材料を記載してください。",""))</f>
        <v/>
      </c>
    </row>
    <row r="188" spans="2:29" x14ac:dyDescent="0.2">
      <c r="B188" s="13" t="s">
        <v>176</v>
      </c>
      <c r="N188" s="299"/>
      <c r="O188" s="300"/>
      <c r="P188" s="301"/>
      <c r="Q188" s="1" t="s">
        <v>157</v>
      </c>
      <c r="R188" s="297" t="s">
        <v>420</v>
      </c>
      <c r="S188" s="297"/>
      <c r="T188" s="297"/>
      <c r="U188" s="297"/>
      <c r="V188" s="307"/>
      <c r="W188" s="306"/>
      <c r="X188" s="306"/>
      <c r="Y188" s="306"/>
      <c r="Z188" s="306"/>
      <c r="AB188" s="4" t="str">
        <f>IF(AND(B184="✔",N188=""),"←こて塗り（珪藻土及びじゅらく以外）の面積を入力してください。","")</f>
        <v/>
      </c>
      <c r="AC188" s="22"/>
    </row>
    <row r="189" spans="2:29" x14ac:dyDescent="0.2">
      <c r="B189" s="13" t="s">
        <v>156</v>
      </c>
      <c r="N189" s="299"/>
      <c r="O189" s="300"/>
      <c r="P189" s="301"/>
      <c r="Q189" s="1" t="s">
        <v>157</v>
      </c>
      <c r="R189" s="297" t="s">
        <v>420</v>
      </c>
      <c r="S189" s="297"/>
      <c r="T189" s="297"/>
      <c r="U189" s="297"/>
      <c r="V189" s="307"/>
      <c r="W189" s="306"/>
      <c r="X189" s="306"/>
      <c r="Y189" s="306"/>
      <c r="Z189" s="306"/>
      <c r="AB189" s="4" t="str">
        <f>IF(AND(B184="✔",N189=""),"←こて塗り（珪藻土及びじゅらく）の面積を入力してください。","")</f>
        <v/>
      </c>
      <c r="AC189" s="22"/>
    </row>
    <row r="190" spans="2:29" x14ac:dyDescent="0.2">
      <c r="C190" s="43" t="s">
        <v>180</v>
      </c>
      <c r="AB190" s="22" t="str">
        <f>IF(AND(N189&gt;0,R189=""),"こて塗り仕上げの材料を選択してください。",IF(AND(R189="その他のこて塗り",V189=""),"←こて塗りの材料を記載してください。",""))</f>
        <v/>
      </c>
    </row>
    <row r="192" spans="2:29" x14ac:dyDescent="0.2">
      <c r="B192" s="63"/>
      <c r="C192" s="1" t="s">
        <v>85</v>
      </c>
      <c r="H192" s="298" t="s">
        <v>86</v>
      </c>
      <c r="I192" s="298"/>
      <c r="J192" s="298"/>
      <c r="K192" s="298"/>
      <c r="L192" s="298"/>
      <c r="M192" s="298"/>
      <c r="N192" s="298"/>
      <c r="O192" s="298"/>
      <c r="P192" s="298"/>
      <c r="Q192" s="298"/>
      <c r="R192" s="298"/>
      <c r="S192" s="298"/>
      <c r="T192" s="298"/>
      <c r="U192" s="298"/>
      <c r="V192" s="298"/>
      <c r="W192" s="298"/>
      <c r="X192" s="298"/>
      <c r="Y192" s="298"/>
      <c r="Z192" s="298"/>
      <c r="AA192" s="298"/>
      <c r="AC192" s="3">
        <f>IF(AND(B192="✔",OR(N195="和瓦",N195="平板瓦",N195="S瓦")),2,0)</f>
        <v>0</v>
      </c>
    </row>
    <row r="193" spans="2:29" x14ac:dyDescent="0.2">
      <c r="C193" s="1" t="s">
        <v>90</v>
      </c>
      <c r="H193" s="298"/>
      <c r="I193" s="298"/>
      <c r="J193" s="298"/>
      <c r="K193" s="298"/>
      <c r="L193" s="298"/>
      <c r="M193" s="298"/>
      <c r="N193" s="298"/>
      <c r="O193" s="298"/>
      <c r="P193" s="298"/>
      <c r="Q193" s="298"/>
      <c r="R193" s="298"/>
      <c r="S193" s="298"/>
      <c r="T193" s="298"/>
      <c r="U193" s="298"/>
      <c r="V193" s="298"/>
      <c r="W193" s="298"/>
      <c r="X193" s="298"/>
      <c r="Y193" s="298"/>
      <c r="Z193" s="298"/>
      <c r="AA193" s="298"/>
    </row>
    <row r="194" spans="2:29" x14ac:dyDescent="0.2">
      <c r="C194" s="302" t="s">
        <v>158</v>
      </c>
      <c r="D194" s="303"/>
      <c r="E194" s="304"/>
      <c r="F194" s="52" t="str">
        <f>IF(AC192=0,"",AC192)</f>
        <v/>
      </c>
      <c r="H194" s="22" t="s">
        <v>92</v>
      </c>
      <c r="I194" s="38"/>
      <c r="J194" s="38"/>
      <c r="K194" s="38"/>
      <c r="L194" s="38"/>
      <c r="M194" s="38"/>
      <c r="N194" s="38"/>
      <c r="O194" s="38"/>
      <c r="P194" s="38"/>
      <c r="Q194" s="38"/>
      <c r="R194" s="38"/>
      <c r="S194" s="38"/>
      <c r="T194" s="38"/>
      <c r="U194" s="38"/>
      <c r="V194" s="38"/>
      <c r="W194" s="38"/>
      <c r="X194" s="38"/>
      <c r="Y194" s="38"/>
      <c r="Z194" s="38"/>
      <c r="AA194" s="38"/>
    </row>
    <row r="195" spans="2:29" x14ac:dyDescent="0.2">
      <c r="I195" s="306" t="s">
        <v>97</v>
      </c>
      <c r="J195" s="306"/>
      <c r="K195" s="306"/>
      <c r="L195" s="306"/>
      <c r="M195" s="38"/>
      <c r="N195" s="294" t="s">
        <v>420</v>
      </c>
      <c r="O195" s="295"/>
      <c r="P195" s="296"/>
      <c r="Q195" s="38"/>
      <c r="R195" s="38"/>
      <c r="S195" s="38"/>
      <c r="T195" s="38"/>
      <c r="U195" s="38"/>
      <c r="V195" s="38"/>
      <c r="W195" s="38"/>
      <c r="X195" s="38"/>
      <c r="Y195" s="38"/>
      <c r="Z195" s="38"/>
      <c r="AA195" s="38"/>
      <c r="AB195" s="4" t="str">
        <f>IF(AND(B192="✔",N195=""),"←リストから選択してください（和瓦、平板瓦、S瓦）","")</f>
        <v/>
      </c>
    </row>
    <row r="196" spans="2:29" x14ac:dyDescent="0.2">
      <c r="C196" s="305" t="s">
        <v>181</v>
      </c>
      <c r="D196" s="305"/>
      <c r="E196" s="305"/>
      <c r="F196" s="305"/>
      <c r="G196" s="305"/>
      <c r="H196" s="305"/>
      <c r="I196" s="305"/>
      <c r="J196" s="305"/>
      <c r="K196" s="305"/>
      <c r="L196" s="305"/>
      <c r="M196" s="305"/>
      <c r="N196" s="305"/>
      <c r="O196" s="305"/>
      <c r="P196" s="305"/>
      <c r="Q196" s="305"/>
      <c r="R196" s="305"/>
      <c r="S196" s="305"/>
      <c r="T196" s="305"/>
      <c r="U196" s="305"/>
      <c r="V196" s="305"/>
      <c r="W196" s="305"/>
      <c r="X196" s="305"/>
      <c r="Y196" s="305"/>
      <c r="Z196" s="305"/>
      <c r="AA196" s="305"/>
    </row>
    <row r="197" spans="2:29" x14ac:dyDescent="0.2">
      <c r="C197" s="305"/>
      <c r="D197" s="305"/>
      <c r="E197" s="305"/>
      <c r="F197" s="305"/>
      <c r="G197" s="305"/>
      <c r="H197" s="305"/>
      <c r="I197" s="305"/>
      <c r="J197" s="305"/>
      <c r="K197" s="305"/>
      <c r="L197" s="305"/>
      <c r="M197" s="305"/>
      <c r="N197" s="305"/>
      <c r="O197" s="305"/>
      <c r="P197" s="305"/>
      <c r="Q197" s="305"/>
      <c r="R197" s="305"/>
      <c r="S197" s="305"/>
      <c r="T197" s="305"/>
      <c r="U197" s="305"/>
      <c r="V197" s="305"/>
      <c r="W197" s="305"/>
      <c r="X197" s="305"/>
      <c r="Y197" s="305"/>
      <c r="Z197" s="305"/>
      <c r="AA197" s="305"/>
    </row>
    <row r="198" spans="2:29" x14ac:dyDescent="0.2">
      <c r="C198" s="305"/>
      <c r="D198" s="305"/>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c r="AA198" s="305"/>
    </row>
    <row r="200" spans="2:29" x14ac:dyDescent="0.2">
      <c r="B200" s="63"/>
      <c r="C200" s="1" t="s">
        <v>61</v>
      </c>
      <c r="H200" s="298" t="s">
        <v>175</v>
      </c>
      <c r="I200" s="298"/>
      <c r="J200" s="298"/>
      <c r="K200" s="298"/>
      <c r="L200" s="298"/>
      <c r="M200" s="298"/>
      <c r="N200" s="298"/>
      <c r="O200" s="298"/>
      <c r="P200" s="298"/>
      <c r="Q200" s="298"/>
      <c r="R200" s="298"/>
      <c r="S200" s="298"/>
      <c r="T200" s="298"/>
      <c r="U200" s="298"/>
      <c r="V200" s="298"/>
      <c r="W200" s="298"/>
      <c r="X200" s="298"/>
      <c r="Y200" s="298"/>
      <c r="Z200" s="298"/>
      <c r="AA200" s="298"/>
      <c r="AC200" s="3">
        <f>IF(AND(B200="✔",N205&gt;=10),2,IF(AND(B200="✔",N205&gt;=5),1,0))</f>
        <v>0</v>
      </c>
    </row>
    <row r="201" spans="2:29" x14ac:dyDescent="0.2">
      <c r="C201" s="1" t="s">
        <v>91</v>
      </c>
      <c r="H201" s="298"/>
      <c r="I201" s="298"/>
      <c r="J201" s="298"/>
      <c r="K201" s="298"/>
      <c r="L201" s="298"/>
      <c r="M201" s="298"/>
      <c r="N201" s="298"/>
      <c r="O201" s="298"/>
      <c r="P201" s="298"/>
      <c r="Q201" s="298"/>
      <c r="R201" s="298"/>
      <c r="S201" s="298"/>
      <c r="T201" s="298"/>
      <c r="U201" s="298"/>
      <c r="V201" s="298"/>
      <c r="W201" s="298"/>
      <c r="X201" s="298"/>
      <c r="Y201" s="298"/>
      <c r="Z201" s="298"/>
      <c r="AA201" s="298"/>
    </row>
    <row r="202" spans="2:29" x14ac:dyDescent="0.2">
      <c r="C202" s="302" t="s">
        <v>158</v>
      </c>
      <c r="D202" s="303"/>
      <c r="E202" s="304"/>
      <c r="F202" s="52" t="str">
        <f>IF(AC200=0,"",AC200)</f>
        <v/>
      </c>
      <c r="H202" s="298"/>
      <c r="I202" s="298"/>
      <c r="J202" s="298"/>
      <c r="K202" s="298"/>
      <c r="L202" s="298"/>
      <c r="M202" s="298"/>
      <c r="N202" s="298"/>
      <c r="O202" s="298"/>
      <c r="P202" s="298"/>
      <c r="Q202" s="298"/>
      <c r="R202" s="298"/>
      <c r="S202" s="298"/>
      <c r="T202" s="298"/>
      <c r="U202" s="298"/>
      <c r="V202" s="298"/>
      <c r="W202" s="298"/>
      <c r="X202" s="298"/>
      <c r="Y202" s="298"/>
      <c r="Z202" s="298"/>
      <c r="AA202" s="298"/>
    </row>
    <row r="203" spans="2:29" ht="13.5" customHeight="1" x14ac:dyDescent="0.2">
      <c r="H203" s="308"/>
      <c r="I203" s="308"/>
      <c r="J203" s="308"/>
      <c r="K203" s="308"/>
      <c r="L203" s="308"/>
      <c r="M203" s="308"/>
      <c r="N203" s="308"/>
      <c r="O203" s="308"/>
      <c r="P203" s="298"/>
      <c r="Q203" s="298"/>
      <c r="R203" s="298"/>
      <c r="S203" s="298"/>
      <c r="T203" s="298"/>
      <c r="U203" s="298"/>
      <c r="V203" s="298"/>
      <c r="W203" s="298"/>
      <c r="X203" s="298"/>
      <c r="Y203" s="298"/>
      <c r="Z203" s="298"/>
      <c r="AA203" s="298"/>
    </row>
    <row r="204" spans="2:29" x14ac:dyDescent="0.2">
      <c r="H204" s="308"/>
      <c r="I204" s="308"/>
      <c r="J204" s="308"/>
      <c r="K204" s="308"/>
      <c r="L204" s="308"/>
      <c r="M204" s="308"/>
      <c r="N204" s="308"/>
      <c r="O204" s="308"/>
      <c r="P204" s="308"/>
      <c r="Q204" s="308"/>
      <c r="R204" s="308"/>
      <c r="S204" s="308"/>
      <c r="T204" s="308"/>
      <c r="U204" s="308"/>
      <c r="V204" s="308"/>
      <c r="W204" s="308"/>
      <c r="X204" s="308"/>
      <c r="Y204" s="308"/>
      <c r="Z204" s="308"/>
      <c r="AA204" s="308"/>
    </row>
    <row r="205" spans="2:29" x14ac:dyDescent="0.2">
      <c r="G205" s="1" t="s">
        <v>98</v>
      </c>
      <c r="N205" s="299"/>
      <c r="O205" s="300"/>
      <c r="P205" s="301"/>
      <c r="Q205" s="1" t="s">
        <v>87</v>
      </c>
      <c r="AB205" s="4" t="str">
        <f>IF(AND(B200="✔",N205=""),"←見付面積を入力してください。","")</f>
        <v/>
      </c>
    </row>
    <row r="206" spans="2:29" x14ac:dyDescent="0.2">
      <c r="C206" s="305" t="s">
        <v>182</v>
      </c>
      <c r="D206" s="305"/>
      <c r="E206" s="305"/>
      <c r="F206" s="305"/>
      <c r="G206" s="305"/>
      <c r="H206" s="305"/>
      <c r="I206" s="305"/>
      <c r="J206" s="305"/>
      <c r="K206" s="305"/>
      <c r="L206" s="305"/>
      <c r="M206" s="305"/>
      <c r="N206" s="305"/>
      <c r="O206" s="305"/>
      <c r="P206" s="305"/>
      <c r="Q206" s="305"/>
      <c r="R206" s="305"/>
      <c r="S206" s="305"/>
      <c r="T206" s="305"/>
      <c r="U206" s="305"/>
      <c r="V206" s="305"/>
      <c r="W206" s="305"/>
      <c r="X206" s="305"/>
      <c r="Y206" s="305"/>
      <c r="Z206" s="305"/>
      <c r="AA206" s="305"/>
    </row>
    <row r="207" spans="2:29" x14ac:dyDescent="0.2">
      <c r="C207" s="305"/>
      <c r="D207" s="305"/>
      <c r="E207" s="305"/>
      <c r="F207" s="305"/>
      <c r="G207" s="305"/>
      <c r="H207" s="305"/>
      <c r="I207" s="305"/>
      <c r="J207" s="305"/>
      <c r="K207" s="305"/>
      <c r="L207" s="305"/>
      <c r="M207" s="305"/>
      <c r="N207" s="305"/>
      <c r="O207" s="305"/>
      <c r="P207" s="305"/>
      <c r="Q207" s="305"/>
      <c r="R207" s="305"/>
      <c r="S207" s="305"/>
      <c r="T207" s="305"/>
      <c r="U207" s="305"/>
      <c r="V207" s="305"/>
      <c r="W207" s="305"/>
      <c r="X207" s="305"/>
      <c r="Y207" s="305"/>
      <c r="Z207" s="305"/>
      <c r="AA207" s="305"/>
    </row>
    <row r="208" spans="2:29" x14ac:dyDescent="0.2">
      <c r="C208" s="305"/>
      <c r="D208" s="305"/>
      <c r="E208" s="305"/>
      <c r="F208" s="305"/>
      <c r="G208" s="305"/>
      <c r="H208" s="305"/>
      <c r="I208" s="305"/>
      <c r="J208" s="305"/>
      <c r="K208" s="305"/>
      <c r="L208" s="305"/>
      <c r="M208" s="305"/>
      <c r="N208" s="305"/>
      <c r="O208" s="305"/>
      <c r="P208" s="305"/>
      <c r="Q208" s="305"/>
      <c r="R208" s="305"/>
      <c r="S208" s="305"/>
      <c r="T208" s="305"/>
      <c r="U208" s="305"/>
      <c r="V208" s="305"/>
      <c r="W208" s="305"/>
      <c r="X208" s="305"/>
      <c r="Y208" s="305"/>
      <c r="Z208" s="305"/>
      <c r="AA208" s="305"/>
    </row>
    <row r="209" spans="2:29" x14ac:dyDescent="0.2">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2:29" x14ac:dyDescent="0.2">
      <c r="B210" s="63"/>
      <c r="C210" s="1" t="s">
        <v>99</v>
      </c>
      <c r="H210" s="298" t="s">
        <v>173</v>
      </c>
      <c r="I210" s="298"/>
      <c r="J210" s="298"/>
      <c r="K210" s="298"/>
      <c r="L210" s="298"/>
      <c r="M210" s="298"/>
      <c r="N210" s="298"/>
      <c r="O210" s="298"/>
      <c r="P210" s="298"/>
      <c r="Q210" s="298"/>
      <c r="R210" s="298"/>
      <c r="S210" s="298"/>
      <c r="T210" s="298"/>
      <c r="U210" s="298"/>
      <c r="V210" s="298"/>
      <c r="W210" s="298"/>
      <c r="X210" s="298"/>
      <c r="Y210" s="298"/>
      <c r="Z210" s="298"/>
      <c r="AA210" s="298"/>
      <c r="AC210" s="3">
        <f>IF(AND(B210="✔",N212&gt;=6),1,0)</f>
        <v>0</v>
      </c>
    </row>
    <row r="211" spans="2:29" x14ac:dyDescent="0.2">
      <c r="C211" s="1" t="s">
        <v>100</v>
      </c>
      <c r="H211" s="298"/>
      <c r="I211" s="298"/>
      <c r="J211" s="298"/>
      <c r="K211" s="298"/>
      <c r="L211" s="298"/>
      <c r="M211" s="298"/>
      <c r="N211" s="298"/>
      <c r="O211" s="298"/>
      <c r="P211" s="298"/>
      <c r="Q211" s="298"/>
      <c r="R211" s="298"/>
      <c r="S211" s="298"/>
      <c r="T211" s="298"/>
      <c r="U211" s="298"/>
      <c r="V211" s="298"/>
      <c r="W211" s="298"/>
      <c r="X211" s="298"/>
      <c r="Y211" s="298"/>
      <c r="Z211" s="298"/>
      <c r="AA211" s="298"/>
    </row>
    <row r="212" spans="2:29" x14ac:dyDescent="0.2">
      <c r="C212" s="302" t="s">
        <v>158</v>
      </c>
      <c r="D212" s="303"/>
      <c r="E212" s="304"/>
      <c r="F212" s="52" t="str">
        <f>IF(AC210=0,"",AC210)</f>
        <v/>
      </c>
      <c r="I212" s="1" t="s">
        <v>101</v>
      </c>
      <c r="N212" s="299"/>
      <c r="O212" s="300"/>
      <c r="P212" s="301"/>
      <c r="Q212" s="1" t="s">
        <v>102</v>
      </c>
      <c r="AB212" s="4" t="str">
        <f>IF(AND(B210="✔",N212=""),"←畳の数量を入力してください。","")</f>
        <v/>
      </c>
    </row>
    <row r="213" spans="2:29" x14ac:dyDescent="0.2">
      <c r="C213" s="305" t="s">
        <v>183</v>
      </c>
      <c r="D213" s="305"/>
      <c r="E213" s="305"/>
      <c r="F213" s="305"/>
      <c r="G213" s="305"/>
      <c r="H213" s="305"/>
      <c r="I213" s="305"/>
      <c r="J213" s="305"/>
      <c r="K213" s="305"/>
      <c r="L213" s="305"/>
      <c r="M213" s="305"/>
      <c r="N213" s="305"/>
      <c r="O213" s="305"/>
      <c r="P213" s="305"/>
      <c r="Q213" s="305"/>
      <c r="R213" s="305"/>
      <c r="S213" s="305"/>
      <c r="T213" s="305"/>
      <c r="U213" s="305"/>
      <c r="V213" s="305"/>
      <c r="W213" s="305"/>
      <c r="X213" s="305"/>
      <c r="Y213" s="305"/>
      <c r="Z213" s="305"/>
      <c r="AA213" s="305"/>
    </row>
    <row r="214" spans="2:29" x14ac:dyDescent="0.2">
      <c r="C214" s="305"/>
      <c r="D214" s="305"/>
      <c r="E214" s="305"/>
      <c r="F214" s="305"/>
      <c r="G214" s="305"/>
      <c r="H214" s="305"/>
      <c r="I214" s="305"/>
      <c r="J214" s="305"/>
      <c r="K214" s="305"/>
      <c r="L214" s="305"/>
      <c r="M214" s="305"/>
      <c r="N214" s="305"/>
      <c r="O214" s="305"/>
      <c r="P214" s="305"/>
      <c r="Q214" s="305"/>
      <c r="R214" s="305"/>
      <c r="S214" s="305"/>
      <c r="T214" s="305"/>
      <c r="U214" s="305"/>
      <c r="V214" s="305"/>
      <c r="W214" s="305"/>
      <c r="X214" s="305"/>
      <c r="Y214" s="305"/>
      <c r="Z214" s="305"/>
      <c r="AA214" s="305"/>
    </row>
    <row r="215" spans="2:29" x14ac:dyDescent="0.2">
      <c r="C215" s="305"/>
      <c r="D215" s="305"/>
      <c r="E215" s="305"/>
      <c r="F215" s="305"/>
      <c r="G215" s="305"/>
      <c r="H215" s="305"/>
      <c r="I215" s="305"/>
      <c r="J215" s="305"/>
      <c r="K215" s="305"/>
      <c r="L215" s="305"/>
      <c r="M215" s="305"/>
      <c r="N215" s="305"/>
      <c r="O215" s="305"/>
      <c r="P215" s="305"/>
      <c r="Q215" s="305"/>
      <c r="R215" s="305"/>
      <c r="S215" s="305"/>
      <c r="T215" s="305"/>
      <c r="U215" s="305"/>
      <c r="V215" s="305"/>
      <c r="W215" s="305"/>
      <c r="X215" s="305"/>
      <c r="Y215" s="305"/>
      <c r="Z215" s="305"/>
      <c r="AA215" s="305"/>
    </row>
    <row r="216" spans="2:29" ht="6" customHeight="1" x14ac:dyDescent="0.2"/>
    <row r="217" spans="2:29" ht="13.5" customHeight="1" x14ac:dyDescent="0.2">
      <c r="B217" s="63"/>
      <c r="C217" s="314" t="s">
        <v>170</v>
      </c>
      <c r="D217" s="315"/>
      <c r="E217" s="315"/>
      <c r="F217" s="315"/>
      <c r="G217" s="315"/>
      <c r="H217" s="327" t="s">
        <v>449</v>
      </c>
      <c r="I217" s="327"/>
      <c r="J217" s="327"/>
      <c r="K217" s="327"/>
      <c r="L217" s="327"/>
      <c r="M217" s="327"/>
      <c r="N217" s="327"/>
      <c r="O217" s="327"/>
      <c r="P217" s="327"/>
      <c r="Q217" s="327"/>
      <c r="R217" s="327"/>
      <c r="S217" s="327"/>
      <c r="T217" s="327"/>
      <c r="U217" s="327"/>
      <c r="V217" s="327"/>
      <c r="W217" s="327"/>
      <c r="X217" s="327"/>
      <c r="Y217" s="327"/>
      <c r="Z217" s="327"/>
      <c r="AA217" s="327"/>
      <c r="AC217" s="3">
        <f>IF(AND(B217="✔",N223&gt;=20),2,IF(AND(B217="✔",N223&gt;=10),1,0))</f>
        <v>0</v>
      </c>
    </row>
    <row r="218" spans="2:29" ht="13.5" customHeight="1" x14ac:dyDescent="0.2">
      <c r="C218" s="1" t="s">
        <v>91</v>
      </c>
      <c r="H218" s="327"/>
      <c r="I218" s="327"/>
      <c r="J218" s="327"/>
      <c r="K218" s="327"/>
      <c r="L218" s="327"/>
      <c r="M218" s="327"/>
      <c r="N218" s="327"/>
      <c r="O218" s="327"/>
      <c r="P218" s="327"/>
      <c r="Q218" s="327"/>
      <c r="R218" s="327"/>
      <c r="S218" s="327"/>
      <c r="T218" s="327"/>
      <c r="U218" s="327"/>
      <c r="V218" s="327"/>
      <c r="W218" s="327"/>
      <c r="X218" s="327"/>
      <c r="Y218" s="327"/>
      <c r="Z218" s="327"/>
      <c r="AA218" s="327"/>
    </row>
    <row r="219" spans="2:29" x14ac:dyDescent="0.2">
      <c r="C219" s="302" t="s">
        <v>158</v>
      </c>
      <c r="D219" s="303"/>
      <c r="E219" s="304"/>
      <c r="F219" s="52" t="str">
        <f>IF(AC217=0,"",AC217)</f>
        <v/>
      </c>
      <c r="H219" s="327"/>
      <c r="I219" s="327"/>
      <c r="J219" s="327"/>
      <c r="K219" s="327"/>
      <c r="L219" s="327"/>
      <c r="M219" s="327"/>
      <c r="N219" s="327"/>
      <c r="O219" s="327"/>
      <c r="P219" s="327"/>
      <c r="Q219" s="327"/>
      <c r="R219" s="327"/>
      <c r="S219" s="327"/>
      <c r="T219" s="327"/>
      <c r="U219" s="327"/>
      <c r="V219" s="327"/>
      <c r="W219" s="327"/>
      <c r="X219" s="327"/>
      <c r="Y219" s="327"/>
      <c r="Z219" s="327"/>
      <c r="AA219" s="327"/>
    </row>
    <row r="220" spans="2:29" x14ac:dyDescent="0.2">
      <c r="D220" s="38"/>
      <c r="E220" s="38"/>
      <c r="F220" s="38"/>
      <c r="H220" s="327"/>
      <c r="I220" s="327"/>
      <c r="J220" s="327"/>
      <c r="K220" s="327"/>
      <c r="L220" s="327"/>
      <c r="M220" s="327"/>
      <c r="N220" s="327"/>
      <c r="O220" s="327"/>
      <c r="P220" s="327"/>
      <c r="Q220" s="327"/>
      <c r="R220" s="327"/>
      <c r="S220" s="327"/>
      <c r="T220" s="327"/>
      <c r="U220" s="327"/>
      <c r="V220" s="327"/>
      <c r="W220" s="327"/>
      <c r="X220" s="327"/>
      <c r="Y220" s="327"/>
      <c r="Z220" s="327"/>
      <c r="AA220" s="327"/>
    </row>
    <row r="221" spans="2:29" ht="13.5" customHeight="1" x14ac:dyDescent="0.2">
      <c r="H221" s="327"/>
      <c r="I221" s="327"/>
      <c r="J221" s="327"/>
      <c r="K221" s="327"/>
      <c r="L221" s="327"/>
      <c r="M221" s="327"/>
      <c r="N221" s="327"/>
      <c r="O221" s="327"/>
      <c r="P221" s="327"/>
      <c r="Q221" s="327"/>
      <c r="R221" s="327"/>
      <c r="S221" s="327"/>
      <c r="T221" s="327"/>
      <c r="U221" s="327"/>
      <c r="V221" s="327"/>
      <c r="W221" s="327"/>
      <c r="X221" s="327"/>
      <c r="Y221" s="327"/>
      <c r="Z221" s="327"/>
      <c r="AA221" s="327"/>
    </row>
    <row r="222" spans="2:29" x14ac:dyDescent="0.2">
      <c r="C222" s="298" t="s">
        <v>169</v>
      </c>
      <c r="D222" s="298"/>
      <c r="E222" s="298"/>
      <c r="F222" s="298"/>
      <c r="G222" s="298"/>
      <c r="H222" s="298"/>
      <c r="I222" s="298"/>
      <c r="J222" s="298"/>
      <c r="K222" s="298"/>
      <c r="L222" s="298"/>
    </row>
    <row r="223" spans="2:29" x14ac:dyDescent="0.2">
      <c r="C223" s="298"/>
      <c r="D223" s="298"/>
      <c r="E223" s="298"/>
      <c r="F223" s="298"/>
      <c r="G223" s="298"/>
      <c r="H223" s="298"/>
      <c r="I223" s="298"/>
      <c r="J223" s="298"/>
      <c r="K223" s="298"/>
      <c r="L223" s="298"/>
      <c r="N223" s="299"/>
      <c r="O223" s="300"/>
      <c r="P223" s="301"/>
      <c r="Q223" s="1" t="s">
        <v>87</v>
      </c>
      <c r="AB223" s="4" t="str">
        <f>IF(AND(B217="✔",N223=""),"←小屋組又は床組みの県産材構造現し見上げ面積を入力してください。","")</f>
        <v/>
      </c>
    </row>
    <row r="224" spans="2:29" ht="42" customHeight="1" x14ac:dyDescent="0.2">
      <c r="C224" s="305" t="s">
        <v>448</v>
      </c>
      <c r="D224" s="305"/>
      <c r="E224" s="305"/>
      <c r="F224" s="305"/>
      <c r="G224" s="305"/>
      <c r="H224" s="305"/>
      <c r="I224" s="305"/>
      <c r="J224" s="305"/>
      <c r="K224" s="305"/>
      <c r="L224" s="305"/>
      <c r="M224" s="305"/>
      <c r="N224" s="305"/>
      <c r="O224" s="305"/>
      <c r="P224" s="305"/>
      <c r="Q224" s="305"/>
      <c r="R224" s="305"/>
      <c r="S224" s="305"/>
      <c r="T224" s="305"/>
      <c r="U224" s="305"/>
      <c r="V224" s="305"/>
      <c r="W224" s="305"/>
      <c r="X224" s="305"/>
      <c r="Y224" s="305"/>
      <c r="Z224" s="305"/>
      <c r="AA224" s="305"/>
    </row>
    <row r="225" spans="1:28" x14ac:dyDescent="0.2">
      <c r="B225" s="325" t="s">
        <v>159</v>
      </c>
      <c r="C225" s="325"/>
      <c r="D225" s="325"/>
      <c r="E225" s="325"/>
      <c r="F225" s="53" t="str">
        <f>IF(SUM(F174,F179,F186,F194,F202,F212,F219)=0,"",SUM(F174,F179,F186,F194,F202,F212,F219))</f>
        <v/>
      </c>
      <c r="G225" s="49"/>
      <c r="H225" s="49"/>
      <c r="I225" s="49"/>
      <c r="J225" s="49"/>
      <c r="K225" s="49"/>
      <c r="L225" s="49"/>
      <c r="M225" s="49"/>
      <c r="N225" s="49"/>
      <c r="O225" s="49"/>
      <c r="P225" s="49"/>
      <c r="Q225" s="49"/>
      <c r="R225" s="49"/>
      <c r="S225" s="49"/>
      <c r="T225" s="49"/>
      <c r="U225" s="49"/>
      <c r="V225" s="49"/>
      <c r="W225" s="49"/>
      <c r="X225" s="49"/>
      <c r="Y225" s="49"/>
      <c r="Z225" s="49"/>
      <c r="AA225" s="49"/>
    </row>
    <row r="226" spans="1:28" x14ac:dyDescent="0.2">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5" t="s">
        <v>69</v>
      </c>
    </row>
    <row r="227" spans="1:28" x14ac:dyDescent="0.2">
      <c r="K227" s="326">
        <f>IFERROR(IF(T231="","",T231+T232),T231)</f>
        <v>0</v>
      </c>
      <c r="L227" s="326"/>
      <c r="M227" s="326"/>
    </row>
    <row r="228" spans="1:28" x14ac:dyDescent="0.2">
      <c r="C228" s="1" t="s">
        <v>193</v>
      </c>
      <c r="K228" s="326"/>
      <c r="L228" s="326"/>
      <c r="M228" s="326"/>
      <c r="N228" s="1" t="s">
        <v>64</v>
      </c>
      <c r="AB228" s="62">
        <f>SUM(AB165,AB147,AB129,AB103,AB109,AB107,AB102)</f>
        <v>0</v>
      </c>
    </row>
    <row r="230" spans="1:28" x14ac:dyDescent="0.2">
      <c r="D230" s="1" t="s">
        <v>257</v>
      </c>
    </row>
    <row r="231" spans="1:28" ht="27" customHeight="1" x14ac:dyDescent="0.2">
      <c r="D231" s="328" t="s">
        <v>258</v>
      </c>
      <c r="E231" s="329"/>
      <c r="F231" s="329"/>
      <c r="G231" s="329"/>
      <c r="H231" s="329"/>
      <c r="I231" s="329"/>
      <c r="J231" s="329"/>
      <c r="K231" s="329"/>
      <c r="L231" s="329"/>
      <c r="M231" s="329"/>
      <c r="N231" s="329"/>
      <c r="O231" s="329"/>
      <c r="P231" s="329"/>
      <c r="Q231" s="329"/>
      <c r="R231" s="329"/>
      <c r="S231" s="330"/>
      <c r="T231" s="331">
        <f>IF(Y110="",0,MIN(SUM(Y110,Y129,Y147,Y165),100))</f>
        <v>0</v>
      </c>
      <c r="U231" s="332"/>
      <c r="V231" s="332"/>
      <c r="W231" s="10" t="s">
        <v>0</v>
      </c>
      <c r="X231" s="11"/>
    </row>
    <row r="232" spans="1:28" ht="28.5" customHeight="1" x14ac:dyDescent="0.2">
      <c r="D232" s="333" t="s">
        <v>259</v>
      </c>
      <c r="E232" s="334"/>
      <c r="F232" s="334"/>
      <c r="G232" s="334"/>
      <c r="H232" s="334"/>
      <c r="I232" s="334"/>
      <c r="J232" s="334"/>
      <c r="K232" s="334"/>
      <c r="L232" s="334"/>
      <c r="M232" s="334"/>
      <c r="N232" s="334"/>
      <c r="O232" s="334"/>
      <c r="P232" s="334"/>
      <c r="Q232" s="334"/>
      <c r="R232" s="334"/>
      <c r="S232" s="334"/>
      <c r="T232" s="331">
        <f>IF(B89="",IF(B69="",0,AB232),AB232)</f>
        <v>0</v>
      </c>
      <c r="U232" s="332"/>
      <c r="V232" s="332"/>
      <c r="W232" s="10" t="s">
        <v>0</v>
      </c>
      <c r="X232" s="11"/>
      <c r="AB232" s="3" t="str">
        <f>IF(U58="","",IF(AND(B63="",B66=""),"",IF(AND(B63="✔",B66="✔"),"error",IF(B83="✔",IF(U58="T-G1",5,IF(U58="T-G2",15,IF(U58="T-G3",25,0))),(IF(U58="T-G1",10,IF(U58="T-G2",30,IF(U58="T-G3",50,0)))))))+IF(B79="",IF(B81="",IF(B83="",(IF(AND(B60="✔",U63="『ZEH』"),50,IF(AND(B60="✔",U63="Nearly ZEH（多雪地域に限る）"),50,0)))))))</f>
        <v/>
      </c>
    </row>
    <row r="235" spans="1:28" x14ac:dyDescent="0.2">
      <c r="A235" s="13" t="s">
        <v>76</v>
      </c>
    </row>
    <row r="237" spans="1:28" x14ac:dyDescent="0.2">
      <c r="C237" s="1" t="s">
        <v>417</v>
      </c>
    </row>
    <row r="238" spans="1:28" x14ac:dyDescent="0.2">
      <c r="C238" s="22" t="s">
        <v>105</v>
      </c>
    </row>
    <row r="240" spans="1:28" x14ac:dyDescent="0.2">
      <c r="C240" s="1" t="s">
        <v>196</v>
      </c>
    </row>
    <row r="241" spans="3:55" x14ac:dyDescent="0.2">
      <c r="C241" s="1" t="s">
        <v>414</v>
      </c>
    </row>
    <row r="242" spans="3:55" x14ac:dyDescent="0.2">
      <c r="C242" s="1" t="str">
        <f>IF(I53="要","検査済み証の写し",IF(I53="不要","建築工事届の写し",""))</f>
        <v/>
      </c>
    </row>
    <row r="243" spans="3:55" x14ac:dyDescent="0.2">
      <c r="C243" s="1" t="str">
        <f>IF(B85="✔","変更後の各階平面図、配置図","")</f>
        <v/>
      </c>
    </row>
    <row r="244" spans="3:55" x14ac:dyDescent="0.2">
      <c r="C244" s="1" t="s">
        <v>197</v>
      </c>
    </row>
    <row r="245" spans="3:55" x14ac:dyDescent="0.2">
      <c r="C245" s="1" t="s">
        <v>444</v>
      </c>
    </row>
    <row r="246" spans="3:55" ht="26.25" customHeight="1" x14ac:dyDescent="0.2">
      <c r="C246" s="316" t="str">
        <f>IF(B91="","","県内プレカット加工証明書（様式第９号）の原本若しくはその写し又はプレカット工場が記載された県産材の産地証明書写し")</f>
        <v/>
      </c>
      <c r="D246" s="316"/>
      <c r="E246" s="316"/>
      <c r="F246" s="316"/>
      <c r="G246" s="316"/>
      <c r="H246" s="316"/>
      <c r="I246" s="316"/>
      <c r="J246" s="316"/>
      <c r="K246" s="316"/>
      <c r="L246" s="316"/>
      <c r="M246" s="316"/>
      <c r="N246" s="316"/>
      <c r="O246" s="316"/>
      <c r="P246" s="316"/>
      <c r="Q246" s="316"/>
      <c r="R246" s="316"/>
      <c r="S246" s="316"/>
      <c r="T246" s="316"/>
      <c r="U246" s="316"/>
      <c r="V246" s="316"/>
      <c r="W246" s="316"/>
      <c r="X246" s="316"/>
      <c r="Y246" s="316"/>
      <c r="Z246" s="316"/>
      <c r="AA246" s="316"/>
    </row>
    <row r="247" spans="3:55" ht="32.700000000000003" customHeight="1" x14ac:dyDescent="0.2">
      <c r="C247" s="316" t="str">
        <f>IF(Y107="","","鳥取県木材協同組合連合会が発行する日本農林規格県産材（ＪＡＳ格付及び含水率20%以下）であることを証明する書類等")</f>
        <v/>
      </c>
      <c r="D247" s="316"/>
      <c r="E247" s="316"/>
      <c r="F247" s="316"/>
      <c r="G247" s="316"/>
      <c r="H247" s="316"/>
      <c r="I247" s="316"/>
      <c r="J247" s="316"/>
      <c r="K247" s="316"/>
      <c r="L247" s="316"/>
      <c r="M247" s="316"/>
      <c r="N247" s="316"/>
      <c r="O247" s="316"/>
      <c r="P247" s="316"/>
      <c r="Q247" s="316"/>
      <c r="R247" s="316"/>
      <c r="S247" s="316"/>
      <c r="T247" s="316"/>
      <c r="U247" s="316"/>
      <c r="V247" s="316"/>
      <c r="W247" s="316"/>
      <c r="X247" s="316"/>
      <c r="Y247" s="316"/>
      <c r="Z247" s="316"/>
      <c r="AA247" s="316"/>
    </row>
    <row r="248" spans="3:55" x14ac:dyDescent="0.2">
      <c r="C248" s="316" t="str">
        <f>IF(Y108="","","県産ヤング係数確認構造材一覧表（様式第８号）又は同等の内容を記載した証明書類若しくはその写し")</f>
        <v/>
      </c>
      <c r="D248" s="316"/>
      <c r="E248" s="316"/>
      <c r="F248" s="316"/>
      <c r="G248" s="316"/>
      <c r="H248" s="316"/>
      <c r="I248" s="316"/>
      <c r="J248" s="316"/>
      <c r="K248" s="316"/>
      <c r="L248" s="316"/>
      <c r="M248" s="316"/>
      <c r="N248" s="316"/>
      <c r="O248" s="316"/>
      <c r="P248" s="316"/>
      <c r="Q248" s="316"/>
      <c r="R248" s="316"/>
      <c r="S248" s="316"/>
      <c r="T248" s="316"/>
      <c r="U248" s="316"/>
      <c r="V248" s="316"/>
      <c r="W248" s="316"/>
      <c r="X248" s="316"/>
      <c r="Y248" s="316"/>
      <c r="Z248" s="316"/>
      <c r="AA248" s="316"/>
    </row>
    <row r="249" spans="3:55" x14ac:dyDescent="0.2">
      <c r="C249" s="316" t="str">
        <f>IF(Q108="","","県産CLT材であることを証明する書類（納品書等）")</f>
        <v/>
      </c>
      <c r="D249" s="316"/>
      <c r="E249" s="316"/>
      <c r="F249" s="316"/>
      <c r="G249" s="316"/>
      <c r="H249" s="316"/>
      <c r="I249" s="316"/>
      <c r="J249" s="316"/>
      <c r="K249" s="316"/>
      <c r="L249" s="316"/>
      <c r="M249" s="316"/>
      <c r="N249" s="316"/>
      <c r="O249" s="316"/>
      <c r="P249" s="316"/>
      <c r="Q249" s="316"/>
      <c r="R249" s="316"/>
      <c r="S249" s="316"/>
      <c r="T249" s="316"/>
      <c r="U249" s="316"/>
      <c r="V249" s="316"/>
      <c r="W249" s="316"/>
      <c r="X249" s="316"/>
      <c r="Y249" s="316"/>
      <c r="Z249" s="316"/>
      <c r="AA249" s="316"/>
    </row>
    <row r="250" spans="3:55" ht="44.25" customHeight="1" x14ac:dyDescent="0.2">
      <c r="C250" s="298" t="str">
        <f>IF(Q109="","","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内外装材に係る県産材の産地証明書の写し")</f>
        <v/>
      </c>
      <c r="D250" s="298"/>
      <c r="E250" s="298"/>
      <c r="F250" s="298"/>
      <c r="G250" s="298"/>
      <c r="H250" s="298"/>
      <c r="I250" s="298"/>
      <c r="J250" s="298"/>
      <c r="K250" s="298"/>
      <c r="L250" s="298"/>
      <c r="M250" s="298"/>
      <c r="N250" s="298"/>
      <c r="O250" s="298"/>
      <c r="P250" s="298"/>
      <c r="Q250" s="298"/>
      <c r="R250" s="298"/>
      <c r="S250" s="298"/>
      <c r="T250" s="298"/>
      <c r="U250" s="298"/>
      <c r="V250" s="298"/>
      <c r="W250" s="298"/>
      <c r="X250" s="298"/>
      <c r="Y250" s="298"/>
      <c r="Z250" s="298"/>
      <c r="AA250" s="298"/>
      <c r="AB250" s="68" t="s">
        <v>200</v>
      </c>
      <c r="AC250" s="68"/>
      <c r="AD250" s="68"/>
      <c r="AE250" s="68"/>
      <c r="AF250" s="68"/>
      <c r="AG250" s="68"/>
      <c r="AH250" s="68"/>
      <c r="AI250" s="68"/>
      <c r="AJ250" s="68"/>
      <c r="AK250" s="68"/>
    </row>
    <row r="251" spans="3:55" ht="13.5" customHeight="1" x14ac:dyDescent="0.2">
      <c r="C251" s="298" t="str">
        <f>IF(AC251="はい","登録住宅を購入した場合は、その購入契約書の写し","")</f>
        <v>登録住宅を購入した場合は、その購入契約書の写し</v>
      </c>
      <c r="D251" s="298"/>
      <c r="E251" s="298"/>
      <c r="F251" s="298"/>
      <c r="G251" s="298"/>
      <c r="H251" s="298"/>
      <c r="I251" s="298"/>
      <c r="J251" s="298"/>
      <c r="K251" s="298"/>
      <c r="L251" s="298"/>
      <c r="M251" s="298"/>
      <c r="N251" s="298"/>
      <c r="O251" s="298"/>
      <c r="P251" s="298"/>
      <c r="Q251" s="298"/>
      <c r="R251" s="298"/>
      <c r="S251" s="298"/>
      <c r="T251" s="298"/>
      <c r="U251" s="298"/>
      <c r="V251" s="298"/>
      <c r="W251" s="298"/>
      <c r="X251" s="298"/>
      <c r="Y251" s="298"/>
      <c r="Z251" s="298"/>
      <c r="AA251" s="298"/>
      <c r="AB251" s="68" t="s">
        <v>199</v>
      </c>
      <c r="AC251" s="69" t="s">
        <v>455</v>
      </c>
      <c r="AE251" s="68" t="s">
        <v>201</v>
      </c>
      <c r="AT251" s="1"/>
      <c r="AU251" s="1"/>
      <c r="AV251" s="1"/>
      <c r="AW251" s="1"/>
      <c r="AX251" s="1"/>
      <c r="AY251" s="1"/>
      <c r="AZ251" s="1"/>
      <c r="BA251" s="1"/>
      <c r="BB251" s="1"/>
      <c r="BC251" s="1"/>
    </row>
    <row r="252" spans="3:55" ht="13.5" customHeight="1" x14ac:dyDescent="0.2">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c r="AA252" s="298"/>
      <c r="AB252" s="68"/>
      <c r="AC252" s="109"/>
      <c r="AE252" s="68"/>
      <c r="AT252" s="1"/>
      <c r="AU252" s="1"/>
      <c r="AV252" s="1"/>
      <c r="AW252" s="1"/>
      <c r="AX252" s="1"/>
      <c r="AY252" s="1"/>
      <c r="AZ252" s="1"/>
      <c r="BA252" s="1"/>
      <c r="BB252" s="1"/>
      <c r="BC252" s="1"/>
    </row>
    <row r="253" spans="3:55" ht="13.5" customHeight="1" x14ac:dyDescent="0.2">
      <c r="C253" s="298" t="str">
        <f>IF(OR(Y129=0,Y129=""),"","補助対象住宅に転居後の世帯全員の住民票")</f>
        <v/>
      </c>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c r="AA253" s="298"/>
    </row>
    <row r="254" spans="3:55" ht="13.5" customHeight="1" x14ac:dyDescent="0.2">
      <c r="C254" s="298" t="str">
        <f>IF(AND(Y129=10,B131="",P131="✔"),"申請者の戸籍抄本、申請者の戸籍謄本","")</f>
        <v/>
      </c>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c r="AA254" s="298"/>
      <c r="AB254" s="67" t="str">
        <f>IF(C254="","","申請者の戸籍抄本、申請者の戸籍謄本、誓約書のうちいづれか一つを添付してください。")</f>
        <v/>
      </c>
      <c r="AI254" s="1"/>
    </row>
    <row r="255" spans="3:55" ht="13.2" customHeight="1" x14ac:dyDescent="0.2">
      <c r="C255" s="298" t="str">
        <f>IF(Y147="","","補助対象住宅に転居後の同居又は近居の対象となる直系親族世帯全員の住民票")</f>
        <v/>
      </c>
      <c r="D255" s="298"/>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c r="AA255" s="298"/>
    </row>
    <row r="256" spans="3:55" ht="13.2" customHeight="1" x14ac:dyDescent="0.2">
      <c r="C256" s="298" t="str">
        <f>IF(Y147="","","同居又は近居する直系親族と姓が異なる場合は、申請者の戸籍謄本等直系親族とわかる書類")</f>
        <v/>
      </c>
      <c r="D256" s="298"/>
      <c r="E256" s="298"/>
      <c r="F256" s="298"/>
      <c r="G256" s="298"/>
      <c r="H256" s="298"/>
      <c r="I256" s="298"/>
      <c r="J256" s="298"/>
      <c r="K256" s="298"/>
      <c r="L256" s="298"/>
      <c r="M256" s="298"/>
      <c r="N256" s="298"/>
      <c r="O256" s="298"/>
      <c r="P256" s="298"/>
      <c r="Q256" s="298"/>
      <c r="R256" s="298"/>
      <c r="S256" s="298"/>
      <c r="T256" s="298"/>
      <c r="U256" s="298"/>
      <c r="V256" s="298"/>
      <c r="W256" s="298"/>
      <c r="X256" s="298"/>
      <c r="Y256" s="298"/>
      <c r="Z256" s="298"/>
      <c r="AA256" s="298"/>
    </row>
    <row r="257" spans="1:55" ht="13.5" customHeight="1" x14ac:dyDescent="0.2">
      <c r="C257" s="298" t="str">
        <f>IF(AND(B169="✔",OR(B177="✔",B184="✔",B192="✔",B200="✔",B210="✔",B217="✔")),"各伝統技能（手刻み加工を除く。）の施工面積及び施工箇所を図示した立面図、展開図等の図面","")</f>
        <v/>
      </c>
      <c r="D257" s="298"/>
      <c r="E257" s="298"/>
      <c r="F257" s="298"/>
      <c r="G257" s="298"/>
      <c r="H257" s="298"/>
      <c r="I257" s="298"/>
      <c r="J257" s="298"/>
      <c r="K257" s="298"/>
      <c r="L257" s="298"/>
      <c r="M257" s="298"/>
      <c r="N257" s="298"/>
      <c r="O257" s="298"/>
      <c r="P257" s="298"/>
      <c r="Q257" s="298"/>
      <c r="R257" s="298"/>
      <c r="S257" s="298"/>
      <c r="T257" s="298"/>
      <c r="U257" s="298"/>
      <c r="V257" s="298"/>
      <c r="W257" s="298"/>
      <c r="X257" s="298"/>
      <c r="Y257" s="298"/>
      <c r="Z257" s="298"/>
      <c r="AA257" s="298"/>
    </row>
    <row r="258" spans="1:55" ht="13.5" customHeight="1" x14ac:dyDescent="0.2">
      <c r="C258" s="298" t="str">
        <f>IF(B172="","","手刻み加工で仕口、継手等を加工している写真（建築主名を記載した工事看板を写し込んだもの）")</f>
        <v/>
      </c>
      <c r="D258" s="298"/>
      <c r="E258" s="298"/>
      <c r="F258" s="298"/>
      <c r="G258" s="298"/>
      <c r="H258" s="298"/>
      <c r="I258" s="298"/>
      <c r="J258" s="298"/>
      <c r="K258" s="298"/>
      <c r="L258" s="298"/>
      <c r="M258" s="298"/>
      <c r="N258" s="298"/>
      <c r="O258" s="298"/>
      <c r="P258" s="298"/>
      <c r="Q258" s="298"/>
      <c r="R258" s="298"/>
      <c r="S258" s="298"/>
      <c r="T258" s="298"/>
      <c r="U258" s="298"/>
      <c r="V258" s="298"/>
      <c r="W258" s="298"/>
      <c r="X258" s="298"/>
      <c r="Y258" s="298"/>
      <c r="Z258" s="298"/>
      <c r="AA258" s="298"/>
    </row>
    <row r="259" spans="1:55" ht="13.5" customHeight="1" x14ac:dyDescent="0.2">
      <c r="C259" s="298" t="str">
        <f>IF(B177="","","下見板張り施工後の写真（建築主名を記載した工事看板を写し込んだもの）")</f>
        <v/>
      </c>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c r="AA259" s="298"/>
    </row>
    <row r="260" spans="1:55" ht="13.5" customHeight="1" x14ac:dyDescent="0.2">
      <c r="C260" s="298" t="str">
        <f>IF(B184="","","左官仕上げのこて塗りが確認できる施工状況写真（建築主名を記載した工事看板を写し込んだもの）")</f>
        <v/>
      </c>
      <c r="D260" s="298"/>
      <c r="E260" s="298"/>
      <c r="F260" s="298"/>
      <c r="G260" s="298"/>
      <c r="H260" s="298"/>
      <c r="I260" s="298"/>
      <c r="J260" s="298"/>
      <c r="K260" s="298"/>
      <c r="L260" s="298"/>
      <c r="M260" s="298"/>
      <c r="N260" s="298"/>
      <c r="O260" s="298"/>
      <c r="P260" s="298"/>
      <c r="Q260" s="298"/>
      <c r="R260" s="298"/>
      <c r="S260" s="298"/>
      <c r="T260" s="298"/>
      <c r="U260" s="298"/>
      <c r="V260" s="298"/>
      <c r="W260" s="298"/>
      <c r="X260" s="298"/>
      <c r="Y260" s="298"/>
      <c r="Z260" s="298"/>
      <c r="AA260" s="298"/>
      <c r="AB260" s="67" t="str">
        <f>IF(C260="","","こて塗りで実際施工中の写真を添付してください（建築主名記載の工事看板入り）。")</f>
        <v/>
      </c>
    </row>
    <row r="261" spans="1:55" ht="30.75" customHeight="1" x14ac:dyDescent="0.2">
      <c r="C261" s="298" t="str">
        <f>IF(B192="","","瓦の留め付け状況及び棟の補強金物及び屋根下地への緊結状況がわかる写真（建築主名を記載した工事看板を写し込んだもの）")</f>
        <v/>
      </c>
      <c r="D261" s="298"/>
      <c r="E261" s="298"/>
      <c r="F261" s="298"/>
      <c r="G261" s="298"/>
      <c r="H261" s="298"/>
      <c r="I261" s="298"/>
      <c r="J261" s="298"/>
      <c r="K261" s="298"/>
      <c r="L261" s="298"/>
      <c r="M261" s="298"/>
      <c r="N261" s="298"/>
      <c r="O261" s="298"/>
      <c r="P261" s="298"/>
      <c r="Q261" s="298"/>
      <c r="R261" s="298"/>
      <c r="S261" s="298"/>
      <c r="T261" s="298"/>
      <c r="U261" s="298"/>
      <c r="V261" s="298"/>
      <c r="W261" s="298"/>
      <c r="X261" s="298"/>
      <c r="Y261" s="298"/>
      <c r="Z261" s="298"/>
      <c r="AA261" s="298"/>
      <c r="AB261" s="67" t="str">
        <f>IF(C261="","","瓦の施工作業中の写真を添付してください（建築主名記載の工事看板入り）。")</f>
        <v/>
      </c>
    </row>
    <row r="262" spans="1:55" ht="39" customHeight="1" x14ac:dyDescent="0.2">
      <c r="C262" s="298" t="str">
        <f>IF(B200="","","木製建具の種類及び見付面積が確認できる資料、設置完了後の写真（建具の種類ごとに建築主名、建具業者名及び建具の名称を記載した工事看板を写し込んだもの）及び当該木製建具に係る納品書の写し")</f>
        <v/>
      </c>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c r="AA262" s="298"/>
    </row>
    <row r="263" spans="1:55" ht="26.25" customHeight="1" x14ac:dyDescent="0.2">
      <c r="C263" s="298" t="str">
        <f>IF(B210="","","畳の設置完了後の写真（建築主名、畳業者名を記載した看板を写し込んだもの）及び当該畳に係る納品書の写し")</f>
        <v/>
      </c>
      <c r="D263" s="298"/>
      <c r="E263" s="298"/>
      <c r="F263" s="298"/>
      <c r="G263" s="298"/>
      <c r="H263" s="298"/>
      <c r="I263" s="298"/>
      <c r="J263" s="298"/>
      <c r="K263" s="298"/>
      <c r="L263" s="298"/>
      <c r="M263" s="298"/>
      <c r="N263" s="298"/>
      <c r="O263" s="298"/>
      <c r="P263" s="298"/>
      <c r="Q263" s="298"/>
      <c r="R263" s="298"/>
      <c r="S263" s="298"/>
      <c r="T263" s="298"/>
      <c r="U263" s="298"/>
      <c r="V263" s="298"/>
      <c r="W263" s="298"/>
      <c r="X263" s="298"/>
      <c r="Y263" s="298"/>
      <c r="Z263" s="298"/>
      <c r="AA263" s="298"/>
    </row>
    <row r="264" spans="1:55" ht="42.75" customHeight="1" x14ac:dyDescent="0.2">
      <c r="C264" s="298" t="str">
        <f>IF(B217="","","構造材現し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4" s="298"/>
      <c r="E264" s="298"/>
      <c r="F264" s="298"/>
      <c r="G264" s="298"/>
      <c r="H264" s="298"/>
      <c r="I264" s="298"/>
      <c r="J264" s="298"/>
      <c r="K264" s="298"/>
      <c r="L264" s="298"/>
      <c r="M264" s="298"/>
      <c r="N264" s="298"/>
      <c r="O264" s="298"/>
      <c r="P264" s="298"/>
      <c r="Q264" s="298"/>
      <c r="R264" s="298"/>
      <c r="S264" s="298"/>
      <c r="T264" s="298"/>
      <c r="U264" s="298"/>
      <c r="V264" s="298"/>
      <c r="W264" s="298"/>
      <c r="X264" s="298"/>
      <c r="Y264" s="298"/>
      <c r="Z264" s="298"/>
      <c r="AA264" s="298"/>
    </row>
    <row r="265" spans="1:55" ht="13.5" customHeight="1" x14ac:dyDescent="0.2">
      <c r="C265" s="308" t="str">
        <f>IF(AC266="はい","現地審査に関する通知書（竣工時）の写し","")</f>
        <v/>
      </c>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68" t="s">
        <v>198</v>
      </c>
      <c r="AC265" s="68"/>
      <c r="AD265" s="68"/>
      <c r="AE265" s="68"/>
      <c r="AF265" s="68"/>
      <c r="AG265" s="68"/>
      <c r="AH265" s="68"/>
      <c r="AI265" s="68"/>
      <c r="AJ265" s="68"/>
      <c r="AK265" s="68"/>
    </row>
    <row r="266" spans="1:55" ht="13.5" customHeight="1" x14ac:dyDescent="0.2">
      <c r="C266" s="1" t="str">
        <f>IF(B63="","","ZEHを証する書類")</f>
        <v/>
      </c>
      <c r="AB266" s="68" t="s">
        <v>199</v>
      </c>
      <c r="AC266" s="69"/>
      <c r="AU266" s="1"/>
      <c r="AV266" s="1"/>
      <c r="AW266" s="1"/>
      <c r="AX266" s="1"/>
      <c r="AY266" s="1"/>
      <c r="AZ266" s="1"/>
      <c r="BA266" s="1"/>
      <c r="BB266" s="1"/>
      <c r="BC266" s="1"/>
    </row>
    <row r="267" spans="1:55" ht="13.5" customHeight="1" x14ac:dyDescent="0.2">
      <c r="C267" s="1" t="str">
        <f>IF(B58="","","とっとり健康省エネ住宅認定証の写し")</f>
        <v/>
      </c>
      <c r="AB267" s="68"/>
      <c r="AC267" s="109"/>
      <c r="AU267" s="1"/>
      <c r="AV267" s="1"/>
      <c r="AW267" s="1"/>
      <c r="AX267" s="1"/>
      <c r="AY267" s="1"/>
      <c r="AZ267" s="1"/>
      <c r="BA267" s="1"/>
      <c r="BB267" s="1"/>
      <c r="BC267" s="1"/>
    </row>
    <row r="268" spans="1:55" ht="13.5" customHeight="1" x14ac:dyDescent="0.2">
      <c r="C268" s="1" t="str">
        <f>IF(Q109="",IF(B69="","","県産内外装材の見付面積及び使用場所を示した立面図、展開図等の図面"),"")</f>
        <v/>
      </c>
      <c r="AB268" s="68"/>
      <c r="AC268" s="109"/>
      <c r="AU268" s="1"/>
      <c r="AV268" s="1"/>
      <c r="AW268" s="1"/>
      <c r="AX268" s="1"/>
      <c r="AY268" s="1"/>
      <c r="AZ268" s="1"/>
      <c r="BA268" s="1"/>
      <c r="BB268" s="1"/>
      <c r="BC268" s="1"/>
    </row>
    <row r="269" spans="1:55" ht="13.5" customHeight="1" x14ac:dyDescent="0.2">
      <c r="W269" s="49"/>
      <c r="X269" s="49"/>
      <c r="Y269" s="49"/>
      <c r="Z269" s="49"/>
      <c r="AA269" s="5"/>
    </row>
    <row r="270" spans="1:55" x14ac:dyDescent="0.2">
      <c r="A270" s="298" t="s">
        <v>418</v>
      </c>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c r="AA270" s="298"/>
    </row>
    <row r="271" spans="1:55" x14ac:dyDescent="0.2">
      <c r="A271" s="298"/>
      <c r="B271" s="298"/>
      <c r="C271" s="298"/>
      <c r="D271" s="298"/>
      <c r="E271" s="298"/>
      <c r="F271" s="298"/>
      <c r="G271" s="298"/>
      <c r="H271" s="298"/>
      <c r="I271" s="298"/>
      <c r="J271" s="298"/>
      <c r="K271" s="298"/>
      <c r="L271" s="298"/>
      <c r="M271" s="298"/>
      <c r="N271" s="298"/>
      <c r="O271" s="298"/>
      <c r="P271" s="298"/>
      <c r="Q271" s="298"/>
      <c r="R271" s="298"/>
      <c r="S271" s="298"/>
      <c r="T271" s="298"/>
      <c r="U271" s="298"/>
      <c r="V271" s="298"/>
      <c r="W271" s="298"/>
      <c r="X271" s="298"/>
      <c r="Y271" s="298"/>
      <c r="Z271" s="298"/>
      <c r="AA271" s="298"/>
    </row>
    <row r="273" spans="1:28" ht="17.25" customHeight="1" x14ac:dyDescent="0.2">
      <c r="J273" s="311" t="s">
        <v>191</v>
      </c>
      <c r="K273" s="312"/>
      <c r="L273" s="312"/>
      <c r="M273" s="312"/>
      <c r="N273" s="312"/>
      <c r="O273" s="312"/>
      <c r="P273" s="312" t="str">
        <f>IF('要入力　登録決定状況入力シート'!C72&lt;&gt;0,'要入力　登録決定状況入力シート'!C72,"")</f>
        <v/>
      </c>
      <c r="Q273" s="312"/>
      <c r="R273" s="312"/>
      <c r="S273" s="312"/>
      <c r="T273" s="312"/>
      <c r="U273" s="312"/>
      <c r="V273" s="312"/>
      <c r="W273" s="312"/>
      <c r="X273" s="312"/>
      <c r="Y273" s="312"/>
      <c r="Z273" s="312"/>
      <c r="AA273" s="312"/>
      <c r="AB273" s="4" t="str">
        <f>IF(P273="","←工事監理者氏名（工事監理者が不要な場合は工事施工者氏名を選択し、当該内容）を入力してください。","")</f>
        <v>←工事監理者氏名（工事監理者が不要な場合は工事施工者氏名を選択し、当該内容）を入力してください。</v>
      </c>
    </row>
    <row r="274" spans="1:28" ht="17.25" customHeight="1" x14ac:dyDescent="0.2">
      <c r="J274" s="313" t="s">
        <v>160</v>
      </c>
      <c r="K274" s="313"/>
      <c r="L274" s="313"/>
      <c r="M274" s="313"/>
      <c r="N274" s="313"/>
      <c r="O274" s="313"/>
      <c r="P274" s="312" t="str">
        <f>IF('要入力　登録決定状況入力シート'!C73&lt;&gt;0,'要入力　登録決定状況入力シート'!C73,"")</f>
        <v/>
      </c>
      <c r="Q274" s="312"/>
      <c r="R274" s="312"/>
      <c r="S274" s="312"/>
      <c r="T274" s="312"/>
      <c r="U274" s="312"/>
      <c r="V274" s="312"/>
      <c r="W274" s="312"/>
      <c r="X274" s="312"/>
      <c r="Y274" s="312"/>
      <c r="Z274" s="312"/>
      <c r="AA274" s="312"/>
      <c r="AB274" s="4" t="str">
        <f>IF(P274="","←建築士事務所名を入力してください。","")</f>
        <v>←建築士事務所名を入力してください。</v>
      </c>
    </row>
    <row r="275" spans="1:28" ht="17.25" customHeight="1" x14ac:dyDescent="0.2">
      <c r="J275" s="317" t="s">
        <v>161</v>
      </c>
      <c r="K275" s="318"/>
      <c r="L275" s="318"/>
      <c r="M275" s="318"/>
      <c r="N275" s="318"/>
      <c r="O275" s="319"/>
      <c r="P275" s="309" t="s">
        <v>49</v>
      </c>
      <c r="Q275" s="310"/>
      <c r="R275" s="310"/>
      <c r="S275" s="310"/>
      <c r="T275" s="300" t="str">
        <f>IF('要入力　登録決定状況入力シート'!C74&lt;&gt;0,'要入力　登録決定状況入力シート'!C74,"")</f>
        <v/>
      </c>
      <c r="U275" s="300"/>
      <c r="V275" s="300"/>
      <c r="W275" s="300"/>
      <c r="X275" s="300"/>
      <c r="Y275" s="300"/>
      <c r="Z275" s="300"/>
      <c r="AA275" s="301"/>
      <c r="AB275" s="4" t="str">
        <f>IF(T275="","←建築士事務所の登録区分を選択（１級、２級、木造）してください。","")</f>
        <v>←建築士事務所の登録区分を選択（１級、２級、木造）してください。</v>
      </c>
    </row>
    <row r="276" spans="1:28" ht="17.25" customHeight="1" x14ac:dyDescent="0.2">
      <c r="J276" s="307"/>
      <c r="K276" s="306"/>
      <c r="L276" s="306"/>
      <c r="M276" s="306"/>
      <c r="N276" s="306"/>
      <c r="O276" s="320"/>
      <c r="P276" s="309" t="s">
        <v>163</v>
      </c>
      <c r="Q276" s="310"/>
      <c r="R276" s="310"/>
      <c r="S276" s="310"/>
      <c r="T276" s="300" t="str">
        <f>IF('要入力　登録決定状況入力シート'!C75&lt;&gt;0,'要入力　登録決定状況入力シート'!C75,"")</f>
        <v/>
      </c>
      <c r="U276" s="300"/>
      <c r="V276" s="300"/>
      <c r="W276" s="300"/>
      <c r="X276" s="300"/>
      <c r="Y276" s="300"/>
      <c r="Z276" s="310" t="s">
        <v>164</v>
      </c>
      <c r="AA276" s="324"/>
      <c r="AB276" s="4" t="str">
        <f>IF(T276="","←建築士事務所の登録を受けた都道府県名入力してください。","")</f>
        <v>←建築士事務所の登録を受けた都道府県名入力してください。</v>
      </c>
    </row>
    <row r="277" spans="1:28" ht="17.25" customHeight="1" x14ac:dyDescent="0.2">
      <c r="J277" s="321"/>
      <c r="K277" s="322"/>
      <c r="L277" s="322"/>
      <c r="M277" s="322"/>
      <c r="N277" s="322"/>
      <c r="O277" s="323"/>
      <c r="P277" s="309" t="s">
        <v>162</v>
      </c>
      <c r="Q277" s="310"/>
      <c r="R277" s="310"/>
      <c r="S277" s="310"/>
      <c r="T277" s="300" t="str">
        <f>IF('要入力　登録決定状況入力シート'!C76&lt;&gt;0,'要入力　登録決定状況入力シート'!C76,"")</f>
        <v/>
      </c>
      <c r="U277" s="300"/>
      <c r="V277" s="300"/>
      <c r="W277" s="300"/>
      <c r="X277" s="300"/>
      <c r="Y277" s="300"/>
      <c r="Z277" s="300"/>
      <c r="AA277" s="301"/>
      <c r="AB277" s="4" t="str">
        <f>IF(T277="","←建築士事務所の登録番号を入力してください。","")</f>
        <v>←建築士事務所の登録番号を入力してください。</v>
      </c>
    </row>
    <row r="278" spans="1:28" x14ac:dyDescent="0.2">
      <c r="A278" s="1" t="s">
        <v>184</v>
      </c>
    </row>
    <row r="279" spans="1:28" ht="31.5" customHeight="1" x14ac:dyDescent="0.2">
      <c r="A279" s="298" t="s">
        <v>192</v>
      </c>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row>
  </sheetData>
  <sheetProtection algorithmName="SHA-512" hashValue="/s8LcUZPEU6tQG3ubhBe4CbGDLZMP5mosAcQsCZhVN+z4P3Rr3C4/a1S0UlmhSvVQ3mdLyuq84LkRhH2n7d9yw==" saltValue="jm2uqhudr6RFQV/v5BgE1g==" spinCount="100000" sheet="1" selectLockedCells="1"/>
  <mergeCells count="222">
    <mergeCell ref="D77:O77"/>
    <mergeCell ref="P77:T77"/>
    <mergeCell ref="U77:Z77"/>
    <mergeCell ref="F108:P108"/>
    <mergeCell ref="Y109:Z109"/>
    <mergeCell ref="A116:AA117"/>
    <mergeCell ref="F103:P103"/>
    <mergeCell ref="Q103:T103"/>
    <mergeCell ref="U103:X103"/>
    <mergeCell ref="Y103:Z103"/>
    <mergeCell ref="G104:P104"/>
    <mergeCell ref="Q104:T105"/>
    <mergeCell ref="U104:X105"/>
    <mergeCell ref="G105:P105"/>
    <mergeCell ref="G106:P106"/>
    <mergeCell ref="Q106:T107"/>
    <mergeCell ref="U106:X107"/>
    <mergeCell ref="G107:P107"/>
    <mergeCell ref="Q108:T108"/>
    <mergeCell ref="U108:X108"/>
    <mergeCell ref="U73:Z73"/>
    <mergeCell ref="D74:O74"/>
    <mergeCell ref="P74:T74"/>
    <mergeCell ref="U74:Z74"/>
    <mergeCell ref="D75:O75"/>
    <mergeCell ref="P75:T75"/>
    <mergeCell ref="U75:Z75"/>
    <mergeCell ref="D76:O76"/>
    <mergeCell ref="P76:T76"/>
    <mergeCell ref="U76:Z76"/>
    <mergeCell ref="A9:AA9"/>
    <mergeCell ref="A12:AA13"/>
    <mergeCell ref="D53:H53"/>
    <mergeCell ref="Y102:Z102"/>
    <mergeCell ref="Q102:T102"/>
    <mergeCell ref="D54:N54"/>
    <mergeCell ref="O54:Q54"/>
    <mergeCell ref="S54:T54"/>
    <mergeCell ref="V54:W54"/>
    <mergeCell ref="A10:AA10"/>
    <mergeCell ref="D92:H92"/>
    <mergeCell ref="I92:X92"/>
    <mergeCell ref="I35:X35"/>
    <mergeCell ref="D34:H35"/>
    <mergeCell ref="I34:L34"/>
    <mergeCell ref="M34:X34"/>
    <mergeCell ref="I37:N37"/>
    <mergeCell ref="M38:Q39"/>
    <mergeCell ref="D38:H39"/>
    <mergeCell ref="D50:H50"/>
    <mergeCell ref="I41:K41"/>
    <mergeCell ref="U102:X102"/>
    <mergeCell ref="I53:N53"/>
    <mergeCell ref="D101:P101"/>
    <mergeCell ref="C138:N139"/>
    <mergeCell ref="Q138:AA139"/>
    <mergeCell ref="Y127:AA128"/>
    <mergeCell ref="Q135:AA136"/>
    <mergeCell ref="U109:X109"/>
    <mergeCell ref="I48:X48"/>
    <mergeCell ref="F109:P109"/>
    <mergeCell ref="D100:P100"/>
    <mergeCell ref="Y107:Z107"/>
    <mergeCell ref="E102:P102"/>
    <mergeCell ref="D49:H49"/>
    <mergeCell ref="U60:Z60"/>
    <mergeCell ref="U63:Z63"/>
    <mergeCell ref="U58:Z58"/>
    <mergeCell ref="U100:X101"/>
    <mergeCell ref="Q100:T100"/>
    <mergeCell ref="B96:AA97"/>
    <mergeCell ref="Y100:AA101"/>
    <mergeCell ref="Q101:T101"/>
    <mergeCell ref="D72:O72"/>
    <mergeCell ref="P72:T72"/>
    <mergeCell ref="U72:Z72"/>
    <mergeCell ref="D73:O73"/>
    <mergeCell ref="P73:T73"/>
    <mergeCell ref="H158:N158"/>
    <mergeCell ref="O158:Z158"/>
    <mergeCell ref="B156:G156"/>
    <mergeCell ref="H156:N156"/>
    <mergeCell ref="B157:G158"/>
    <mergeCell ref="O156:Z156"/>
    <mergeCell ref="H157:N157"/>
    <mergeCell ref="O157:Z157"/>
    <mergeCell ref="I42:X42"/>
    <mergeCell ref="I46:X46"/>
    <mergeCell ref="D46:H46"/>
    <mergeCell ref="D45:H45"/>
    <mergeCell ref="L45:U45"/>
    <mergeCell ref="D48:H48"/>
    <mergeCell ref="I49:X49"/>
    <mergeCell ref="I50:X50"/>
    <mergeCell ref="Y147:Z147"/>
    <mergeCell ref="Y145:AA146"/>
    <mergeCell ref="C142:Z143"/>
    <mergeCell ref="Q132:AA133"/>
    <mergeCell ref="C135:N136"/>
    <mergeCell ref="Y110:Z110"/>
    <mergeCell ref="Q109:T109"/>
    <mergeCell ref="Y129:Z129"/>
    <mergeCell ref="V38:W38"/>
    <mergeCell ref="V39:W39"/>
    <mergeCell ref="R38:U38"/>
    <mergeCell ref="R39:U39"/>
    <mergeCell ref="S43:T43"/>
    <mergeCell ref="S44:T44"/>
    <mergeCell ref="V40:W40"/>
    <mergeCell ref="D43:H44"/>
    <mergeCell ref="L38:L39"/>
    <mergeCell ref="I40:N40"/>
    <mergeCell ref="S40:U40"/>
    <mergeCell ref="V43:W43"/>
    <mergeCell ref="N44:Q44"/>
    <mergeCell ref="I44:M44"/>
    <mergeCell ref="V44:W44"/>
    <mergeCell ref="I38:K39"/>
    <mergeCell ref="N43:Q43"/>
    <mergeCell ref="I43:M43"/>
    <mergeCell ref="D40:H40"/>
    <mergeCell ref="D42:H42"/>
    <mergeCell ref="H15:I15"/>
    <mergeCell ref="K15:L15"/>
    <mergeCell ref="N19:Z19"/>
    <mergeCell ref="N20:Z20"/>
    <mergeCell ref="N18:Z18"/>
    <mergeCell ref="O17:Z17"/>
    <mergeCell ref="O37:R37"/>
    <mergeCell ref="W37:X37"/>
    <mergeCell ref="S37:V37"/>
    <mergeCell ref="C27:AA28"/>
    <mergeCell ref="E15:F15"/>
    <mergeCell ref="A23:AA23"/>
    <mergeCell ref="D36:H36"/>
    <mergeCell ref="I36:X36"/>
    <mergeCell ref="D37:H37"/>
    <mergeCell ref="C174:E174"/>
    <mergeCell ref="H192:AA193"/>
    <mergeCell ref="N180:S180"/>
    <mergeCell ref="H172:AA174"/>
    <mergeCell ref="B164:X165"/>
    <mergeCell ref="H178:O178"/>
    <mergeCell ref="H179:O179"/>
    <mergeCell ref="P178:AA178"/>
    <mergeCell ref="P179:AA179"/>
    <mergeCell ref="C166:AA167"/>
    <mergeCell ref="Y163:AA164"/>
    <mergeCell ref="Y165:Z165"/>
    <mergeCell ref="N188:P188"/>
    <mergeCell ref="N189:P189"/>
    <mergeCell ref="C175:AA175"/>
    <mergeCell ref="C179:E179"/>
    <mergeCell ref="C186:E186"/>
    <mergeCell ref="C182:AA182"/>
    <mergeCell ref="N181:P181"/>
    <mergeCell ref="C247:AA247"/>
    <mergeCell ref="C248:AA248"/>
    <mergeCell ref="C249:AA249"/>
    <mergeCell ref="D231:S231"/>
    <mergeCell ref="T231:V231"/>
    <mergeCell ref="D232:S232"/>
    <mergeCell ref="T232:V232"/>
    <mergeCell ref="C250:AA250"/>
    <mergeCell ref="C265:AA265"/>
    <mergeCell ref="C255:AA255"/>
    <mergeCell ref="C257:AA257"/>
    <mergeCell ref="C258:AA258"/>
    <mergeCell ref="C259:AA259"/>
    <mergeCell ref="C260:AA260"/>
    <mergeCell ref="C264:AA264"/>
    <mergeCell ref="C261:AA261"/>
    <mergeCell ref="C262:AA262"/>
    <mergeCell ref="C263:AA263"/>
    <mergeCell ref="C252:AA252"/>
    <mergeCell ref="C256:AA256"/>
    <mergeCell ref="A279:AA279"/>
    <mergeCell ref="P275:S275"/>
    <mergeCell ref="J273:O273"/>
    <mergeCell ref="P273:AA273"/>
    <mergeCell ref="J274:O274"/>
    <mergeCell ref="P274:AA274"/>
    <mergeCell ref="C217:G217"/>
    <mergeCell ref="T275:AA275"/>
    <mergeCell ref="C251:AA251"/>
    <mergeCell ref="C254:AA254"/>
    <mergeCell ref="C253:AA253"/>
    <mergeCell ref="C246:AA246"/>
    <mergeCell ref="J275:O277"/>
    <mergeCell ref="T276:Y276"/>
    <mergeCell ref="Z276:AA276"/>
    <mergeCell ref="P277:S277"/>
    <mergeCell ref="T277:AA277"/>
    <mergeCell ref="P276:S276"/>
    <mergeCell ref="B225:E225"/>
    <mergeCell ref="A270:AA271"/>
    <mergeCell ref="K227:M228"/>
    <mergeCell ref="H217:AA221"/>
    <mergeCell ref="C222:L223"/>
    <mergeCell ref="N223:P223"/>
    <mergeCell ref="N195:P195"/>
    <mergeCell ref="R188:U188"/>
    <mergeCell ref="H200:AA202"/>
    <mergeCell ref="N205:P205"/>
    <mergeCell ref="C194:E194"/>
    <mergeCell ref="C202:E202"/>
    <mergeCell ref="C213:AA215"/>
    <mergeCell ref="C224:AA224"/>
    <mergeCell ref="I195:L195"/>
    <mergeCell ref="C219:E219"/>
    <mergeCell ref="R189:U189"/>
    <mergeCell ref="V188:Z188"/>
    <mergeCell ref="V189:Z189"/>
    <mergeCell ref="H210:AA211"/>
    <mergeCell ref="N212:P212"/>
    <mergeCell ref="C196:AA198"/>
    <mergeCell ref="H203:O203"/>
    <mergeCell ref="P203:AA203"/>
    <mergeCell ref="H204:O204"/>
    <mergeCell ref="P204:AA204"/>
    <mergeCell ref="C212:E212"/>
    <mergeCell ref="C206:AA208"/>
  </mergeCells>
  <phoneticPr fontId="1"/>
  <conditionalFormatting sqref="B27 O156:Z158">
    <cfRule type="containsBlanks" dxfId="93" priority="228">
      <formula>LEN(TRIM(B27))=0</formula>
    </cfRule>
  </conditionalFormatting>
  <conditionalFormatting sqref="B29">
    <cfRule type="containsBlanks" dxfId="92" priority="229">
      <formula>LEN(TRIM(B29))=0</formula>
    </cfRule>
  </conditionalFormatting>
  <conditionalFormatting sqref="B47">
    <cfRule type="containsBlanks" dxfId="91" priority="230">
      <formula>LEN(TRIM(B47))=0</formula>
    </cfRule>
  </conditionalFormatting>
  <conditionalFormatting sqref="B52">
    <cfRule type="containsBlanks" dxfId="90" priority="231">
      <formula>LEN(TRIM(B52))=0</formula>
    </cfRule>
  </conditionalFormatting>
  <conditionalFormatting sqref="B56">
    <cfRule type="containsBlanks" dxfId="89" priority="232">
      <formula>LEN(TRIM(B56))=0</formula>
    </cfRule>
  </conditionalFormatting>
  <conditionalFormatting sqref="B58">
    <cfRule type="containsBlanks" dxfId="88" priority="49">
      <formula>LEN(TRIM(B58))=0</formula>
    </cfRule>
  </conditionalFormatting>
  <conditionalFormatting sqref="B60">
    <cfRule type="containsBlanks" dxfId="87" priority="47">
      <formula>LEN(TRIM(B60))=0</formula>
    </cfRule>
  </conditionalFormatting>
  <conditionalFormatting sqref="B63">
    <cfRule type="containsBlanks" dxfId="86" priority="46">
      <formula>LEN(TRIM(B63))=0</formula>
    </cfRule>
  </conditionalFormatting>
  <conditionalFormatting sqref="B66">
    <cfRule type="containsBlanks" dxfId="85" priority="43">
      <formula>LEN(TRIM(B66))=0</formula>
    </cfRule>
  </conditionalFormatting>
  <conditionalFormatting sqref="B69">
    <cfRule type="containsBlanks" dxfId="84" priority="34">
      <formula>LEN(TRIM(B69))=0</formula>
    </cfRule>
  </conditionalFormatting>
  <conditionalFormatting sqref="B79">
    <cfRule type="containsBlanks" dxfId="83" priority="48">
      <formula>LEN(TRIM(B79))=0</formula>
    </cfRule>
  </conditionalFormatting>
  <conditionalFormatting sqref="B81">
    <cfRule type="containsBlanks" dxfId="82" priority="51">
      <formula>LEN(TRIM(B81))=0</formula>
    </cfRule>
  </conditionalFormatting>
  <conditionalFormatting sqref="B83">
    <cfRule type="containsBlanks" dxfId="81" priority="8">
      <formula>LEN(TRIM(B83))=0</formula>
    </cfRule>
  </conditionalFormatting>
  <conditionalFormatting sqref="B85">
    <cfRule type="containsBlanks" dxfId="80" priority="55">
      <formula>LEN(TRIM(B85))=0</formula>
    </cfRule>
  </conditionalFormatting>
  <conditionalFormatting sqref="B89">
    <cfRule type="containsBlanks" dxfId="79" priority="234">
      <formula>LEN(TRIM(B89))=0</formula>
    </cfRule>
  </conditionalFormatting>
  <conditionalFormatting sqref="B91">
    <cfRule type="containsBlanks" dxfId="78" priority="235">
      <formula>LEN(TRIM(B91))=0</formula>
    </cfRule>
  </conditionalFormatting>
  <conditionalFormatting sqref="B95">
    <cfRule type="containsBlanks" dxfId="77" priority="227">
      <formula>LEN(TRIM(B95))=0</formula>
    </cfRule>
  </conditionalFormatting>
  <conditionalFormatting sqref="B131">
    <cfRule type="containsBlanks" dxfId="76" priority="203">
      <formula>LEN(TRIM(B131))=0</formula>
    </cfRule>
  </conditionalFormatting>
  <conditionalFormatting sqref="B148">
    <cfRule type="containsBlanks" dxfId="75" priority="208">
      <formula>LEN(TRIM(B148))=0</formula>
    </cfRule>
  </conditionalFormatting>
  <conditionalFormatting sqref="B151">
    <cfRule type="containsBlanks" dxfId="74" priority="209">
      <formula>LEN(TRIM(B151))=0</formula>
    </cfRule>
  </conditionalFormatting>
  <conditionalFormatting sqref="B153">
    <cfRule type="containsBlanks" dxfId="73" priority="50">
      <formula>LEN(TRIM(B153))=0</formula>
    </cfRule>
  </conditionalFormatting>
  <conditionalFormatting sqref="B169">
    <cfRule type="containsBlanks" dxfId="72" priority="210">
      <formula>LEN(TRIM(B169))=0</formula>
    </cfRule>
  </conditionalFormatting>
  <conditionalFormatting sqref="B172">
    <cfRule type="containsBlanks" dxfId="71" priority="211">
      <formula>LEN(TRIM(B172))=0</formula>
    </cfRule>
  </conditionalFormatting>
  <conditionalFormatting sqref="B177">
    <cfRule type="containsBlanks" dxfId="70" priority="212">
      <formula>LEN(TRIM(B177))=0</formula>
    </cfRule>
  </conditionalFormatting>
  <conditionalFormatting sqref="B184">
    <cfRule type="containsBlanks" dxfId="69" priority="213">
      <formula>LEN(TRIM(B184))=0</formula>
    </cfRule>
  </conditionalFormatting>
  <conditionalFormatting sqref="B192">
    <cfRule type="containsBlanks" dxfId="68" priority="219">
      <formula>LEN(TRIM(B192))=0</formula>
    </cfRule>
  </conditionalFormatting>
  <conditionalFormatting sqref="B200">
    <cfRule type="containsBlanks" dxfId="67" priority="225">
      <formula>LEN(TRIM(B200))=0</formula>
    </cfRule>
  </conditionalFormatting>
  <conditionalFormatting sqref="B210">
    <cfRule type="containsBlanks" dxfId="66" priority="223">
      <formula>LEN(TRIM(B210))=0</formula>
    </cfRule>
  </conditionalFormatting>
  <conditionalFormatting sqref="B217">
    <cfRule type="containsBlanks" dxfId="65" priority="217">
      <formula>LEN(TRIM(B217))=0</formula>
    </cfRule>
  </conditionalFormatting>
  <conditionalFormatting sqref="D73:Z77">
    <cfRule type="cellIs" dxfId="64" priority="2" operator="equal">
      <formula>""</formula>
    </cfRule>
  </conditionalFormatting>
  <conditionalFormatting sqref="E15">
    <cfRule type="containsBlanks" dxfId="63" priority="115">
      <formula>LEN(TRIM(E15))=0</formula>
    </cfRule>
  </conditionalFormatting>
  <conditionalFormatting sqref="H15">
    <cfRule type="containsBlanks" dxfId="62" priority="117">
      <formula>LEN(TRIM(H15))=0</formula>
    </cfRule>
  </conditionalFormatting>
  <conditionalFormatting sqref="I35:I38">
    <cfRule type="containsBlanks" dxfId="61" priority="33">
      <formula>LEN(TRIM(I35))=0</formula>
    </cfRule>
  </conditionalFormatting>
  <conditionalFormatting sqref="I40">
    <cfRule type="containsBlanks" dxfId="60" priority="60">
      <formula>LEN(TRIM(I40))=0</formula>
    </cfRule>
  </conditionalFormatting>
  <conditionalFormatting sqref="I53:N53">
    <cfRule type="containsBlanks" dxfId="59" priority="107">
      <formula>LEN(TRIM(I53))=0</formula>
    </cfRule>
  </conditionalFormatting>
  <conditionalFormatting sqref="I46:X46">
    <cfRule type="expression" dxfId="58" priority="196">
      <formula>AND($I$42="その他",$I$46="")</formula>
    </cfRule>
  </conditionalFormatting>
  <conditionalFormatting sqref="I71:X71">
    <cfRule type="expression" dxfId="57" priority="7">
      <formula>AND($I$42="その他",#REF!="")</formula>
    </cfRule>
  </conditionalFormatting>
  <conditionalFormatting sqref="I92:X92">
    <cfRule type="containsBlanks" dxfId="56" priority="75">
      <formula>LEN(TRIM(I92))=0</formula>
    </cfRule>
  </conditionalFormatting>
  <conditionalFormatting sqref="K15">
    <cfRule type="containsBlanks" dxfId="55" priority="116">
      <formula>LEN(TRIM(K15))=0</formula>
    </cfRule>
  </conditionalFormatting>
  <conditionalFormatting sqref="L41 Q41">
    <cfRule type="containsBlanks" dxfId="54" priority="195">
      <formula>LEN(TRIM(L41))=0</formula>
    </cfRule>
  </conditionalFormatting>
  <conditionalFormatting sqref="L45">
    <cfRule type="containsBlanks" dxfId="53" priority="28">
      <formula>LEN(TRIM(L45))=0</formula>
    </cfRule>
  </conditionalFormatting>
  <conditionalFormatting sqref="N181:P181">
    <cfRule type="containsBlanks" dxfId="52" priority="215">
      <formula>LEN(TRIM(N181))=0</formula>
    </cfRule>
  </conditionalFormatting>
  <conditionalFormatting sqref="N188:P189">
    <cfRule type="containsBlanks" dxfId="51" priority="216">
      <formula>LEN(TRIM(N188))=0</formula>
    </cfRule>
  </conditionalFormatting>
  <conditionalFormatting sqref="N195:P195">
    <cfRule type="containsBlanks" dxfId="50" priority="220">
      <formula>LEN(TRIM(N195))=0</formula>
    </cfRule>
  </conditionalFormatting>
  <conditionalFormatting sqref="N205:P205">
    <cfRule type="containsBlanks" dxfId="49" priority="221">
      <formula>LEN(TRIM(N205))=0</formula>
    </cfRule>
  </conditionalFormatting>
  <conditionalFormatting sqref="N212:P212">
    <cfRule type="containsBlanks" dxfId="48" priority="222">
      <formula>LEN(TRIM(N212))=0</formula>
    </cfRule>
  </conditionalFormatting>
  <conditionalFormatting sqref="N223:P223">
    <cfRule type="containsBlanks" dxfId="47" priority="224">
      <formula>LEN(TRIM(N223))=0</formula>
    </cfRule>
  </conditionalFormatting>
  <conditionalFormatting sqref="N43:Q44">
    <cfRule type="containsBlanks" dxfId="46" priority="101">
      <formula>LEN(TRIM(N43))=0</formula>
    </cfRule>
  </conditionalFormatting>
  <conditionalFormatting sqref="N180:S180">
    <cfRule type="containsBlanks" dxfId="45" priority="214">
      <formula>LEN(TRIM(N180))=0</formula>
    </cfRule>
  </conditionalFormatting>
  <conditionalFormatting sqref="O54">
    <cfRule type="containsBlanks" dxfId="44" priority="54">
      <formula>LEN(TRIM(O54))=0</formula>
    </cfRule>
  </conditionalFormatting>
  <conditionalFormatting sqref="O17:Z17 N18:Z20 M34 I42:X42 I48:X50">
    <cfRule type="containsBlanks" dxfId="43" priority="201">
      <formula>LEN(TRIM(I17))=0</formula>
    </cfRule>
  </conditionalFormatting>
  <conditionalFormatting sqref="P72:P77">
    <cfRule type="expression" dxfId="42" priority="3">
      <formula>AND($I$42="その他",#REF!="")</formula>
    </cfRule>
  </conditionalFormatting>
  <conditionalFormatting sqref="P131">
    <cfRule type="containsBlanks" dxfId="41" priority="204">
      <formula>LEN(TRIM(P131))=0</formula>
    </cfRule>
  </conditionalFormatting>
  <conditionalFormatting sqref="P273:AA274">
    <cfRule type="containsBlanks" dxfId="40" priority="77">
      <formula>LEN(TRIM(P273))=0</formula>
    </cfRule>
  </conditionalFormatting>
  <conditionalFormatting sqref="Q101:Q104 Q106 Q108:Q109">
    <cfRule type="containsBlanks" dxfId="39" priority="27">
      <formula>LEN(TRIM(Q101))=0</formula>
    </cfRule>
  </conditionalFormatting>
  <conditionalFormatting sqref="R188:U189">
    <cfRule type="containsBlanks" dxfId="38" priority="218">
      <formula>LEN(TRIM(R188))=0</formula>
    </cfRule>
  </conditionalFormatting>
  <conditionalFormatting sqref="S37">
    <cfRule type="containsBlanks" dxfId="37" priority="125">
      <formula>LEN(TRIM(S37))=0</formula>
    </cfRule>
  </conditionalFormatting>
  <conditionalFormatting sqref="S43:S44 V43:V44">
    <cfRule type="containsBlanks" dxfId="36" priority="102">
      <formula>LEN(TRIM(S43))=0</formula>
    </cfRule>
  </conditionalFormatting>
  <conditionalFormatting sqref="S54 V54">
    <cfRule type="containsBlanks" dxfId="35" priority="53">
      <formula>LEN(TRIM(S54))=0</formula>
    </cfRule>
  </conditionalFormatting>
  <conditionalFormatting sqref="T275:AA275 T276 Z276 T277:AA277">
    <cfRule type="containsBlanks" dxfId="34" priority="76">
      <formula>LEN(TRIM(T275))=0</formula>
    </cfRule>
  </conditionalFormatting>
  <conditionalFormatting sqref="U72:U77">
    <cfRule type="expression" dxfId="33" priority="4">
      <formula>AND($I$42="その他",#REF!="")</formula>
    </cfRule>
  </conditionalFormatting>
  <conditionalFormatting sqref="U103">
    <cfRule type="expression" dxfId="32" priority="15">
      <formula>$I$37="併用住宅"</formula>
    </cfRule>
    <cfRule type="expression" dxfId="31" priority="16">
      <formula>AND($I$37="併用住宅",$U$103="")</formula>
    </cfRule>
  </conditionalFormatting>
  <conditionalFormatting sqref="U100:X102">
    <cfRule type="expression" dxfId="30" priority="17">
      <formula>$I$37="併用住宅"</formula>
    </cfRule>
  </conditionalFormatting>
  <conditionalFormatting sqref="U102:X102">
    <cfRule type="expression" dxfId="29" priority="18">
      <formula>AND($I$37="併用住宅",$U$102="")</formula>
    </cfRule>
  </conditionalFormatting>
  <conditionalFormatting sqref="U104:X105">
    <cfRule type="expression" dxfId="28" priority="13">
      <formula>AND($I$37="併用住宅",$U$104="")</formula>
    </cfRule>
  </conditionalFormatting>
  <conditionalFormatting sqref="U104:X107">
    <cfRule type="expression" dxfId="27" priority="10">
      <formula>$I$37="併用住宅"</formula>
    </cfRule>
  </conditionalFormatting>
  <conditionalFormatting sqref="U106:X107">
    <cfRule type="expression" dxfId="26" priority="9">
      <formula>AND($I$37="併用住宅",$U$106="")</formula>
    </cfRule>
  </conditionalFormatting>
  <conditionalFormatting sqref="U108:X108">
    <cfRule type="expression" dxfId="25" priority="19">
      <formula>$I$37="併用住宅"</formula>
    </cfRule>
    <cfRule type="expression" dxfId="24" priority="21">
      <formula>AND($I$37="併用住宅",$U$108="")</formula>
    </cfRule>
  </conditionalFormatting>
  <conditionalFormatting sqref="U109:X109">
    <cfRule type="expression" dxfId="23" priority="12">
      <formula>$I$37="併用住宅"</formula>
    </cfRule>
    <cfRule type="expression" dxfId="22" priority="11">
      <formula>AND($I$37="併用住宅",$U$109="")</formula>
    </cfRule>
  </conditionalFormatting>
  <conditionalFormatting sqref="U58:Z58">
    <cfRule type="cellIs" dxfId="21" priority="42" operator="equal">
      <formula>""</formula>
    </cfRule>
  </conditionalFormatting>
  <conditionalFormatting sqref="U60:Z60">
    <cfRule type="cellIs" dxfId="20" priority="44" operator="equal">
      <formula>""</formula>
    </cfRule>
  </conditionalFormatting>
  <conditionalFormatting sqref="U63:Z63">
    <cfRule type="cellIs" dxfId="19" priority="45" operator="equal">
      <formula>""</formula>
    </cfRule>
  </conditionalFormatting>
  <conditionalFormatting sqref="V40:V41">
    <cfRule type="containsBlanks" dxfId="18" priority="120">
      <formula>LEN(TRIM(V40))=0</formula>
    </cfRule>
  </conditionalFormatting>
  <conditionalFormatting sqref="V38:W38">
    <cfRule type="expression" dxfId="17" priority="189">
      <formula>AND($I$37="併用住宅",$V$38="")</formula>
    </cfRule>
  </conditionalFormatting>
  <conditionalFormatting sqref="V39:W39">
    <cfRule type="expression" dxfId="16" priority="188">
      <formula>AND($I$37="併用住宅",$V$39="")</formula>
    </cfRule>
  </conditionalFormatting>
  <conditionalFormatting sqref="V188:Z188">
    <cfRule type="expression" dxfId="15" priority="70">
      <formula>"$R$158=""その他のこて塗り"""</formula>
    </cfRule>
    <cfRule type="expression" dxfId="14" priority="69">
      <formula>AND($R$188="その他のこて塗り",$V$188="")</formula>
    </cfRule>
  </conditionalFormatting>
  <conditionalFormatting sqref="V189:Z189">
    <cfRule type="expression" dxfId="13" priority="68">
      <formula>AND($R$189="その他のこて塗り",$V$189="")</formula>
    </cfRule>
  </conditionalFormatting>
  <dataValidations count="35">
    <dataValidation type="whole" operator="greaterThanOrEqual" allowBlank="1" showInputMessage="1" error="1か所以上が必須です。" sqref="V41 L41 Q41" xr:uid="{00000000-0002-0000-0000-000000000000}">
      <formula1>1</formula1>
    </dataValidation>
    <dataValidation type="list" allowBlank="1" showInput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xr:uid="{00000000-0002-0000-0000-000005000000}">
      <formula1>10</formula1>
      <formula2>Q101</formula2>
    </dataValidation>
    <dataValidation type="list" allowBlank="1" showInputMessage="1" showErrorMessage="1" sqref="N195:P195" xr:uid="{00000000-0002-0000-0000-000006000000}">
      <formula1>"　,和瓦,平板瓦,S瓦,"</formula1>
    </dataValidation>
    <dataValidation type="list" allowBlank="1" showInputMessage="1" showErrorMessage="1" sqref="N180:S180" xr:uid="{00000000-0002-0000-0000-000007000000}">
      <formula1>"ささら子下見板,押縁下見板,南京下見板,"</formula1>
    </dataValidation>
    <dataValidation type="list" allowBlank="1" showInput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5:I15" xr:uid="{00000000-0002-0000-0000-000009000000}">
      <formula1>"1,2,3,4,5,6,7,8,9,10,11,12,"</formula1>
    </dataValidation>
    <dataValidation type="list" allowBlank="1" showInputMessage="1" sqref="V40:W40" xr:uid="{00000000-0002-0000-0000-00000A000000}">
      <formula1>"1,2,3,"</formula1>
    </dataValidation>
    <dataValidation type="list" allowBlank="1" showInputMessage="1" showErrorMessage="1" sqref="K15:L15" xr:uid="{00000000-0002-0000-0000-00000B000000}">
      <formula1>"1,2,3,4,5,6,7,8,9,10,11,12,13,14,15,16,17,18,19,20,21,22,23,24,25,26,27,28,29,30,31, "</formula1>
    </dataValidation>
    <dataValidation type="list" allowBlank="1" showInputMessage="1" sqref="I53:N53" xr:uid="{00000000-0002-0000-0000-00000D000000}">
      <formula1>"要,不要,"</formula1>
    </dataValidation>
    <dataValidation type="list" allowBlank="1" showInputMessage="1" sqref="V54:W54 V43:W44" xr:uid="{00000000-0002-0000-0000-00000E000000}">
      <formula1>"1,2,3,4,5,6,7,8,9,10,11,12,13,14,15,16,17,18,19,20,21,22,23,24,25,26,27,28,29,30,31,"</formula1>
    </dataValidation>
    <dataValidation type="list" allowBlank="1" showInputMessage="1" showErrorMessage="1" sqref="B27 B29 B47 B52 B56 B89 B85 B91 B95 B131 P131 B169 B172 B177 B184 B192 B200 B210 B217 B81 B151 B153 B58 B66 B79 B60 B63 B69 B83 B148" xr:uid="{00000000-0002-0000-0000-00000F000000}">
      <formula1>"✔,"</formula1>
    </dataValidation>
    <dataValidation type="list" allowBlank="1" showInputMessage="1" sqref="T275:AA275" xr:uid="{00000000-0002-0000-0000-000010000000}">
      <formula1>"一級建築士事務所,二級建築士事務所,木造建築士事務所"</formula1>
    </dataValidation>
    <dataValidation type="list" allowBlank="1" showInputMessage="1" showErrorMessage="1" sqref="J273:O273" xr:uid="{00000000-0002-0000-0000-000011000000}">
      <formula1>"工事監理者氏名,工事施工者氏名"</formula1>
    </dataValidation>
    <dataValidation type="whole" allowBlank="1" showInputMessage="1" showErrorMessage="1" error="整数値（小数点以下切捨て）を入力してください。" sqref="Q109:T109" xr:uid="{00000000-0002-0000-0000-000012000000}">
      <formula1>0</formula1>
      <formula2>1000000</formula2>
    </dataValidation>
    <dataValidation type="list" allowBlank="1" showInputMessage="1" showErrorMessage="1" sqref="R188:U188" xr:uid="{00000000-0002-0000-0000-000013000000}">
      <formula1>"　,モルタル塗,漆喰塗,土壁塗,そとん壁,その他のこて塗り"</formula1>
    </dataValidation>
    <dataValidation type="list" allowBlank="1" showInputMessage="1" showErrorMessage="1" sqref="R189:U189" xr:uid="{00000000-0002-0000-0000-000014000000}">
      <formula1>"　,珪藻土塗,じゅらく塗,その他のこて塗り"</formula1>
    </dataValidation>
    <dataValidation type="list" allowBlank="1" showInputMessage="1" showErrorMessage="1" sqref="AC251 AC266:AC268" xr:uid="{00000000-0002-0000-0000-000015000000}">
      <formula1>"はい,いいえ"</formula1>
    </dataValidation>
    <dataValidation type="list" allowBlank="1" showInputMessage="1" showErrorMessage="1" sqref="U63:Z63" xr:uid="{00000000-0002-0000-0000-000017000000}">
      <formula1>"『ZEH』,Nearly ZEH（多雪地域に限る）,ZEH Oriented（補助対象外）"</formula1>
    </dataValidation>
    <dataValidation type="list" allowBlank="1" showInputMessage="1" showErrorMessage="1" sqref="U60:Z60" xr:uid="{00000000-0002-0000-0000-000018000000}">
      <formula1>"太陽光発電（自家設置）,太陽光発電（リース）,太陽光発電（PPA）,太陽熱利用設備,バイオマス利用設備,地中熱利用設備,その他"</formula1>
    </dataValidation>
    <dataValidation type="list" allowBlank="1" showInputMessage="1" showErrorMessage="1" sqref="U58:Z58" xr:uid="{00000000-0002-0000-0000-000019000000}">
      <formula1>"T-G1,T-G2,T-G3"</formula1>
    </dataValidation>
    <dataValidation type="list" allowBlank="1" showInputMessage="1" showErrorMessage="1" sqref="E15:F15" xr:uid="{00000000-0002-0000-0000-00001A000000}">
      <formula1>"5,6,7,8,9,10,"</formula1>
    </dataValidation>
    <dataValidation type="whole" showInputMessage="1" showErrorMessage="1" errorTitle="エラー" error="県産材の使用材積以下の整数値（小数点以下切捨て）を入力してください。_x000a_" sqref="Q106:T107" xr:uid="{00000000-0002-0000-0000-00001B000000}">
      <formula1>0</formula1>
      <formula2>Q103</formula2>
    </dataValidation>
    <dataValidation type="whole" showInputMessage="1" showErrorMessage="1" errorTitle="エラー" error="県産材の使用材積以下の整数値（小数点以下切捨て）を入力してください。_x000a_" sqref="Q103:T105" xr:uid="{00000000-0002-0000-0000-00001C000000}">
      <formula1>0</formula1>
      <formula2>Q102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8 U102:X102" xr:uid="{00000000-0002-0000-0000-00001D000000}">
      <formula1>0</formula1>
      <formula2>MIN(Q102,U96)</formula2>
    </dataValidation>
    <dataValidation type="whole" allowBlank="1" showInputMessage="1" showErrorMessage="1" error="県産材の使用材積以下の整数値（小数点以下切捨て）を入力してください。_x000a_" sqref="Q108:T108" xr:uid="{00000000-0002-0000-0000-00001E000000}">
      <formula1>0</formula1>
      <formula2>Q102</formula2>
    </dataValidation>
    <dataValidation type="whole" allowBlank="1" showInputMessage="1" showErrorMessage="1" errorTitle="エラー" error="併用住宅全体の県産内外装材、県産木塀の見付面積以下の整数値（小数点以下切捨て）を入力してください。" sqref="U109:X109" xr:uid="{00000000-0002-0000-0000-00001F000000}">
      <formula1>0</formula1>
      <formula2>Q109</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0000000}">
      <formula1>0</formula1>
      <formula2>MIN(U103,Q104)</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21000000}">
      <formula1>0</formula1>
      <formula2>MIN(U103,Q106)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xr:uid="{00000000-0002-0000-0000-000022000000}">
      <formula1>0</formula1>
      <formula2>MIN(Q103,U102)</formula2>
    </dataValidation>
    <dataValidation type="list" allowBlank="1" showInputMessage="1" sqref="I37:N37" xr:uid="{02E97119-CF9F-4394-BE73-333F4B9F7C4D}">
      <formula1>"専用住宅,併用住宅"</formula1>
    </dataValidation>
    <dataValidation type="list" allowBlank="1" showInputMessage="1" sqref="N43:Q44" xr:uid="{79AEC473-9117-4A66-9F53-B275D55243A2}">
      <formula1>"5,6,7,8,9,10,"</formula1>
    </dataValidation>
    <dataValidation type="list" allowBlank="1" showInputMessage="1" sqref="S43:T44 S54:T54" xr:uid="{36E5F0BF-3EA9-4865-AAE5-2AA97EAFF06B}">
      <formula1>"1,2,3,4,5,6,7,8,9,10,11,12,"</formula1>
    </dataValidation>
    <dataValidation type="list" allowBlank="1" showInputMessage="1" sqref="O54:Q54" xr:uid="{0DDFDF32-7769-4A14-A04D-E289E6DDF416}">
      <formula1>"2,3,4,5,6,7,8,9,10,"</formula1>
    </dataValidation>
  </dataValidations>
  <printOptions horizontalCentered="1"/>
  <pageMargins left="0.70866141732283472" right="0.70866141732283472" top="0.47244094488188981" bottom="0.23622047244094491" header="0.31496062992125984" footer="0.31496062992125984"/>
  <pageSetup paperSize="9" scale="90" orientation="portrait" verticalDpi="1200" r:id="rId1"/>
  <rowBreaks count="3" manualBreakCount="3">
    <brk id="87" max="26" man="1"/>
    <brk id="162" max="26" man="1"/>
    <brk id="226"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151</v>
      </c>
    </row>
    <row r="5" spans="1:6" ht="14.4" x14ac:dyDescent="0.2">
      <c r="A5" s="462" t="s">
        <v>141</v>
      </c>
      <c r="B5" s="462"/>
      <c r="C5" s="462"/>
      <c r="D5" s="462"/>
      <c r="E5" s="462"/>
    </row>
    <row r="7" spans="1:6" ht="38.25" customHeight="1" x14ac:dyDescent="0.2">
      <c r="C7" s="5" t="s">
        <v>39</v>
      </c>
      <c r="D7" s="298" t="str">
        <f>IF(【様式第６号】事業報告書兼チェックシート!N18="","",【様式第６号】事業報告書兼チェックシート!N18)</f>
        <v/>
      </c>
      <c r="E7" s="298"/>
    </row>
    <row r="8" spans="1:6" x14ac:dyDescent="0.2">
      <c r="C8" s="5" t="s">
        <v>40</v>
      </c>
      <c r="D8" s="308" t="str">
        <f>IF(【様式第６号】事業報告書兼チェックシート!N19="","",【様式第６号】事業報告書兼チェックシート!N19)</f>
        <v/>
      </c>
      <c r="E8" s="308"/>
    </row>
    <row r="10" spans="1:6" x14ac:dyDescent="0.2">
      <c r="A10" s="1" t="s">
        <v>34</v>
      </c>
    </row>
    <row r="11" spans="1:6" x14ac:dyDescent="0.2">
      <c r="A11" s="1" t="s">
        <v>35</v>
      </c>
    </row>
    <row r="13" spans="1:6" x14ac:dyDescent="0.2">
      <c r="B13" s="91" t="s">
        <v>33</v>
      </c>
      <c r="C13" s="91" t="s">
        <v>5</v>
      </c>
      <c r="D13" s="91" t="s">
        <v>38</v>
      </c>
    </row>
    <row r="14" spans="1:6" ht="28.35" customHeight="1" x14ac:dyDescent="0.2">
      <c r="A14" s="39" t="s">
        <v>37</v>
      </c>
      <c r="B14" s="91" t="s">
        <v>243</v>
      </c>
      <c r="C14" s="98" t="s">
        <v>244</v>
      </c>
      <c r="D14" s="97" t="s">
        <v>245</v>
      </c>
    </row>
    <row r="15" spans="1:6" ht="29.85" customHeight="1" x14ac:dyDescent="0.2">
      <c r="A15" s="39" t="s">
        <v>37</v>
      </c>
      <c r="B15" s="58" t="s">
        <v>246</v>
      </c>
      <c r="C15" s="58" t="s">
        <v>247</v>
      </c>
      <c r="D15" s="58" t="s">
        <v>248</v>
      </c>
      <c r="F15" s="93"/>
    </row>
    <row r="16" spans="1:6" x14ac:dyDescent="0.2">
      <c r="B16" s="92"/>
      <c r="C16" s="92"/>
      <c r="D16" s="92"/>
    </row>
    <row r="17" spans="1:7" x14ac:dyDescent="0.2">
      <c r="B17" s="57" t="s">
        <v>33</v>
      </c>
      <c r="C17" s="91" t="s">
        <v>5</v>
      </c>
      <c r="D17" s="91" t="s">
        <v>19</v>
      </c>
    </row>
    <row r="18" spans="1:7" ht="36" customHeight="1" x14ac:dyDescent="0.2">
      <c r="B18" s="65"/>
      <c r="C18" s="65"/>
      <c r="D18" s="66"/>
    </row>
    <row r="19" spans="1:7" ht="36" customHeight="1" x14ac:dyDescent="0.2">
      <c r="B19" s="65"/>
      <c r="C19" s="65"/>
      <c r="D19" s="66"/>
    </row>
    <row r="20" spans="1:7" ht="36" customHeight="1" x14ac:dyDescent="0.2">
      <c r="B20" s="65"/>
      <c r="C20" s="65"/>
      <c r="D20" s="66"/>
    </row>
    <row r="21" spans="1:7" ht="36" customHeight="1" x14ac:dyDescent="0.2">
      <c r="B21" s="65"/>
      <c r="C21" s="65"/>
      <c r="D21" s="66"/>
      <c r="G21" s="1" t="s">
        <v>227</v>
      </c>
    </row>
    <row r="22" spans="1:7" ht="36" customHeight="1" x14ac:dyDescent="0.2">
      <c r="B22" s="65"/>
      <c r="C22" s="65"/>
      <c r="D22" s="66"/>
      <c r="G22" s="1" t="s">
        <v>228</v>
      </c>
    </row>
    <row r="23" spans="1:7" ht="36" customHeight="1" x14ac:dyDescent="0.2">
      <c r="B23" s="65"/>
      <c r="C23" s="65"/>
      <c r="D23" s="66"/>
      <c r="G23" s="1" t="s">
        <v>229</v>
      </c>
    </row>
    <row r="24" spans="1:7" ht="36" customHeight="1" x14ac:dyDescent="0.2">
      <c r="B24" s="65"/>
      <c r="C24" s="65"/>
      <c r="D24" s="66"/>
      <c r="G24" s="1" t="s">
        <v>230</v>
      </c>
    </row>
    <row r="26" spans="1:7" x14ac:dyDescent="0.2">
      <c r="B26" s="94"/>
      <c r="C26" s="94"/>
      <c r="D26" s="95"/>
      <c r="G26" s="1" t="s">
        <v>231</v>
      </c>
    </row>
    <row r="27" spans="1:7" x14ac:dyDescent="0.2">
      <c r="A27" s="1" t="s">
        <v>44</v>
      </c>
    </row>
    <row r="28" spans="1:7" x14ac:dyDescent="0.2">
      <c r="A28" s="59" t="s">
        <v>232</v>
      </c>
      <c r="B28" s="461" t="s">
        <v>43</v>
      </c>
      <c r="C28" s="461"/>
      <c r="D28" s="461"/>
      <c r="E28" s="461"/>
    </row>
    <row r="29" spans="1:7" x14ac:dyDescent="0.2">
      <c r="A29" s="60"/>
      <c r="B29" s="461"/>
      <c r="C29" s="461"/>
      <c r="D29" s="461"/>
      <c r="E29" s="461"/>
    </row>
    <row r="30" spans="1:7" x14ac:dyDescent="0.2">
      <c r="A30" s="59" t="s">
        <v>232</v>
      </c>
      <c r="B30" s="461" t="s">
        <v>45</v>
      </c>
      <c r="C30" s="461"/>
      <c r="D30" s="461"/>
      <c r="E30" s="461"/>
      <c r="G30" s="1" t="s">
        <v>233</v>
      </c>
    </row>
    <row r="31" spans="1:7" x14ac:dyDescent="0.2">
      <c r="A31" s="59"/>
      <c r="B31" s="461"/>
      <c r="C31" s="461"/>
      <c r="D31" s="461"/>
      <c r="E31" s="461"/>
      <c r="G31" s="1" t="s">
        <v>234</v>
      </c>
    </row>
    <row r="32" spans="1:7" x14ac:dyDescent="0.2">
      <c r="A32" s="59"/>
      <c r="B32" s="461"/>
      <c r="C32" s="461"/>
      <c r="D32" s="461"/>
      <c r="E32" s="461"/>
    </row>
    <row r="33" spans="1:5" x14ac:dyDescent="0.2">
      <c r="A33" s="60"/>
      <c r="B33" s="461"/>
      <c r="C33" s="461"/>
      <c r="D33" s="461"/>
      <c r="E33" s="461"/>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76"/>
  <sheetViews>
    <sheetView zoomScale="85" zoomScaleNormal="85" workbookViewId="0">
      <selection activeCell="F25" sqref="F25"/>
    </sheetView>
  </sheetViews>
  <sheetFormatPr defaultColWidth="9" defaultRowHeight="13.2" x14ac:dyDescent="0.2"/>
  <cols>
    <col min="1" max="1" width="2" style="61" customWidth="1"/>
    <col min="2" max="2" width="18.6640625" style="61" customWidth="1"/>
    <col min="3" max="4" width="15.44140625" style="61" customWidth="1"/>
    <col min="5" max="5" width="6.88671875" style="61" customWidth="1"/>
    <col min="6" max="6" width="20.109375" style="61" customWidth="1"/>
    <col min="7" max="8" width="15.44140625" style="61" customWidth="1"/>
    <col min="9" max="9" width="5.33203125" style="61" customWidth="1"/>
    <col min="10" max="10" width="19.88671875" style="61" customWidth="1"/>
    <col min="11" max="11" width="1" style="61" customWidth="1"/>
    <col min="12" max="16384" width="9" style="61"/>
  </cols>
  <sheetData>
    <row r="1" spans="2:10" ht="43.5" customHeight="1" x14ac:dyDescent="0.2">
      <c r="B1" s="463" t="s">
        <v>456</v>
      </c>
      <c r="C1" s="463"/>
      <c r="D1" s="463"/>
      <c r="F1" s="70" t="s">
        <v>225</v>
      </c>
      <c r="J1" s="71" t="s">
        <v>202</v>
      </c>
    </row>
    <row r="2" spans="2:10" x14ac:dyDescent="0.2">
      <c r="B2" s="103" t="s">
        <v>49</v>
      </c>
      <c r="C2" s="103" t="s">
        <v>203</v>
      </c>
      <c r="D2" s="103" t="s">
        <v>204</v>
      </c>
      <c r="F2" s="103" t="s">
        <v>49</v>
      </c>
      <c r="G2" s="103" t="s">
        <v>203</v>
      </c>
      <c r="H2" s="103" t="s">
        <v>205</v>
      </c>
      <c r="J2" s="103" t="s">
        <v>206</v>
      </c>
    </row>
    <row r="3" spans="2:10" x14ac:dyDescent="0.2">
      <c r="B3" s="104" t="s">
        <v>207</v>
      </c>
      <c r="C3" s="72"/>
      <c r="D3" s="72"/>
      <c r="F3" s="104" t="str">
        <f>B3</f>
        <v>県産材</v>
      </c>
      <c r="G3" s="73">
        <f>IF(【様式第６号】事業報告書兼チェックシート!Y102="",0,【様式第６号】事業報告書兼チェックシート!Y102*10000)</f>
        <v>0</v>
      </c>
      <c r="H3" s="73">
        <f>IF(【様式第６号】事業報告書兼チェックシート!Y102="",0,【様式第６号】事業報告書兼チェックシート!Y102*10000)</f>
        <v>0</v>
      </c>
      <c r="J3" s="74">
        <f>IF(H3="","",MIN(D3,H3))</f>
        <v>0</v>
      </c>
    </row>
    <row r="4" spans="2:10" x14ac:dyDescent="0.2">
      <c r="B4" s="104" t="s">
        <v>443</v>
      </c>
      <c r="C4" s="75"/>
      <c r="D4" s="72"/>
      <c r="F4" s="104" t="str">
        <f>B4</f>
        <v>県産JAS製材</v>
      </c>
      <c r="G4" s="73">
        <f>IF(【様式第６号】事業報告書兼チェックシート!Y103="",0,【様式第６号】事業報告書兼チェックシート!Y103*10000)</f>
        <v>0</v>
      </c>
      <c r="H4" s="73">
        <f>IF(【様式第６号】事業報告書兼チェックシート!Y107="",0,【様式第６号】事業報告書兼チェックシート!Y107*10000)</f>
        <v>0</v>
      </c>
      <c r="J4" s="74">
        <f t="shared" ref="J4:J9" si="0">IF(H4="","",MIN(D4,H4))</f>
        <v>0</v>
      </c>
    </row>
    <row r="5" spans="2:10" x14ac:dyDescent="0.2">
      <c r="B5" s="104" t="s">
        <v>451</v>
      </c>
      <c r="C5" s="75"/>
      <c r="D5" s="72"/>
      <c r="F5" s="104" t="str">
        <f t="shared" ref="F5:F9" si="1">B5</f>
        <v>県産ヤング係数確認構造材</v>
      </c>
      <c r="G5" s="73">
        <f>IF(【様式第６号】事業報告書兼チェックシート!Y107="",0,【様式第６号】事業報告書兼チェックシート!Y107*10000)</f>
        <v>0</v>
      </c>
      <c r="H5" s="73">
        <f>IF(【様式第６号】事業報告書兼チェックシート!Y108="",0,【様式第６号】事業報告書兼チェックシート!Y108*10000)</f>
        <v>0</v>
      </c>
      <c r="J5" s="74">
        <f t="shared" si="0"/>
        <v>0</v>
      </c>
    </row>
    <row r="6" spans="2:10" x14ac:dyDescent="0.2">
      <c r="B6" s="104" t="s">
        <v>211</v>
      </c>
      <c r="C6" s="75"/>
      <c r="D6" s="72"/>
      <c r="F6" s="104" t="str">
        <f t="shared" si="1"/>
        <v>県産ＣＬＴ材、県産内外装材</v>
      </c>
      <c r="G6" s="73">
        <f>IF(【様式第６号】事業報告書兼チェックシート!Y109="",0,【様式第６号】事業報告書兼チェックシート!Y109*10000)</f>
        <v>0</v>
      </c>
      <c r="H6" s="73">
        <f>IF(【様式第６号】事業報告書兼チェックシート!Y109="",0,【様式第６号】事業報告書兼チェックシート!Y109*10000)</f>
        <v>0</v>
      </c>
      <c r="J6" s="74">
        <f>IF(H6="","",MIN(D6,H6))</f>
        <v>0</v>
      </c>
    </row>
    <row r="7" spans="2:10" x14ac:dyDescent="0.2">
      <c r="B7" s="104" t="s">
        <v>208</v>
      </c>
      <c r="C7" s="72"/>
      <c r="D7" s="72"/>
      <c r="F7" s="104" t="str">
        <f t="shared" si="1"/>
        <v>伝統技能活用</v>
      </c>
      <c r="G7" s="73">
        <f>IF(【様式第６号】事業報告書兼チェックシート!Y165="",0,【様式第６号】事業報告書兼チェックシート!Y165*10000)</f>
        <v>0</v>
      </c>
      <c r="H7" s="73">
        <f>IF(【様式第６号】事業報告書兼チェックシート!Y165="",0,【様式第６号】事業報告書兼チェックシート!Y165*10000)</f>
        <v>0</v>
      </c>
      <c r="J7" s="74">
        <f t="shared" si="0"/>
        <v>0</v>
      </c>
    </row>
    <row r="8" spans="2:10" x14ac:dyDescent="0.2">
      <c r="B8" s="104" t="s">
        <v>209</v>
      </c>
      <c r="C8" s="72"/>
      <c r="D8" s="72"/>
      <c r="F8" s="104" t="str">
        <f t="shared" si="1"/>
        <v>子育て世帯等</v>
      </c>
      <c r="G8" s="73">
        <f>IF(【様式第６号】事業報告書兼チェックシート!Y129="",0,【様式第６号】事業報告書兼チェックシート!Y129*10000)</f>
        <v>0</v>
      </c>
      <c r="H8" s="73">
        <f>IF(【様式第６号】事業報告書兼チェックシート!Y129="",0,【様式第６号】事業報告書兼チェックシート!Y129*10000)</f>
        <v>0</v>
      </c>
      <c r="J8" s="74">
        <f t="shared" si="0"/>
        <v>0</v>
      </c>
    </row>
    <row r="9" spans="2:10" x14ac:dyDescent="0.2">
      <c r="B9" s="104" t="s">
        <v>212</v>
      </c>
      <c r="C9" s="72"/>
      <c r="D9" s="72"/>
      <c r="F9" s="104" t="str">
        <f t="shared" si="1"/>
        <v>三世代同居等世帯支援</v>
      </c>
      <c r="G9" s="73">
        <f>IF(【様式第６号】事業報告書兼チェックシート!Y147="",0,【様式第６号】事業報告書兼チェックシート!Y147*10000)</f>
        <v>0</v>
      </c>
      <c r="H9" s="73">
        <f>IF(【様式第６号】事業報告書兼チェックシート!Y147="",0,【様式第６号】事業報告書兼チェックシート!Y147*10000)</f>
        <v>0</v>
      </c>
      <c r="J9" s="74">
        <f t="shared" si="0"/>
        <v>0</v>
      </c>
    </row>
    <row r="11" spans="2:10" x14ac:dyDescent="0.2">
      <c r="C11" s="103" t="s">
        <v>210</v>
      </c>
      <c r="D11" s="103" t="s">
        <v>204</v>
      </c>
      <c r="G11" s="103" t="s">
        <v>210</v>
      </c>
      <c r="H11" s="103" t="s">
        <v>204</v>
      </c>
    </row>
    <row r="12" spans="2:10" x14ac:dyDescent="0.2">
      <c r="C12" s="74" t="str">
        <f>IF(C3=0,"",SUM(C3:C9))</f>
        <v/>
      </c>
      <c r="D12" s="74" t="str">
        <f>IF(D3=0,"",MIN(SUM(D3:D9),1000000))</f>
        <v/>
      </c>
      <c r="G12" s="74" t="str">
        <f>IF(G3=0,"",SUM(G3:G9))</f>
        <v/>
      </c>
      <c r="H12" s="74" t="str">
        <f>IF(H3=0,"",MIN(MIN(SUM(J3:J9),1000000),1500000,D12))</f>
        <v/>
      </c>
    </row>
    <row r="14" spans="2:10" x14ac:dyDescent="0.2">
      <c r="B14" s="103" t="s">
        <v>49</v>
      </c>
      <c r="C14" s="103" t="s">
        <v>203</v>
      </c>
      <c r="D14" s="103" t="s">
        <v>204</v>
      </c>
      <c r="F14" s="103" t="s">
        <v>49</v>
      </c>
      <c r="G14" s="103" t="s">
        <v>203</v>
      </c>
      <c r="H14" s="103" t="s">
        <v>205</v>
      </c>
      <c r="J14" s="103" t="s">
        <v>206</v>
      </c>
    </row>
    <row r="15" spans="2:10" x14ac:dyDescent="0.2">
      <c r="B15" s="104" t="s">
        <v>406</v>
      </c>
      <c r="C15" s="72"/>
      <c r="D15" s="72"/>
      <c r="F15" s="104" t="str">
        <f>B15</f>
        <v>未来型</v>
      </c>
      <c r="G15" s="73">
        <f>IF(【様式第６号】事業報告書兼チェックシート!T232="",0,【様式第６号】事業報告書兼チェックシート!T232*10000)</f>
        <v>0</v>
      </c>
      <c r="H15" s="73">
        <f>IF(【様式第６号】事業報告書兼チェックシート!T232="",0,【様式第６号】事業報告書兼チェックシート!T232*10000)</f>
        <v>0</v>
      </c>
      <c r="J15" s="74">
        <f>IF(H15="","",MIN(D15,H15))</f>
        <v>0</v>
      </c>
    </row>
    <row r="16" spans="2:10" ht="13.5" customHeight="1" x14ac:dyDescent="0.2"/>
    <row r="17" spans="2:8" x14ac:dyDescent="0.2">
      <c r="C17" s="103" t="s">
        <v>210</v>
      </c>
      <c r="D17" s="103" t="s">
        <v>204</v>
      </c>
      <c r="G17" s="103" t="s">
        <v>210</v>
      </c>
      <c r="H17" s="103" t="s">
        <v>204</v>
      </c>
    </row>
    <row r="18" spans="2:8" x14ac:dyDescent="0.2">
      <c r="C18" s="74" t="str">
        <f>IF(C15=0,"",SUM(C15))</f>
        <v/>
      </c>
      <c r="D18" s="74" t="str">
        <f>IF(D15=0,"",SUM(D15))</f>
        <v/>
      </c>
      <c r="G18" s="74" t="str">
        <f>IF(G15=0,"",SUM(G15))</f>
        <v/>
      </c>
      <c r="H18" s="74" t="str">
        <f>IF(H15=0,"",SUM(H15))</f>
        <v/>
      </c>
    </row>
    <row r="21" spans="2:8" x14ac:dyDescent="0.2">
      <c r="B21" s="288" t="s">
        <v>509</v>
      </c>
    </row>
    <row r="22" spans="2:8" x14ac:dyDescent="0.2">
      <c r="B22" s="288" t="s">
        <v>510</v>
      </c>
    </row>
    <row r="23" spans="2:8" x14ac:dyDescent="0.2">
      <c r="B23" s="289" t="s">
        <v>476</v>
      </c>
    </row>
    <row r="25" spans="2:8" ht="13.8" thickBot="1" x14ac:dyDescent="0.25">
      <c r="C25" s="289" t="s">
        <v>477</v>
      </c>
    </row>
    <row r="26" spans="2:8" x14ac:dyDescent="0.2">
      <c r="B26" s="61" t="s">
        <v>478</v>
      </c>
      <c r="C26" s="290"/>
    </row>
    <row r="27" spans="2:8" x14ac:dyDescent="0.2">
      <c r="B27" s="61" t="s">
        <v>479</v>
      </c>
      <c r="C27" s="291"/>
    </row>
    <row r="28" spans="2:8" x14ac:dyDescent="0.2">
      <c r="B28" s="61" t="s">
        <v>419</v>
      </c>
      <c r="C28" s="291"/>
    </row>
    <row r="29" spans="2:8" x14ac:dyDescent="0.2">
      <c r="B29" s="61" t="s">
        <v>24</v>
      </c>
      <c r="C29" s="291"/>
    </row>
    <row r="30" spans="2:8" x14ac:dyDescent="0.2">
      <c r="B30" s="61" t="s">
        <v>110</v>
      </c>
      <c r="C30" s="291"/>
    </row>
    <row r="31" spans="2:8" x14ac:dyDescent="0.2">
      <c r="B31" s="61" t="s">
        <v>143</v>
      </c>
      <c r="C31" s="291"/>
    </row>
    <row r="32" spans="2:8" x14ac:dyDescent="0.2">
      <c r="B32" s="61" t="s">
        <v>480</v>
      </c>
      <c r="C32" s="291"/>
    </row>
    <row r="33" spans="2:3" x14ac:dyDescent="0.2">
      <c r="B33" s="61" t="s">
        <v>481</v>
      </c>
      <c r="C33" s="291"/>
    </row>
    <row r="34" spans="2:3" x14ac:dyDescent="0.2">
      <c r="B34" s="61" t="s">
        <v>30</v>
      </c>
      <c r="C34" s="291"/>
    </row>
    <row r="35" spans="2:3" x14ac:dyDescent="0.2">
      <c r="B35" s="61" t="s">
        <v>111</v>
      </c>
      <c r="C35" s="291"/>
    </row>
    <row r="36" spans="2:3" x14ac:dyDescent="0.2">
      <c r="B36" s="61" t="s">
        <v>81</v>
      </c>
      <c r="C36" s="291"/>
    </row>
    <row r="37" spans="2:3" x14ac:dyDescent="0.2">
      <c r="B37" s="61" t="s">
        <v>27</v>
      </c>
      <c r="C37" s="291"/>
    </row>
    <row r="38" spans="2:3" x14ac:dyDescent="0.2">
      <c r="B38" s="61" t="s">
        <v>28</v>
      </c>
      <c r="C38" s="291"/>
    </row>
    <row r="39" spans="2:3" x14ac:dyDescent="0.2">
      <c r="B39" s="61" t="s">
        <v>26</v>
      </c>
      <c r="C39" s="291"/>
    </row>
    <row r="40" spans="2:3" x14ac:dyDescent="0.2">
      <c r="B40" s="61" t="s">
        <v>482</v>
      </c>
      <c r="C40" s="291"/>
    </row>
    <row r="41" spans="2:3" x14ac:dyDescent="0.2">
      <c r="B41" s="61" t="s">
        <v>483</v>
      </c>
      <c r="C41" s="291"/>
    </row>
    <row r="42" spans="2:3" x14ac:dyDescent="0.2">
      <c r="B42" s="61" t="s">
        <v>484</v>
      </c>
      <c r="C42" s="291"/>
    </row>
    <row r="43" spans="2:3" x14ac:dyDescent="0.2">
      <c r="B43" s="61" t="s">
        <v>485</v>
      </c>
      <c r="C43" s="291"/>
    </row>
    <row r="44" spans="2:3" x14ac:dyDescent="0.2">
      <c r="B44" s="61" t="s">
        <v>486</v>
      </c>
      <c r="C44" s="291"/>
    </row>
    <row r="45" spans="2:3" x14ac:dyDescent="0.2">
      <c r="B45" s="61" t="s">
        <v>487</v>
      </c>
      <c r="C45" s="291"/>
    </row>
    <row r="46" spans="2:3" x14ac:dyDescent="0.2">
      <c r="B46" s="61" t="s">
        <v>3</v>
      </c>
      <c r="C46" s="291"/>
    </row>
    <row r="47" spans="2:3" x14ac:dyDescent="0.2">
      <c r="B47" s="61" t="s">
        <v>4</v>
      </c>
      <c r="C47" s="291"/>
    </row>
    <row r="48" spans="2:3" x14ac:dyDescent="0.2">
      <c r="B48" s="61" t="s">
        <v>23</v>
      </c>
      <c r="C48" s="291"/>
    </row>
    <row r="49" spans="2:3" x14ac:dyDescent="0.2">
      <c r="B49" s="61" t="s">
        <v>31</v>
      </c>
      <c r="C49" s="291"/>
    </row>
    <row r="50" spans="2:3" x14ac:dyDescent="0.2">
      <c r="B50" s="61" t="s">
        <v>488</v>
      </c>
      <c r="C50" s="291"/>
    </row>
    <row r="51" spans="2:3" x14ac:dyDescent="0.2">
      <c r="B51" s="61" t="s">
        <v>489</v>
      </c>
      <c r="C51" s="291"/>
    </row>
    <row r="52" spans="2:3" x14ac:dyDescent="0.2">
      <c r="B52" s="61" t="s">
        <v>490</v>
      </c>
      <c r="C52" s="291"/>
    </row>
    <row r="53" spans="2:3" x14ac:dyDescent="0.2">
      <c r="B53" s="61" t="s">
        <v>491</v>
      </c>
      <c r="C53" s="291"/>
    </row>
    <row r="54" spans="2:3" x14ac:dyDescent="0.2">
      <c r="B54" s="61" t="s">
        <v>492</v>
      </c>
      <c r="C54" s="291"/>
    </row>
    <row r="55" spans="2:3" x14ac:dyDescent="0.2">
      <c r="B55" s="61" t="s">
        <v>493</v>
      </c>
      <c r="C55" s="291"/>
    </row>
    <row r="56" spans="2:3" x14ac:dyDescent="0.2">
      <c r="B56" s="61" t="s">
        <v>494</v>
      </c>
      <c r="C56" s="291"/>
    </row>
    <row r="57" spans="2:3" x14ac:dyDescent="0.2">
      <c r="B57" s="61" t="s">
        <v>495</v>
      </c>
      <c r="C57" s="291"/>
    </row>
    <row r="58" spans="2:3" x14ac:dyDescent="0.2">
      <c r="B58" s="61" t="s">
        <v>496</v>
      </c>
      <c r="C58" s="291"/>
    </row>
    <row r="59" spans="2:3" x14ac:dyDescent="0.2">
      <c r="B59" s="61" t="s">
        <v>497</v>
      </c>
      <c r="C59" s="291"/>
    </row>
    <row r="60" spans="2:3" x14ac:dyDescent="0.2">
      <c r="B60" s="61" t="s">
        <v>498</v>
      </c>
      <c r="C60" s="291"/>
    </row>
    <row r="61" spans="2:3" x14ac:dyDescent="0.2">
      <c r="B61" s="61" t="s">
        <v>499</v>
      </c>
      <c r="C61" s="291"/>
    </row>
    <row r="62" spans="2:3" x14ac:dyDescent="0.2">
      <c r="B62" s="61" t="s">
        <v>500</v>
      </c>
      <c r="C62" s="291"/>
    </row>
    <row r="63" spans="2:3" x14ac:dyDescent="0.2">
      <c r="B63" s="61" t="s">
        <v>501</v>
      </c>
      <c r="C63" s="291"/>
    </row>
    <row r="64" spans="2:3" x14ac:dyDescent="0.2">
      <c r="B64" s="61" t="s">
        <v>502</v>
      </c>
      <c r="C64" s="291"/>
    </row>
    <row r="65" spans="2:3" x14ac:dyDescent="0.2">
      <c r="B65" s="61" t="s">
        <v>503</v>
      </c>
      <c r="C65" s="291"/>
    </row>
    <row r="66" spans="2:3" x14ac:dyDescent="0.2">
      <c r="B66" s="61" t="s">
        <v>504</v>
      </c>
      <c r="C66" s="291"/>
    </row>
    <row r="67" spans="2:3" x14ac:dyDescent="0.2">
      <c r="B67" s="61" t="s">
        <v>505</v>
      </c>
      <c r="C67" s="291"/>
    </row>
    <row r="68" spans="2:3" x14ac:dyDescent="0.2">
      <c r="B68" s="61" t="s">
        <v>83</v>
      </c>
      <c r="C68" s="291"/>
    </row>
    <row r="69" spans="2:3" x14ac:dyDescent="0.2">
      <c r="B69" s="61" t="s">
        <v>152</v>
      </c>
      <c r="C69" s="291"/>
    </row>
    <row r="70" spans="2:3" x14ac:dyDescent="0.2">
      <c r="B70" s="61" t="s">
        <v>506</v>
      </c>
      <c r="C70" s="291"/>
    </row>
    <row r="71" spans="2:3" x14ac:dyDescent="0.2">
      <c r="B71" s="61" t="s">
        <v>507</v>
      </c>
      <c r="C71" s="291"/>
    </row>
    <row r="72" spans="2:3" x14ac:dyDescent="0.2">
      <c r="B72" s="61" t="s">
        <v>191</v>
      </c>
      <c r="C72" s="291"/>
    </row>
    <row r="73" spans="2:3" x14ac:dyDescent="0.2">
      <c r="B73" s="61" t="s">
        <v>160</v>
      </c>
      <c r="C73" s="291"/>
    </row>
    <row r="74" spans="2:3" x14ac:dyDescent="0.2">
      <c r="B74" s="61" t="s">
        <v>508</v>
      </c>
      <c r="C74" s="291"/>
    </row>
    <row r="75" spans="2:3" x14ac:dyDescent="0.2">
      <c r="B75" s="61" t="s">
        <v>163</v>
      </c>
      <c r="C75" s="291"/>
    </row>
    <row r="76" spans="2:3" ht="13.8" thickBot="1" x14ac:dyDescent="0.25">
      <c r="B76" s="61" t="s">
        <v>162</v>
      </c>
      <c r="C76" s="292"/>
    </row>
  </sheetData>
  <sheetProtection algorithmName="SHA-512" hashValue="rPNm4KsVcDPiiO138dgyFWYMvJupFy+RPUOf+HUsx8f3XladtDEzWO9znn2KzAauoo/2M8GBRmBrQ0oqg/UokQ==" saltValue="A7yp2lgu/w3mpQj0Xo/Aiw=="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2"/>
  <sheetViews>
    <sheetView view="pageBreakPreview"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457</v>
      </c>
    </row>
    <row r="2" spans="1:63" ht="15.75" customHeight="1" x14ac:dyDescent="0.2">
      <c r="A2" s="269"/>
      <c r="B2" s="269"/>
      <c r="C2" s="269"/>
      <c r="D2" s="269"/>
      <c r="E2" s="269"/>
      <c r="F2" s="269"/>
      <c r="G2" s="269"/>
      <c r="H2" s="269"/>
      <c r="I2" s="269"/>
      <c r="J2" s="269"/>
      <c r="K2" s="269"/>
      <c r="L2" s="269"/>
      <c r="M2" s="269"/>
      <c r="N2" s="269"/>
      <c r="O2" s="281" t="s">
        <v>256</v>
      </c>
      <c r="P2" s="270"/>
      <c r="Q2" s="516" t="str">
        <f>IF(【様式第６号】事業報告書兼チェックシート!E15="","",【様式第６号】事業報告書兼チェックシート!E15)</f>
        <v/>
      </c>
      <c r="R2" s="516"/>
      <c r="S2" s="282" t="s">
        <v>8</v>
      </c>
      <c r="T2" s="516" t="str">
        <f>IF(【様式第６号】事業報告書兼チェックシート!H15="","",【様式第６号】事業報告書兼チェックシート!H15)</f>
        <v/>
      </c>
      <c r="U2" s="516"/>
      <c r="V2" s="282" t="s">
        <v>401</v>
      </c>
      <c r="W2" s="516" t="str">
        <f>IF(【様式第６号】事業報告書兼チェックシート!K15="","",【様式第６号】事業報告書兼チェックシート!K15)</f>
        <v/>
      </c>
      <c r="X2" s="516"/>
      <c r="Y2" s="282" t="s">
        <v>7</v>
      </c>
      <c r="Z2" s="271"/>
      <c r="AA2" s="76" t="str">
        <f>IF(A2="令和　年　月　日","←申請日を入力してください。","")</f>
        <v/>
      </c>
      <c r="BK2" s="77" t="s">
        <v>213</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214</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215</v>
      </c>
      <c r="P9" s="308" t="str">
        <f>IF(【様式第６号】事業報告書兼チェックシート!O17="","",【様式第６号】事業報告書兼チェックシート!O17)</f>
        <v/>
      </c>
      <c r="Q9" s="308"/>
      <c r="R9" s="308"/>
      <c r="S9" s="308"/>
      <c r="T9" s="308"/>
      <c r="U9" s="308"/>
      <c r="V9" s="308"/>
      <c r="W9" s="308"/>
      <c r="X9" s="308"/>
    </row>
    <row r="10" spans="1:63" ht="35.25" customHeight="1" x14ac:dyDescent="0.2">
      <c r="O10" s="298" t="str">
        <f>IF(【様式第６号】事業報告書兼チェックシート!N18="","",【様式第６号】事業報告書兼チェックシート!N18)</f>
        <v/>
      </c>
      <c r="P10" s="298"/>
      <c r="Q10" s="298"/>
      <c r="R10" s="298"/>
      <c r="S10" s="298"/>
      <c r="T10" s="298"/>
      <c r="U10" s="298"/>
      <c r="V10" s="298"/>
      <c r="W10" s="298"/>
      <c r="X10" s="298"/>
    </row>
    <row r="11" spans="1:63" ht="16.5" customHeight="1" x14ac:dyDescent="0.2">
      <c r="M11" s="1" t="s">
        <v>6</v>
      </c>
      <c r="O11" s="298" t="str">
        <f>IF(【様式第６号】事業報告書兼チェックシート!N19="","",【様式第６号】事業報告書兼チェックシート!N19)</f>
        <v/>
      </c>
      <c r="P11" s="298"/>
      <c r="Q11" s="298"/>
      <c r="R11" s="298"/>
      <c r="S11" s="298"/>
      <c r="T11" s="298"/>
      <c r="U11" s="298"/>
      <c r="V11" s="298"/>
      <c r="W11" s="298"/>
      <c r="X11" s="298"/>
      <c r="AA11" s="22" t="s">
        <v>65</v>
      </c>
    </row>
    <row r="12" spans="1:63" ht="16.5" customHeight="1" x14ac:dyDescent="0.2">
      <c r="M12" s="1" t="s">
        <v>9</v>
      </c>
      <c r="O12" s="298" t="str">
        <f>IF(【様式第６号】事業報告書兼チェックシート!N20="","",【様式第６号】事業報告書兼チェックシート!N20)</f>
        <v/>
      </c>
      <c r="P12" s="298"/>
      <c r="Q12" s="298"/>
      <c r="R12" s="298"/>
      <c r="S12" s="298"/>
      <c r="T12" s="298"/>
      <c r="U12" s="298"/>
      <c r="V12" s="298"/>
      <c r="W12" s="298"/>
      <c r="X12" s="298"/>
    </row>
    <row r="13" spans="1:63" ht="12" customHeight="1" x14ac:dyDescent="0.2"/>
    <row r="14" spans="1:63" ht="12" customHeight="1" x14ac:dyDescent="0.2"/>
    <row r="15" spans="1:63" ht="16.5" customHeight="1" x14ac:dyDescent="0.2">
      <c r="A15" s="306" t="s">
        <v>426</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79"/>
      <c r="AB15" s="79"/>
      <c r="AC15" s="79"/>
      <c r="AD15" s="79"/>
      <c r="AE15" s="79"/>
      <c r="AF15" s="79"/>
      <c r="AG15" s="79"/>
    </row>
    <row r="16" spans="1:63" ht="12.75" customHeight="1" x14ac:dyDescent="0.2">
      <c r="AA16" s="79"/>
      <c r="AB16" s="79"/>
      <c r="AC16" s="513"/>
      <c r="AD16" s="514"/>
      <c r="AE16" s="514"/>
      <c r="AF16" s="514"/>
      <c r="AG16" s="515"/>
      <c r="AH16" s="68"/>
    </row>
    <row r="17" spans="1:52" ht="45" customHeight="1" x14ac:dyDescent="0.2">
      <c r="A17" s="298" t="s">
        <v>428</v>
      </c>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06" t="s">
        <v>14</v>
      </c>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09"/>
      <c r="AY19" s="509"/>
      <c r="AZ19" s="509"/>
    </row>
    <row r="20" spans="1:52" ht="16.5" customHeight="1" x14ac:dyDescent="0.2"/>
    <row r="21" spans="1:52" ht="16.5" customHeight="1" x14ac:dyDescent="0.2">
      <c r="B21" s="309" t="s">
        <v>216</v>
      </c>
      <c r="C21" s="310"/>
      <c r="D21" s="310"/>
      <c r="E21" s="310"/>
      <c r="F21" s="310"/>
      <c r="G21" s="324"/>
      <c r="H21" s="309" t="s">
        <v>15</v>
      </c>
      <c r="I21" s="310"/>
      <c r="J21" s="310"/>
      <c r="K21" s="310"/>
      <c r="L21" s="310"/>
      <c r="M21" s="310"/>
      <c r="N21" s="310"/>
      <c r="O21" s="310"/>
      <c r="P21" s="310"/>
      <c r="Q21" s="310"/>
      <c r="R21" s="310"/>
      <c r="S21" s="310"/>
      <c r="T21" s="310"/>
      <c r="U21" s="310"/>
      <c r="V21" s="310"/>
      <c r="W21" s="310"/>
      <c r="X21" s="310"/>
      <c r="Y21" s="324"/>
    </row>
    <row r="22" spans="1:52" ht="16.5" customHeight="1" x14ac:dyDescent="0.2">
      <c r="B22" s="317" t="s">
        <v>425</v>
      </c>
      <c r="C22" s="318"/>
      <c r="D22" s="318"/>
      <c r="E22" s="318"/>
      <c r="F22" s="318"/>
      <c r="G22" s="319"/>
      <c r="H22" s="510" t="s">
        <v>16</v>
      </c>
      <c r="I22" s="511"/>
      <c r="J22" s="511"/>
      <c r="K22" s="511"/>
      <c r="L22" s="511"/>
      <c r="M22" s="511"/>
      <c r="N22" s="511"/>
      <c r="O22" s="511"/>
      <c r="P22" s="512"/>
      <c r="Q22" s="309" t="s">
        <v>424</v>
      </c>
      <c r="R22" s="310"/>
      <c r="S22" s="310"/>
      <c r="T22" s="310"/>
      <c r="U22" s="310"/>
      <c r="V22" s="310"/>
      <c r="W22" s="310"/>
      <c r="X22" s="310"/>
      <c r="Y22" s="324"/>
    </row>
    <row r="23" spans="1:52" ht="16.5" customHeight="1" x14ac:dyDescent="0.2">
      <c r="B23" s="321"/>
      <c r="C23" s="322"/>
      <c r="D23" s="322"/>
      <c r="E23" s="322"/>
      <c r="F23" s="322"/>
      <c r="G23" s="323"/>
      <c r="H23" s="507" t="str">
        <f>IF('要入力　登録決定状況入力シート'!C12="","",'要入力　登録決定状況入力シート'!C12)</f>
        <v/>
      </c>
      <c r="I23" s="508"/>
      <c r="J23" s="508"/>
      <c r="K23" s="508"/>
      <c r="L23" s="508"/>
      <c r="M23" s="508"/>
      <c r="N23" s="508"/>
      <c r="O23" s="508"/>
      <c r="P23" s="80" t="s">
        <v>17</v>
      </c>
      <c r="Q23" s="507" t="str">
        <f>IF('要入力　登録決定状況入力シート'!D12="","",'要入力　登録決定状況入力シート'!D12)</f>
        <v/>
      </c>
      <c r="R23" s="508"/>
      <c r="S23" s="508"/>
      <c r="T23" s="508"/>
      <c r="U23" s="508"/>
      <c r="V23" s="508"/>
      <c r="W23" s="508"/>
      <c r="X23" s="508"/>
      <c r="Y23" s="80" t="s">
        <v>17</v>
      </c>
      <c r="AA23" s="22" t="s">
        <v>261</v>
      </c>
    </row>
    <row r="24" spans="1:52" ht="16.5" customHeight="1" x14ac:dyDescent="0.2">
      <c r="B24" s="309" t="s">
        <v>423</v>
      </c>
      <c r="C24" s="310"/>
      <c r="D24" s="310"/>
      <c r="E24" s="310"/>
      <c r="F24" s="310"/>
      <c r="G24" s="324"/>
      <c r="H24" s="507" t="str">
        <f>IF('要入力　登録決定状況入力シート'!G12="","",'要入力　登録決定状況入力シート'!G12)</f>
        <v/>
      </c>
      <c r="I24" s="508"/>
      <c r="J24" s="508"/>
      <c r="K24" s="508"/>
      <c r="L24" s="508"/>
      <c r="M24" s="508"/>
      <c r="N24" s="508"/>
      <c r="O24" s="508"/>
      <c r="P24" s="80" t="s">
        <v>17</v>
      </c>
      <c r="Q24" s="507" t="str">
        <f>IF('要入力　登録決定状況入力シート'!H12="","",'要入力　登録決定状況入力シート'!H12)</f>
        <v/>
      </c>
      <c r="R24" s="508"/>
      <c r="S24" s="508"/>
      <c r="T24" s="508"/>
      <c r="U24" s="508"/>
      <c r="V24" s="508"/>
      <c r="W24" s="508"/>
      <c r="X24" s="508"/>
      <c r="Y24" s="80" t="s">
        <v>17</v>
      </c>
      <c r="AA24" s="22" t="s">
        <v>224</v>
      </c>
    </row>
    <row r="25" spans="1:52" ht="16.5" customHeight="1" x14ac:dyDescent="0.2">
      <c r="B25" s="309" t="s">
        <v>217</v>
      </c>
      <c r="C25" s="310"/>
      <c r="D25" s="310"/>
      <c r="E25" s="310"/>
      <c r="F25" s="310"/>
      <c r="G25" s="324"/>
      <c r="H25" s="507" t="str">
        <f>IF(H23="","",H24-H23)</f>
        <v/>
      </c>
      <c r="I25" s="508"/>
      <c r="J25" s="508"/>
      <c r="K25" s="508"/>
      <c r="L25" s="508"/>
      <c r="M25" s="508"/>
      <c r="N25" s="508"/>
      <c r="O25" s="508"/>
      <c r="P25" s="80" t="s">
        <v>17</v>
      </c>
      <c r="Q25" s="507" t="str">
        <f>IF(Q23="","",Q24-Q23)</f>
        <v/>
      </c>
      <c r="R25" s="508"/>
      <c r="S25" s="508"/>
      <c r="T25" s="508"/>
      <c r="U25" s="508"/>
      <c r="V25" s="508"/>
      <c r="W25" s="508"/>
      <c r="X25" s="508"/>
      <c r="Y25" s="80" t="s">
        <v>17</v>
      </c>
      <c r="AA25" s="79"/>
    </row>
    <row r="26" spans="1:52" ht="16.5"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260</v>
      </c>
      <c r="AA48" s="79"/>
    </row>
    <row r="49" spans="2:27" ht="16.5"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customHeight="1" x14ac:dyDescent="0.2">
      <c r="B51" s="487" t="s">
        <v>410</v>
      </c>
      <c r="C51" s="488"/>
      <c r="D51" s="488"/>
      <c r="E51" s="488"/>
      <c r="F51" s="488"/>
      <c r="G51" s="489"/>
      <c r="H51" s="272" t="s">
        <v>415</v>
      </c>
      <c r="I51" s="273"/>
      <c r="J51" s="273"/>
      <c r="K51" s="273"/>
      <c r="L51" s="273"/>
      <c r="M51" s="273"/>
      <c r="N51" s="273"/>
      <c r="O51" s="273"/>
      <c r="P51" s="273"/>
      <c r="Q51" s="273"/>
      <c r="R51" s="273"/>
      <c r="S51" s="273"/>
      <c r="T51" s="273"/>
      <c r="U51" s="273"/>
      <c r="V51" s="273"/>
      <c r="W51" s="273"/>
      <c r="X51" s="273"/>
      <c r="Y51" s="274"/>
      <c r="AA51" s="79" t="s">
        <v>66</v>
      </c>
    </row>
    <row r="52" spans="2:27" ht="16.5" customHeight="1" x14ac:dyDescent="0.2">
      <c r="B52" s="490"/>
      <c r="C52" s="491"/>
      <c r="D52" s="491"/>
      <c r="E52" s="491"/>
      <c r="F52" s="491"/>
      <c r="G52" s="492"/>
      <c r="H52" s="82" t="s">
        <v>416</v>
      </c>
      <c r="I52" s="13"/>
      <c r="J52" s="13"/>
      <c r="K52" s="13"/>
      <c r="L52" s="13"/>
      <c r="M52" s="13"/>
      <c r="N52" s="13"/>
      <c r="O52" s="13"/>
      <c r="P52" s="13"/>
      <c r="Q52" s="13"/>
      <c r="R52" s="13"/>
      <c r="S52" s="13"/>
      <c r="T52" s="13"/>
      <c r="U52" s="13"/>
      <c r="V52" s="13"/>
      <c r="W52" s="13"/>
      <c r="X52" s="13"/>
      <c r="Y52" s="83"/>
      <c r="AA52" s="79"/>
    </row>
    <row r="53" spans="2:27" ht="16.5" hidden="1" customHeight="1" x14ac:dyDescent="0.2">
      <c r="B53" s="490"/>
      <c r="C53" s="491"/>
      <c r="D53" s="491"/>
      <c r="E53" s="491"/>
      <c r="F53" s="491"/>
      <c r="G53" s="492"/>
      <c r="H53" s="82" t="e">
        <f>IF(【様式第６号】事業報告書兼チェックシート!#REF!="","","・"&amp;【様式第６号】事業報告書兼チェックシート!#REF!)</f>
        <v>#REF!</v>
      </c>
      <c r="I53" s="13"/>
      <c r="J53" s="13"/>
      <c r="K53" s="13"/>
      <c r="L53" s="13"/>
      <c r="M53" s="13"/>
      <c r="N53" s="13"/>
      <c r="O53" s="13"/>
      <c r="P53" s="13"/>
      <c r="Q53" s="13"/>
      <c r="R53" s="13"/>
      <c r="S53" s="13"/>
      <c r="T53" s="13"/>
      <c r="U53" s="13"/>
      <c r="V53" s="13"/>
      <c r="W53" s="13"/>
      <c r="X53" s="13"/>
      <c r="Y53" s="83"/>
    </row>
    <row r="54" spans="2:27" ht="16.5" customHeight="1" x14ac:dyDescent="0.2">
      <c r="B54" s="28"/>
      <c r="G54" s="81"/>
      <c r="H54" s="82" t="str">
        <f>IF(【様式第６号】事業報告書兼チェックシート!C242="","","・"&amp;【様式第６号】事業報告書兼チェックシート!C242)</f>
        <v/>
      </c>
      <c r="I54" s="13"/>
      <c r="J54" s="13"/>
      <c r="K54" s="13"/>
      <c r="L54" s="13"/>
      <c r="M54" s="13"/>
      <c r="N54" s="13"/>
      <c r="O54" s="13"/>
      <c r="P54" s="13"/>
      <c r="Q54" s="13"/>
      <c r="R54" s="13"/>
      <c r="S54" s="13"/>
      <c r="T54" s="13"/>
      <c r="U54" s="13"/>
      <c r="V54" s="13"/>
      <c r="W54" s="13"/>
      <c r="X54" s="13"/>
      <c r="Y54" s="83"/>
    </row>
    <row r="55" spans="2:27" ht="16.5" customHeight="1" x14ac:dyDescent="0.2">
      <c r="B55" s="28"/>
      <c r="G55" s="81"/>
      <c r="H55" s="82" t="str">
        <f>IF(【様式第６号】事業報告書兼チェックシート!C243="","","・"&amp;【様式第６号】事業報告書兼チェックシート!C243)</f>
        <v/>
      </c>
      <c r="I55" s="13"/>
      <c r="J55" s="13"/>
      <c r="K55" s="13"/>
      <c r="L55" s="13"/>
      <c r="M55" s="13"/>
      <c r="N55" s="13"/>
      <c r="O55" s="13"/>
      <c r="P55" s="13"/>
      <c r="Q55" s="13"/>
      <c r="R55" s="13"/>
      <c r="S55" s="13"/>
      <c r="T55" s="13"/>
      <c r="U55" s="13"/>
      <c r="V55" s="13"/>
      <c r="W55" s="13"/>
      <c r="X55" s="13"/>
      <c r="Y55" s="83"/>
    </row>
    <row r="56" spans="2:27" ht="16.5" customHeight="1" x14ac:dyDescent="0.2">
      <c r="B56" s="28"/>
      <c r="G56" s="81"/>
      <c r="H56" s="82" t="str">
        <f>IF(【様式第６号】事業報告書兼チェックシート!C244="","","・"&amp;【様式第６号】事業報告書兼チェックシート!C244)</f>
        <v>・完成写真及び口座振替依頼書</v>
      </c>
      <c r="I56" s="13"/>
      <c r="J56" s="13"/>
      <c r="K56" s="13"/>
      <c r="L56" s="13"/>
      <c r="M56" s="13"/>
      <c r="N56" s="13"/>
      <c r="O56" s="13"/>
      <c r="P56" s="13"/>
      <c r="Q56" s="13"/>
      <c r="R56" s="13"/>
      <c r="S56" s="13"/>
      <c r="T56" s="13"/>
      <c r="U56" s="13"/>
      <c r="V56" s="13"/>
      <c r="W56" s="13"/>
      <c r="X56" s="13"/>
      <c r="Y56" s="83"/>
    </row>
    <row r="57" spans="2:27" ht="16.5" customHeight="1" x14ac:dyDescent="0.2">
      <c r="B57" s="28"/>
      <c r="G57" s="81"/>
      <c r="H57" s="82" t="str">
        <f>IF(【様式第６号】事業報告書兼チェックシート!C245="","","・"&amp;【様式第６号】事業報告書兼チェックシート!C245)</f>
        <v>・鳥取県産材活用協議会が発行する県産材の産地証明書の写し</v>
      </c>
      <c r="I57" s="13"/>
      <c r="J57" s="13"/>
      <c r="K57" s="13"/>
      <c r="L57" s="13"/>
      <c r="M57" s="13"/>
      <c r="N57" s="13"/>
      <c r="O57" s="13"/>
      <c r="P57" s="13"/>
      <c r="Q57" s="13"/>
      <c r="R57" s="13"/>
      <c r="S57" s="13"/>
      <c r="T57" s="13"/>
      <c r="U57" s="13"/>
      <c r="V57" s="13"/>
      <c r="W57" s="13"/>
      <c r="X57" s="13"/>
      <c r="Y57" s="83"/>
    </row>
    <row r="58" spans="2:27" ht="28.5" customHeight="1" x14ac:dyDescent="0.2">
      <c r="B58" s="28"/>
      <c r="G58" s="81"/>
      <c r="H58" s="464" t="str">
        <f>IF(【様式第６号】事業報告書兼チェックシート!C246="","","・"&amp;【様式第６号】事業報告書兼チェックシート!C246)</f>
        <v/>
      </c>
      <c r="I58" s="316"/>
      <c r="J58" s="316"/>
      <c r="K58" s="316"/>
      <c r="L58" s="316"/>
      <c r="M58" s="316"/>
      <c r="N58" s="316"/>
      <c r="O58" s="316"/>
      <c r="P58" s="316"/>
      <c r="Q58" s="316"/>
      <c r="R58" s="316"/>
      <c r="S58" s="316"/>
      <c r="T58" s="316"/>
      <c r="U58" s="316"/>
      <c r="V58" s="316"/>
      <c r="W58" s="316"/>
      <c r="X58" s="316"/>
      <c r="Y58" s="465"/>
    </row>
    <row r="59" spans="2:27" ht="30" customHeight="1" x14ac:dyDescent="0.2">
      <c r="B59" s="28"/>
      <c r="G59" s="81"/>
      <c r="H59" s="464" t="str">
        <f>IF(【様式第６号】事業報告書兼チェックシート!C247="","","・"&amp;【様式第６号】事業報告書兼チェックシート!C247)</f>
        <v/>
      </c>
      <c r="I59" s="316"/>
      <c r="J59" s="316"/>
      <c r="K59" s="316"/>
      <c r="L59" s="316"/>
      <c r="M59" s="316"/>
      <c r="N59" s="316"/>
      <c r="O59" s="316"/>
      <c r="P59" s="316"/>
      <c r="Q59" s="316"/>
      <c r="R59" s="316"/>
      <c r="S59" s="316"/>
      <c r="T59" s="316"/>
      <c r="U59" s="316"/>
      <c r="V59" s="316"/>
      <c r="W59" s="316"/>
      <c r="X59" s="316"/>
      <c r="Y59" s="465"/>
    </row>
    <row r="60" spans="2:27" ht="33" customHeight="1" x14ac:dyDescent="0.2">
      <c r="B60" s="28"/>
      <c r="G60" s="81"/>
      <c r="H60" s="464" t="str">
        <f>IF(【様式第６号】事業報告書兼チェックシート!C248="","","・"&amp;【様式第６号】事業報告書兼チェックシート!C248)</f>
        <v/>
      </c>
      <c r="I60" s="316"/>
      <c r="J60" s="316"/>
      <c r="K60" s="316"/>
      <c r="L60" s="316"/>
      <c r="M60" s="316"/>
      <c r="N60" s="316"/>
      <c r="O60" s="316"/>
      <c r="P60" s="316"/>
      <c r="Q60" s="316"/>
      <c r="R60" s="316"/>
      <c r="S60" s="316"/>
      <c r="T60" s="316"/>
      <c r="U60" s="316"/>
      <c r="V60" s="316"/>
      <c r="W60" s="316"/>
      <c r="X60" s="316"/>
      <c r="Y60" s="465"/>
    </row>
    <row r="61" spans="2:27" ht="16.5" customHeight="1" x14ac:dyDescent="0.2">
      <c r="B61" s="28"/>
      <c r="G61" s="81"/>
      <c r="H61" s="468" t="str">
        <f>IF(【様式第６号】事業報告書兼チェックシート!C249="","","・"&amp;【様式第６号】事業報告書兼チェックシート!C249)</f>
        <v/>
      </c>
      <c r="I61" s="469"/>
      <c r="J61" s="469"/>
      <c r="K61" s="469"/>
      <c r="L61" s="469"/>
      <c r="M61" s="469"/>
      <c r="N61" s="469"/>
      <c r="O61" s="469"/>
      <c r="P61" s="469"/>
      <c r="Q61" s="469"/>
      <c r="R61" s="469"/>
      <c r="S61" s="469"/>
      <c r="T61" s="469"/>
      <c r="U61" s="469"/>
      <c r="V61" s="469"/>
      <c r="W61" s="469"/>
      <c r="X61" s="469"/>
      <c r="Y61" s="470"/>
    </row>
    <row r="62" spans="2:27" ht="56.25" customHeight="1" x14ac:dyDescent="0.2">
      <c r="B62" s="28"/>
      <c r="G62" s="81"/>
      <c r="H62" s="464" t="str">
        <f>IF(【様式第６号】事業報告書兼チェックシート!C250="","","・"&amp;【様式第６号】事業報告書兼チェックシート!C250)</f>
        <v/>
      </c>
      <c r="I62" s="316"/>
      <c r="J62" s="316"/>
      <c r="K62" s="316"/>
      <c r="L62" s="316"/>
      <c r="M62" s="316"/>
      <c r="N62" s="316"/>
      <c r="O62" s="316"/>
      <c r="P62" s="316"/>
      <c r="Q62" s="316"/>
      <c r="R62" s="316"/>
      <c r="S62" s="316"/>
      <c r="T62" s="316"/>
      <c r="U62" s="316"/>
      <c r="V62" s="316"/>
      <c r="W62" s="316"/>
      <c r="X62" s="316"/>
      <c r="Y62" s="465"/>
    </row>
    <row r="63" spans="2:27" ht="30" customHeight="1" x14ac:dyDescent="0.2">
      <c r="B63" s="28"/>
      <c r="G63" s="81"/>
      <c r="H63" s="466" t="str">
        <f>IF(【様式第６号】事業報告書兼チェックシート!C251="","","・"&amp;【様式第６号】事業報告書兼チェックシート!C251)</f>
        <v>・登録住宅を購入した場合は、その購入契約書の写し</v>
      </c>
      <c r="I63" s="395"/>
      <c r="J63" s="395"/>
      <c r="K63" s="395"/>
      <c r="L63" s="395"/>
      <c r="M63" s="395"/>
      <c r="N63" s="395"/>
      <c r="O63" s="395"/>
      <c r="P63" s="395"/>
      <c r="Q63" s="395"/>
      <c r="R63" s="395"/>
      <c r="S63" s="395"/>
      <c r="T63" s="395"/>
      <c r="U63" s="395"/>
      <c r="V63" s="395"/>
      <c r="W63" s="395"/>
      <c r="X63" s="395"/>
      <c r="Y63" s="467"/>
    </row>
    <row r="64" spans="2:27" ht="22.2" customHeight="1" x14ac:dyDescent="0.2">
      <c r="B64" s="28"/>
      <c r="G64" s="81"/>
      <c r="H64" s="464" t="str">
        <f>IF(【様式第６号】事業報告書兼チェックシート!C252="","","・"&amp;【様式第６号】事業報告書兼チェックシート!C252)</f>
        <v/>
      </c>
      <c r="I64" s="316"/>
      <c r="J64" s="316"/>
      <c r="K64" s="316"/>
      <c r="L64" s="316"/>
      <c r="M64" s="316"/>
      <c r="N64" s="316"/>
      <c r="O64" s="316"/>
      <c r="P64" s="316"/>
      <c r="Q64" s="316"/>
      <c r="R64" s="316"/>
      <c r="S64" s="316"/>
      <c r="T64" s="316"/>
      <c r="U64" s="316"/>
      <c r="V64" s="316"/>
      <c r="W64" s="316"/>
      <c r="X64" s="316"/>
      <c r="Y64" s="465"/>
    </row>
    <row r="65" spans="2:25" ht="18.75" customHeight="1" x14ac:dyDescent="0.2">
      <c r="B65" s="28"/>
      <c r="G65" s="81"/>
      <c r="H65" s="468" t="str">
        <f>IF(【様式第６号】事業報告書兼チェックシート!C253="","","・"&amp;【様式第６号】事業報告書兼チェックシート!C253)</f>
        <v/>
      </c>
      <c r="I65" s="469"/>
      <c r="J65" s="469"/>
      <c r="K65" s="469"/>
      <c r="L65" s="469"/>
      <c r="M65" s="469"/>
      <c r="N65" s="469"/>
      <c r="O65" s="469"/>
      <c r="P65" s="469"/>
      <c r="Q65" s="469"/>
      <c r="R65" s="469"/>
      <c r="S65" s="469"/>
      <c r="T65" s="469"/>
      <c r="U65" s="469"/>
      <c r="V65" s="469"/>
      <c r="W65" s="469"/>
      <c r="X65" s="469"/>
      <c r="Y65" s="470"/>
    </row>
    <row r="66" spans="2:25" ht="18.75" customHeight="1" x14ac:dyDescent="0.2">
      <c r="B66" s="28"/>
      <c r="G66" s="81"/>
      <c r="H66" s="468" t="str">
        <f>IF(【様式第６号】事業報告書兼チェックシート!C254="","","・"&amp;【様式第６号】事業報告書兼チェックシート!C254)</f>
        <v/>
      </c>
      <c r="I66" s="469"/>
      <c r="J66" s="469"/>
      <c r="K66" s="469"/>
      <c r="L66" s="469"/>
      <c r="M66" s="469"/>
      <c r="N66" s="469"/>
      <c r="O66" s="469"/>
      <c r="P66" s="469"/>
      <c r="Q66" s="469"/>
      <c r="R66" s="469"/>
      <c r="S66" s="469"/>
      <c r="T66" s="469"/>
      <c r="U66" s="469"/>
      <c r="V66" s="469"/>
      <c r="W66" s="469"/>
      <c r="X66" s="469"/>
      <c r="Y66" s="470"/>
    </row>
    <row r="67" spans="2:25" ht="32.25" customHeight="1" x14ac:dyDescent="0.2">
      <c r="B67" s="28"/>
      <c r="G67" s="81"/>
      <c r="H67" s="464" t="str">
        <f>IF(【様式第６号】事業報告書兼チェックシート!C255="","","・"&amp;【様式第６号】事業報告書兼チェックシート!C255)</f>
        <v/>
      </c>
      <c r="I67" s="316"/>
      <c r="J67" s="316"/>
      <c r="K67" s="316"/>
      <c r="L67" s="316"/>
      <c r="M67" s="316"/>
      <c r="N67" s="316"/>
      <c r="O67" s="316"/>
      <c r="P67" s="316"/>
      <c r="Q67" s="316"/>
      <c r="R67" s="316"/>
      <c r="S67" s="316"/>
      <c r="T67" s="316"/>
      <c r="U67" s="316"/>
      <c r="V67" s="316"/>
      <c r="W67" s="316"/>
      <c r="X67" s="316"/>
      <c r="Y67" s="465"/>
    </row>
    <row r="68" spans="2:25" ht="32.25" customHeight="1" x14ac:dyDescent="0.2">
      <c r="B68" s="28"/>
      <c r="G68" s="81"/>
      <c r="H68" s="464" t="str">
        <f>IF(【様式第６号】事業報告書兼チェックシート!C256="","","・"&amp;【様式第６号】事業報告書兼チェックシート!C256)</f>
        <v/>
      </c>
      <c r="I68" s="316"/>
      <c r="J68" s="316"/>
      <c r="K68" s="316"/>
      <c r="L68" s="316"/>
      <c r="M68" s="316"/>
      <c r="N68" s="316"/>
      <c r="O68" s="316"/>
      <c r="P68" s="316"/>
      <c r="Q68" s="316"/>
      <c r="R68" s="316"/>
      <c r="S68" s="316"/>
      <c r="T68" s="316"/>
      <c r="U68" s="316"/>
      <c r="V68" s="316"/>
      <c r="W68" s="316"/>
      <c r="X68" s="316"/>
      <c r="Y68" s="465"/>
    </row>
    <row r="69" spans="2:25" ht="30.75" customHeight="1" x14ac:dyDescent="0.2">
      <c r="B69" s="28"/>
      <c r="G69" s="81"/>
      <c r="H69" s="464" t="str">
        <f>IF(【様式第６号】事業報告書兼チェックシート!C257="","","・"&amp;【様式第６号】事業報告書兼チェックシート!C257)</f>
        <v/>
      </c>
      <c r="I69" s="316"/>
      <c r="J69" s="316"/>
      <c r="K69" s="316"/>
      <c r="L69" s="316"/>
      <c r="M69" s="316"/>
      <c r="N69" s="316"/>
      <c r="O69" s="316"/>
      <c r="P69" s="316"/>
      <c r="Q69" s="316"/>
      <c r="R69" s="316"/>
      <c r="S69" s="316"/>
      <c r="T69" s="316"/>
      <c r="U69" s="316"/>
      <c r="V69" s="316"/>
      <c r="W69" s="316"/>
      <c r="X69" s="316"/>
      <c r="Y69" s="465"/>
    </row>
    <row r="70" spans="2:25" ht="30.75" customHeight="1" x14ac:dyDescent="0.2">
      <c r="B70" s="28"/>
      <c r="G70" s="81"/>
      <c r="H70" s="464" t="str">
        <f>IF(【様式第６号】事業報告書兼チェックシート!C258="","","・"&amp;【様式第６号】事業報告書兼チェックシート!C258)</f>
        <v/>
      </c>
      <c r="I70" s="316"/>
      <c r="J70" s="316"/>
      <c r="K70" s="316"/>
      <c r="L70" s="316"/>
      <c r="M70" s="316"/>
      <c r="N70" s="316"/>
      <c r="O70" s="316"/>
      <c r="P70" s="316"/>
      <c r="Q70" s="316"/>
      <c r="R70" s="316"/>
      <c r="S70" s="316"/>
      <c r="T70" s="316"/>
      <c r="U70" s="316"/>
      <c r="V70" s="316"/>
      <c r="W70" s="316"/>
      <c r="X70" s="316"/>
      <c r="Y70" s="465"/>
    </row>
    <row r="71" spans="2:25" ht="30.75" customHeight="1" x14ac:dyDescent="0.2">
      <c r="B71" s="28"/>
      <c r="G71" s="81"/>
      <c r="H71" s="464" t="str">
        <f>IF(【様式第６号】事業報告書兼チェックシート!C259="","","・"&amp;【様式第６号】事業報告書兼チェックシート!C259)</f>
        <v/>
      </c>
      <c r="I71" s="316"/>
      <c r="J71" s="316"/>
      <c r="K71" s="316"/>
      <c r="L71" s="316"/>
      <c r="M71" s="316"/>
      <c r="N71" s="316"/>
      <c r="O71" s="316"/>
      <c r="P71" s="316"/>
      <c r="Q71" s="316"/>
      <c r="R71" s="316"/>
      <c r="S71" s="316"/>
      <c r="T71" s="316"/>
      <c r="U71" s="316"/>
      <c r="V71" s="316"/>
      <c r="W71" s="316"/>
      <c r="X71" s="316"/>
      <c r="Y71" s="465"/>
    </row>
    <row r="72" spans="2:25" ht="30.75" customHeight="1" x14ac:dyDescent="0.2">
      <c r="B72" s="28"/>
      <c r="G72" s="81"/>
      <c r="H72" s="464" t="str">
        <f>IF(【様式第６号】事業報告書兼チェックシート!C260="","","・"&amp;【様式第６号】事業報告書兼チェックシート!C260)</f>
        <v/>
      </c>
      <c r="I72" s="316"/>
      <c r="J72" s="316"/>
      <c r="K72" s="316"/>
      <c r="L72" s="316"/>
      <c r="M72" s="316"/>
      <c r="N72" s="316"/>
      <c r="O72" s="316"/>
      <c r="P72" s="316"/>
      <c r="Q72" s="316"/>
      <c r="R72" s="316"/>
      <c r="S72" s="316"/>
      <c r="T72" s="316"/>
      <c r="U72" s="316"/>
      <c r="V72" s="316"/>
      <c r="W72" s="316"/>
      <c r="X72" s="316"/>
      <c r="Y72" s="465"/>
    </row>
    <row r="73" spans="2:25" ht="30.75" customHeight="1" x14ac:dyDescent="0.2">
      <c r="B73" s="28"/>
      <c r="G73" s="81"/>
      <c r="H73" s="464" t="str">
        <f>IF(【様式第６号】事業報告書兼チェックシート!C261="","","・"&amp;【様式第６号】事業報告書兼チェックシート!C261)</f>
        <v/>
      </c>
      <c r="I73" s="316"/>
      <c r="J73" s="316"/>
      <c r="K73" s="316"/>
      <c r="L73" s="316"/>
      <c r="M73" s="316"/>
      <c r="N73" s="316"/>
      <c r="O73" s="316"/>
      <c r="P73" s="316"/>
      <c r="Q73" s="316"/>
      <c r="R73" s="316"/>
      <c r="S73" s="316"/>
      <c r="T73" s="316"/>
      <c r="U73" s="316"/>
      <c r="V73" s="316"/>
      <c r="W73" s="316"/>
      <c r="X73" s="316"/>
      <c r="Y73" s="465"/>
    </row>
    <row r="74" spans="2:25" ht="44.25" customHeight="1" x14ac:dyDescent="0.2">
      <c r="B74" s="28"/>
      <c r="G74" s="81"/>
      <c r="H74" s="464" t="str">
        <f>IF(【様式第６号】事業報告書兼チェックシート!C262="","","・"&amp;【様式第６号】事業報告書兼チェックシート!C262)</f>
        <v/>
      </c>
      <c r="I74" s="316"/>
      <c r="J74" s="316"/>
      <c r="K74" s="316"/>
      <c r="L74" s="316"/>
      <c r="M74" s="316"/>
      <c r="N74" s="316"/>
      <c r="O74" s="316"/>
      <c r="P74" s="316"/>
      <c r="Q74" s="316"/>
      <c r="R74" s="316"/>
      <c r="S74" s="316"/>
      <c r="T74" s="316"/>
      <c r="U74" s="316"/>
      <c r="V74" s="316"/>
      <c r="W74" s="316"/>
      <c r="X74" s="316"/>
      <c r="Y74" s="465"/>
    </row>
    <row r="75" spans="2:25" ht="30.75" customHeight="1" x14ac:dyDescent="0.2">
      <c r="B75" s="28"/>
      <c r="G75" s="81"/>
      <c r="H75" s="464" t="str">
        <f>IF(【様式第６号】事業報告書兼チェックシート!C263="","","・"&amp;【様式第６号】事業報告書兼チェックシート!C263)</f>
        <v/>
      </c>
      <c r="I75" s="316"/>
      <c r="J75" s="316"/>
      <c r="K75" s="316"/>
      <c r="L75" s="316"/>
      <c r="M75" s="316"/>
      <c r="N75" s="316"/>
      <c r="O75" s="316"/>
      <c r="P75" s="316"/>
      <c r="Q75" s="316"/>
      <c r="R75" s="316"/>
      <c r="S75" s="316"/>
      <c r="T75" s="316"/>
      <c r="U75" s="316"/>
      <c r="V75" s="316"/>
      <c r="W75" s="316"/>
      <c r="X75" s="316"/>
      <c r="Y75" s="465"/>
    </row>
    <row r="76" spans="2:25" ht="43.5" customHeight="1" x14ac:dyDescent="0.2">
      <c r="B76" s="28"/>
      <c r="G76" s="81"/>
      <c r="H76" s="464" t="str">
        <f>IF(【様式第６号】事業報告書兼チェックシート!C264="","","・"&amp;【様式第６号】事業報告書兼チェックシート!C264)</f>
        <v/>
      </c>
      <c r="I76" s="316"/>
      <c r="J76" s="316"/>
      <c r="K76" s="316"/>
      <c r="L76" s="316"/>
      <c r="M76" s="316"/>
      <c r="N76" s="316"/>
      <c r="O76" s="316"/>
      <c r="P76" s="316"/>
      <c r="Q76" s="316"/>
      <c r="R76" s="316"/>
      <c r="S76" s="316"/>
      <c r="T76" s="316"/>
      <c r="U76" s="316"/>
      <c r="V76" s="316"/>
      <c r="W76" s="316"/>
      <c r="X76" s="316"/>
      <c r="Y76" s="465"/>
    </row>
    <row r="77" spans="2:25" ht="21" customHeight="1" x14ac:dyDescent="0.2">
      <c r="B77" s="28"/>
      <c r="G77" s="81"/>
      <c r="H77" s="464" t="str">
        <f>IF(【様式第６号】事業報告書兼チェックシート!C268="","","・"&amp;【様式第６号】事業報告書兼チェックシート!C268)</f>
        <v/>
      </c>
      <c r="I77" s="316"/>
      <c r="J77" s="316"/>
      <c r="K77" s="316"/>
      <c r="L77" s="316"/>
      <c r="M77" s="316"/>
      <c r="N77" s="316"/>
      <c r="O77" s="316"/>
      <c r="P77" s="316"/>
      <c r="Q77" s="316"/>
      <c r="R77" s="316"/>
      <c r="S77" s="316"/>
      <c r="T77" s="316"/>
      <c r="U77" s="316"/>
      <c r="V77" s="316"/>
      <c r="W77" s="316"/>
      <c r="X77" s="316"/>
      <c r="Y77" s="465"/>
    </row>
    <row r="78" spans="2:25" ht="19.5" customHeight="1" x14ac:dyDescent="0.2">
      <c r="B78" s="8"/>
      <c r="C78" s="17"/>
      <c r="D78" s="17"/>
      <c r="E78" s="17"/>
      <c r="F78" s="17"/>
      <c r="G78" s="9"/>
      <c r="H78" s="504" t="str">
        <f>IF(【様式第６号】事業報告書兼チェックシート!C265="","","・"&amp;【様式第６号】事業報告書兼チェックシート!C265)</f>
        <v/>
      </c>
      <c r="I78" s="505"/>
      <c r="J78" s="505"/>
      <c r="K78" s="505"/>
      <c r="L78" s="505"/>
      <c r="M78" s="505"/>
      <c r="N78" s="505"/>
      <c r="O78" s="505"/>
      <c r="P78" s="505"/>
      <c r="Q78" s="505"/>
      <c r="R78" s="505"/>
      <c r="S78" s="505"/>
      <c r="T78" s="505"/>
      <c r="U78" s="505"/>
      <c r="V78" s="505"/>
      <c r="W78" s="505"/>
      <c r="X78" s="505"/>
      <c r="Y78" s="506"/>
    </row>
    <row r="79" spans="2:25" ht="19.5" hidden="1" customHeight="1" x14ac:dyDescent="0.2">
      <c r="B79" s="8"/>
      <c r="C79" s="17"/>
      <c r="D79" s="17"/>
      <c r="E79" s="17"/>
      <c r="F79" s="17"/>
      <c r="G79" s="9"/>
      <c r="H79" s="504" t="str">
        <f>IF(【様式第６号】事業報告書兼チェックシート!C265="","","・"&amp;【様式第６号】事業報告書兼チェックシート!C265)</f>
        <v/>
      </c>
      <c r="I79" s="505"/>
      <c r="J79" s="505"/>
      <c r="K79" s="505"/>
      <c r="L79" s="505"/>
      <c r="M79" s="505"/>
      <c r="N79" s="505"/>
      <c r="O79" s="505"/>
      <c r="P79" s="505"/>
      <c r="Q79" s="505"/>
      <c r="R79" s="505"/>
      <c r="S79" s="505"/>
      <c r="T79" s="505"/>
      <c r="U79" s="505"/>
      <c r="V79" s="505"/>
      <c r="W79" s="505"/>
      <c r="X79" s="505"/>
      <c r="Y79" s="506"/>
    </row>
    <row r="80" spans="2:25" ht="19.5" hidden="1" customHeight="1" x14ac:dyDescent="0.2">
      <c r="B80" s="379" t="s">
        <v>262</v>
      </c>
      <c r="C80" s="380"/>
      <c r="D80" s="380"/>
      <c r="E80" s="380"/>
      <c r="F80" s="380"/>
      <c r="G80" s="381"/>
      <c r="H80" s="464" t="str">
        <f>IF(【様式第６号】事業報告書兼チェックシート!C266="","","・"&amp;【様式第６号】事業報告書兼チェックシート!C266)</f>
        <v/>
      </c>
      <c r="I80" s="316"/>
      <c r="J80" s="316"/>
      <c r="K80" s="316"/>
      <c r="L80" s="316"/>
      <c r="M80" s="316"/>
      <c r="N80" s="316"/>
      <c r="O80" s="316"/>
      <c r="P80" s="316"/>
      <c r="Q80" s="316"/>
      <c r="R80" s="316"/>
      <c r="S80" s="316"/>
      <c r="T80" s="316"/>
      <c r="U80" s="316"/>
      <c r="V80" s="316"/>
      <c r="W80" s="316"/>
      <c r="X80" s="316"/>
      <c r="Y80" s="465"/>
    </row>
    <row r="81" spans="1:27" ht="19.5" hidden="1" customHeight="1" x14ac:dyDescent="0.2">
      <c r="B81" s="482"/>
      <c r="C81" s="298"/>
      <c r="D81" s="298"/>
      <c r="E81" s="298"/>
      <c r="F81" s="298"/>
      <c r="G81" s="483"/>
      <c r="H81" s="464" t="str">
        <f>IF(【様式第６号】事業報告書兼チェックシート!C267="","","・"&amp;【様式第６号】事業報告書兼チェックシート!C267)</f>
        <v/>
      </c>
      <c r="I81" s="316"/>
      <c r="J81" s="316"/>
      <c r="K81" s="316"/>
      <c r="L81" s="316"/>
      <c r="M81" s="316"/>
      <c r="N81" s="316"/>
      <c r="O81" s="316"/>
      <c r="P81" s="316"/>
      <c r="Q81" s="316"/>
      <c r="R81" s="316"/>
      <c r="S81" s="316"/>
      <c r="T81" s="316"/>
      <c r="U81" s="316"/>
      <c r="V81" s="316"/>
      <c r="W81" s="316"/>
      <c r="X81" s="316"/>
      <c r="Y81" s="465"/>
    </row>
    <row r="82" spans="1:27" ht="19.5" hidden="1" customHeight="1" x14ac:dyDescent="0.2">
      <c r="B82" s="28"/>
      <c r="G82" s="81"/>
      <c r="H82" s="464" t="str">
        <f>IF(【様式第６号】事業報告書兼チェックシート!C268="","","・"&amp;【様式第６号】事業報告書兼チェックシート!C268)</f>
        <v/>
      </c>
      <c r="I82" s="316"/>
      <c r="J82" s="316"/>
      <c r="K82" s="316"/>
      <c r="L82" s="316"/>
      <c r="M82" s="316"/>
      <c r="N82" s="316"/>
      <c r="O82" s="316"/>
      <c r="P82" s="316"/>
      <c r="Q82" s="316"/>
      <c r="R82" s="316"/>
      <c r="S82" s="316"/>
      <c r="T82" s="316"/>
      <c r="U82" s="316"/>
      <c r="V82" s="316"/>
      <c r="W82" s="316"/>
      <c r="X82" s="316"/>
      <c r="Y82" s="465"/>
    </row>
    <row r="83" spans="1:27" ht="19.5" hidden="1" customHeight="1" x14ac:dyDescent="0.2">
      <c r="B83" s="28"/>
      <c r="G83" s="81"/>
      <c r="H83" s="100"/>
      <c r="I83" s="101"/>
      <c r="J83" s="101"/>
      <c r="K83" s="101"/>
      <c r="L83" s="101"/>
      <c r="M83" s="101"/>
      <c r="N83" s="101"/>
      <c r="O83" s="101"/>
      <c r="P83" s="101"/>
      <c r="Q83" s="101"/>
      <c r="R83" s="101"/>
      <c r="S83" s="101"/>
      <c r="T83" s="101"/>
      <c r="U83" s="101"/>
      <c r="V83" s="101"/>
      <c r="W83" s="101"/>
      <c r="X83" s="101"/>
      <c r="Y83" s="102"/>
    </row>
    <row r="84" spans="1:27" ht="18" hidden="1" customHeight="1" x14ac:dyDescent="0.2">
      <c r="B84" s="8"/>
      <c r="C84" s="17"/>
      <c r="D84" s="17"/>
      <c r="E84" s="17"/>
      <c r="F84" s="17"/>
      <c r="G84" s="9"/>
      <c r="H84" s="84"/>
      <c r="I84" s="85"/>
      <c r="J84" s="17"/>
      <c r="K84" s="17"/>
      <c r="L84" s="17"/>
      <c r="M84" s="17"/>
      <c r="N84" s="17"/>
      <c r="O84" s="17"/>
      <c r="P84" s="17"/>
      <c r="Q84" s="17"/>
      <c r="R84" s="17"/>
      <c r="S84" s="17"/>
      <c r="T84" s="17"/>
      <c r="U84" s="17"/>
      <c r="V84" s="17"/>
      <c r="W84" s="17"/>
      <c r="X84" s="17"/>
      <c r="Y84" s="9"/>
    </row>
    <row r="93" spans="1:27" ht="18" hidden="1" customHeight="1" x14ac:dyDescent="0.2"/>
    <row r="94" spans="1:27" ht="18" hidden="1" customHeight="1" x14ac:dyDescent="0.2"/>
    <row r="95" spans="1:27" s="13" customFormat="1" ht="18" hidden="1" customHeight="1" x14ac:dyDescent="0.15">
      <c r="A95" s="86" t="s">
        <v>218</v>
      </c>
      <c r="B95" s="87"/>
      <c r="C95" s="87"/>
      <c r="D95" s="87"/>
      <c r="E95" s="87"/>
      <c r="F95" s="87"/>
      <c r="G95" s="87"/>
      <c r="H95" s="87"/>
      <c r="I95" s="87"/>
      <c r="J95" s="87"/>
      <c r="K95" s="87"/>
      <c r="L95" s="87"/>
      <c r="M95" s="87"/>
      <c r="N95" s="87"/>
      <c r="O95" s="87"/>
      <c r="P95" s="87"/>
      <c r="Q95" s="88"/>
      <c r="R95" s="87"/>
      <c r="S95" s="87"/>
      <c r="T95" s="87"/>
      <c r="U95" s="87"/>
      <c r="V95" s="87"/>
      <c r="W95" s="87"/>
      <c r="X95" s="87"/>
      <c r="Y95" s="87"/>
      <c r="Z95" s="87"/>
      <c r="AA95" s="23"/>
    </row>
    <row r="96" spans="1:27" s="13" customFormat="1" ht="18" hidden="1" customHeight="1" x14ac:dyDescent="0.15">
      <c r="A96" s="86"/>
      <c r="B96" s="13" t="s">
        <v>11</v>
      </c>
      <c r="AA96" s="23"/>
    </row>
    <row r="97" spans="2:35" s="13" customFormat="1" ht="18" hidden="1" customHeight="1" x14ac:dyDescent="0.2">
      <c r="B97" s="493" t="s">
        <v>219</v>
      </c>
      <c r="C97" s="494"/>
      <c r="D97" s="494"/>
      <c r="E97" s="494"/>
      <c r="F97" s="494"/>
      <c r="G97" s="494"/>
      <c r="H97" s="495"/>
      <c r="I97" s="89" t="s">
        <v>220</v>
      </c>
      <c r="J97" s="355"/>
      <c r="K97" s="355"/>
      <c r="L97" s="355"/>
      <c r="M97" s="499"/>
      <c r="N97" s="499"/>
      <c r="O97" s="499"/>
      <c r="P97" s="499"/>
      <c r="Q97" s="499"/>
      <c r="R97" s="499"/>
      <c r="S97" s="499"/>
      <c r="T97" s="499"/>
      <c r="U97" s="499"/>
      <c r="V97" s="499"/>
      <c r="W97" s="499"/>
      <c r="X97" s="499"/>
      <c r="Y97" s="500"/>
      <c r="AA97" s="22"/>
    </row>
    <row r="98" spans="2:35" s="13" customFormat="1" ht="18" hidden="1" customHeight="1" x14ac:dyDescent="0.2">
      <c r="B98" s="496"/>
      <c r="C98" s="497"/>
      <c r="D98" s="497"/>
      <c r="E98" s="497"/>
      <c r="F98" s="497"/>
      <c r="G98" s="497"/>
      <c r="H98" s="498"/>
      <c r="I98" s="501"/>
      <c r="J98" s="502"/>
      <c r="K98" s="502"/>
      <c r="L98" s="502"/>
      <c r="M98" s="502"/>
      <c r="N98" s="502"/>
      <c r="O98" s="502"/>
      <c r="P98" s="502"/>
      <c r="Q98" s="502"/>
      <c r="R98" s="502"/>
      <c r="S98" s="502"/>
      <c r="T98" s="502"/>
      <c r="U98" s="502"/>
      <c r="V98" s="502"/>
      <c r="W98" s="502"/>
      <c r="X98" s="502"/>
      <c r="Y98" s="503"/>
      <c r="AA98" s="23"/>
      <c r="AB98" s="23"/>
      <c r="AC98" s="23"/>
      <c r="AD98" s="23"/>
      <c r="AE98" s="23"/>
      <c r="AF98" s="23"/>
      <c r="AG98" s="23"/>
      <c r="AH98" s="23"/>
      <c r="AI98" s="23"/>
    </row>
    <row r="99" spans="2:35" s="13" customFormat="1" ht="24" hidden="1" customHeight="1" x14ac:dyDescent="0.2">
      <c r="B99" s="471" t="s">
        <v>221</v>
      </c>
      <c r="C99" s="472"/>
      <c r="D99" s="472"/>
      <c r="E99" s="472"/>
      <c r="F99" s="472"/>
      <c r="G99" s="472"/>
      <c r="H99" s="473"/>
      <c r="I99" s="484"/>
      <c r="J99" s="485"/>
      <c r="K99" s="485"/>
      <c r="L99" s="485"/>
      <c r="M99" s="485"/>
      <c r="N99" s="485"/>
      <c r="O99" s="485"/>
      <c r="P99" s="485"/>
      <c r="Q99" s="485"/>
      <c r="R99" s="485"/>
      <c r="S99" s="485"/>
      <c r="T99" s="485"/>
      <c r="U99" s="485"/>
      <c r="V99" s="485"/>
      <c r="W99" s="485"/>
      <c r="X99" s="485"/>
      <c r="Y99" s="486"/>
      <c r="AA99" s="23"/>
      <c r="AB99" s="23"/>
      <c r="AC99" s="23"/>
      <c r="AD99" s="23"/>
      <c r="AE99" s="23"/>
      <c r="AF99" s="23"/>
      <c r="AG99" s="23"/>
      <c r="AH99" s="23"/>
      <c r="AI99" s="23"/>
    </row>
    <row r="100" spans="2:35" s="13" customFormat="1" ht="18" hidden="1" customHeight="1" x14ac:dyDescent="0.2">
      <c r="B100" s="471" t="s">
        <v>18</v>
      </c>
      <c r="C100" s="472"/>
      <c r="D100" s="472"/>
      <c r="E100" s="472"/>
      <c r="F100" s="472"/>
      <c r="G100" s="472"/>
      <c r="H100" s="473"/>
      <c r="I100" s="474"/>
      <c r="J100" s="475"/>
      <c r="K100" s="475"/>
      <c r="L100" s="475"/>
      <c r="M100" s="476"/>
      <c r="N100" s="477" t="s">
        <v>9</v>
      </c>
      <c r="O100" s="478"/>
      <c r="P100" s="479"/>
      <c r="Q100" s="480" t="s">
        <v>222</v>
      </c>
      <c r="R100" s="480"/>
      <c r="S100" s="480"/>
      <c r="T100" s="480"/>
      <c r="U100" s="480"/>
      <c r="V100" s="480"/>
      <c r="W100" s="480"/>
      <c r="X100" s="480"/>
      <c r="Y100" s="481"/>
      <c r="AA100" s="23"/>
      <c r="AB100" s="23"/>
      <c r="AC100" s="23"/>
      <c r="AD100" s="23"/>
      <c r="AE100" s="23"/>
      <c r="AF100" s="23"/>
      <c r="AG100" s="23"/>
      <c r="AH100" s="90"/>
      <c r="AI100" s="23"/>
    </row>
    <row r="101" spans="2:35" s="13" customFormat="1" ht="18" hidden="1" customHeight="1" x14ac:dyDescent="0.2">
      <c r="AA101" s="23"/>
      <c r="AB101" s="23"/>
      <c r="AC101" s="23"/>
      <c r="AD101" s="23"/>
      <c r="AE101" s="23"/>
      <c r="AF101" s="23"/>
      <c r="AG101" s="23"/>
      <c r="AH101" s="23"/>
      <c r="AI101" s="23"/>
    </row>
    <row r="102" spans="2:35" ht="18" hidden="1" customHeight="1" x14ac:dyDescent="0.2"/>
  </sheetData>
  <sheetProtection algorithmName="SHA-512" hashValue="TpMyLfCM385V855d4BhivOUdA/OQz+PVBg1E5W+Myc06c9SnTXE960xC+GVIL4//+FzHmoKeorJNmv6p+5giqQ==" saltValue="xkIaV1RyXxGdtH0iz7NFkw==" spinCount="100000" sheet="1" selectLockedCells="1"/>
  <mergeCells count="62">
    <mergeCell ref="P9:X9"/>
    <mergeCell ref="Q2:R2"/>
    <mergeCell ref="T2:U2"/>
    <mergeCell ref="W2:X2"/>
    <mergeCell ref="O10:X10"/>
    <mergeCell ref="O11:X11"/>
    <mergeCell ref="O12:X12"/>
    <mergeCell ref="A17:Z17"/>
    <mergeCell ref="A15:Z15"/>
    <mergeCell ref="AC16:AG16"/>
    <mergeCell ref="AA19:AZ19"/>
    <mergeCell ref="B21:G21"/>
    <mergeCell ref="A19:Z19"/>
    <mergeCell ref="H21:Y21"/>
    <mergeCell ref="B24:G24"/>
    <mergeCell ref="H24:O24"/>
    <mergeCell ref="Q24:X24"/>
    <mergeCell ref="B22:G23"/>
    <mergeCell ref="H22:P22"/>
    <mergeCell ref="Q22:Y22"/>
    <mergeCell ref="H23:O23"/>
    <mergeCell ref="Q23:X23"/>
    <mergeCell ref="B25:G25"/>
    <mergeCell ref="H25:O25"/>
    <mergeCell ref="Q25:X25"/>
    <mergeCell ref="H58:Y58"/>
    <mergeCell ref="H59:Y59"/>
    <mergeCell ref="H60:Y60"/>
    <mergeCell ref="H61:Y61"/>
    <mergeCell ref="B51:G53"/>
    <mergeCell ref="B97:H98"/>
    <mergeCell ref="J97:L97"/>
    <mergeCell ref="M97:Y97"/>
    <mergeCell ref="I98:Y98"/>
    <mergeCell ref="H70:Y70"/>
    <mergeCell ref="H71:Y71"/>
    <mergeCell ref="H72:Y72"/>
    <mergeCell ref="H73:Y73"/>
    <mergeCell ref="H74:Y74"/>
    <mergeCell ref="H75:Y75"/>
    <mergeCell ref="H76:Y76"/>
    <mergeCell ref="H78:Y78"/>
    <mergeCell ref="H79:Y79"/>
    <mergeCell ref="B100:H100"/>
    <mergeCell ref="I100:M100"/>
    <mergeCell ref="N100:P100"/>
    <mergeCell ref="Q100:Y100"/>
    <mergeCell ref="H68:Y68"/>
    <mergeCell ref="H69:Y69"/>
    <mergeCell ref="B80:G81"/>
    <mergeCell ref="H80:Y80"/>
    <mergeCell ref="H81:Y81"/>
    <mergeCell ref="B99:H99"/>
    <mergeCell ref="I99:Y99"/>
    <mergeCell ref="H82:Y82"/>
    <mergeCell ref="H77:Y77"/>
    <mergeCell ref="H62:Y62"/>
    <mergeCell ref="H63:Y63"/>
    <mergeCell ref="H65:Y65"/>
    <mergeCell ref="H66:Y66"/>
    <mergeCell ref="H67:Y67"/>
    <mergeCell ref="H64:Y64"/>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5"/>
  <sheetViews>
    <sheetView view="pageBreakPreview"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457</v>
      </c>
    </row>
    <row r="2" spans="1:63" ht="15.75" customHeight="1" x14ac:dyDescent="0.2">
      <c r="A2" s="269"/>
      <c r="B2" s="269"/>
      <c r="C2" s="269"/>
      <c r="D2" s="269"/>
      <c r="E2" s="269"/>
      <c r="F2" s="269"/>
      <c r="G2" s="269"/>
      <c r="H2" s="269"/>
      <c r="I2" s="269"/>
      <c r="J2" s="269"/>
      <c r="K2" s="269"/>
      <c r="L2" s="269"/>
      <c r="M2" s="269"/>
      <c r="N2" s="269"/>
      <c r="O2" s="281" t="s">
        <v>256</v>
      </c>
      <c r="P2" s="270"/>
      <c r="Q2" s="516" t="str">
        <f>IF(【様式第６号】事業報告書兼チェックシート!E15="","",【様式第６号】事業報告書兼チェックシート!E15)</f>
        <v/>
      </c>
      <c r="R2" s="516"/>
      <c r="S2" s="282" t="s">
        <v>8</v>
      </c>
      <c r="T2" s="516" t="str">
        <f>IF(【様式第６号】事業報告書兼チェックシート!H15="","",【様式第６号】事業報告書兼チェックシート!H15)</f>
        <v/>
      </c>
      <c r="U2" s="516"/>
      <c r="V2" s="282" t="s">
        <v>401</v>
      </c>
      <c r="W2" s="516" t="str">
        <f>IF(【様式第６号】事業報告書兼チェックシート!K15="","",【様式第６号】事業報告書兼チェックシート!K15)</f>
        <v/>
      </c>
      <c r="X2" s="516"/>
      <c r="Y2" s="282" t="s">
        <v>7</v>
      </c>
      <c r="Z2" s="271"/>
      <c r="AA2" s="76" t="str">
        <f>IF(A2="令和　年　月　日","←申請日を入力してください。","")</f>
        <v/>
      </c>
      <c r="BK2" s="77" t="s">
        <v>213</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214</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308" t="str">
        <f>IF(【様式第６号】事業報告書兼チェックシート!O17="","",【様式第６号】事業報告書兼チェックシート!O17)</f>
        <v/>
      </c>
      <c r="Q9" s="308"/>
      <c r="R9" s="308"/>
      <c r="S9" s="308"/>
      <c r="T9" s="308"/>
      <c r="U9" s="308"/>
      <c r="V9" s="308"/>
      <c r="W9" s="308"/>
      <c r="X9" s="308"/>
    </row>
    <row r="10" spans="1:63" ht="35.25" customHeight="1" x14ac:dyDescent="0.2">
      <c r="O10" s="298" t="str">
        <f>IF(【様式第６号】事業報告書兼チェックシート!N18="","",【様式第６号】事業報告書兼チェックシート!N18)</f>
        <v/>
      </c>
      <c r="P10" s="298"/>
      <c r="Q10" s="298"/>
      <c r="R10" s="298"/>
      <c r="S10" s="298"/>
      <c r="T10" s="298"/>
      <c r="U10" s="298"/>
      <c r="V10" s="298"/>
      <c r="W10" s="298"/>
      <c r="X10" s="298"/>
    </row>
    <row r="11" spans="1:63" ht="16.5" customHeight="1" x14ac:dyDescent="0.2">
      <c r="M11" s="1" t="s">
        <v>6</v>
      </c>
      <c r="O11" s="298" t="str">
        <f>IF(【様式第６号】事業報告書兼チェックシート!N19="","",【様式第６号】事業報告書兼チェックシート!N19)</f>
        <v/>
      </c>
      <c r="P11" s="298"/>
      <c r="Q11" s="298"/>
      <c r="R11" s="298"/>
      <c r="S11" s="298"/>
      <c r="T11" s="298"/>
      <c r="U11" s="298"/>
      <c r="V11" s="298"/>
      <c r="W11" s="298"/>
      <c r="X11" s="298"/>
      <c r="AA11" s="22" t="s">
        <v>65</v>
      </c>
    </row>
    <row r="12" spans="1:63" ht="16.5" customHeight="1" x14ac:dyDescent="0.2">
      <c r="M12" s="1" t="s">
        <v>9</v>
      </c>
      <c r="O12" s="298" t="str">
        <f>IF(【様式第６号】事業報告書兼チェックシート!N20="","",【様式第６号】事業報告書兼チェックシート!N20)</f>
        <v/>
      </c>
      <c r="P12" s="298"/>
      <c r="Q12" s="298"/>
      <c r="R12" s="298"/>
      <c r="S12" s="298"/>
      <c r="T12" s="298"/>
      <c r="U12" s="298"/>
      <c r="V12" s="298"/>
      <c r="W12" s="298"/>
      <c r="X12" s="298"/>
    </row>
    <row r="13" spans="1:63" ht="12" customHeight="1" x14ac:dyDescent="0.2"/>
    <row r="14" spans="1:63" ht="12" customHeight="1" x14ac:dyDescent="0.2"/>
    <row r="15" spans="1:63" ht="16.5" customHeight="1" x14ac:dyDescent="0.2">
      <c r="A15" s="306" t="s">
        <v>421</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79"/>
      <c r="AB15" s="79"/>
      <c r="AC15" s="79"/>
      <c r="AD15" s="79"/>
      <c r="AE15" s="79"/>
      <c r="AF15" s="79"/>
      <c r="AG15" s="79"/>
    </row>
    <row r="16" spans="1:63" ht="12.75" customHeight="1" x14ac:dyDescent="0.2">
      <c r="AA16" s="79"/>
      <c r="AB16" s="79"/>
      <c r="AC16" s="513"/>
      <c r="AD16" s="514"/>
      <c r="AE16" s="514"/>
      <c r="AF16" s="514"/>
      <c r="AG16" s="515"/>
      <c r="AH16" s="68"/>
    </row>
    <row r="17" spans="1:52" ht="45" customHeight="1" x14ac:dyDescent="0.2">
      <c r="A17" s="298" t="s">
        <v>427</v>
      </c>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306" t="s">
        <v>14</v>
      </c>
      <c r="B19" s="306"/>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09"/>
      <c r="AY19" s="509"/>
      <c r="AZ19" s="509"/>
    </row>
    <row r="20" spans="1:52" ht="16.5" customHeight="1" x14ac:dyDescent="0.2"/>
    <row r="21" spans="1:52" ht="16.5" customHeight="1" x14ac:dyDescent="0.2">
      <c r="B21" s="309" t="s">
        <v>216</v>
      </c>
      <c r="C21" s="310"/>
      <c r="D21" s="310"/>
      <c r="E21" s="310"/>
      <c r="F21" s="310"/>
      <c r="G21" s="324"/>
      <c r="H21" s="309" t="s">
        <v>409</v>
      </c>
      <c r="I21" s="310"/>
      <c r="J21" s="310"/>
      <c r="K21" s="310"/>
      <c r="L21" s="310"/>
      <c r="M21" s="310"/>
      <c r="N21" s="310"/>
      <c r="O21" s="310"/>
      <c r="P21" s="310"/>
      <c r="Q21" s="310"/>
      <c r="R21" s="310"/>
      <c r="S21" s="310"/>
      <c r="T21" s="310"/>
      <c r="U21" s="310"/>
      <c r="V21" s="310"/>
      <c r="W21" s="310"/>
      <c r="X21" s="310"/>
      <c r="Y21" s="324"/>
    </row>
    <row r="22" spans="1:52" ht="16.5" customHeight="1" x14ac:dyDescent="0.2">
      <c r="B22" s="317" t="s">
        <v>422</v>
      </c>
      <c r="C22" s="318"/>
      <c r="D22" s="318"/>
      <c r="E22" s="318"/>
      <c r="F22" s="318"/>
      <c r="G22" s="319"/>
      <c r="H22" s="510" t="s">
        <v>16</v>
      </c>
      <c r="I22" s="511"/>
      <c r="J22" s="511"/>
      <c r="K22" s="511"/>
      <c r="L22" s="511"/>
      <c r="M22" s="511"/>
      <c r="N22" s="511"/>
      <c r="O22" s="511"/>
      <c r="P22" s="512"/>
      <c r="Q22" s="309" t="s">
        <v>424</v>
      </c>
      <c r="R22" s="310"/>
      <c r="S22" s="310"/>
      <c r="T22" s="310"/>
      <c r="U22" s="310"/>
      <c r="V22" s="310"/>
      <c r="W22" s="310"/>
      <c r="X22" s="310"/>
      <c r="Y22" s="324"/>
    </row>
    <row r="23" spans="1:52" ht="16.5" customHeight="1" x14ac:dyDescent="0.2">
      <c r="B23" s="321"/>
      <c r="C23" s="322"/>
      <c r="D23" s="322"/>
      <c r="E23" s="322"/>
      <c r="F23" s="322"/>
      <c r="G23" s="323"/>
      <c r="H23" s="507" t="str">
        <f>IF('要入力　登録決定状況入力シート'!C18="","",'要入力　登録決定状況入力シート'!C18)</f>
        <v/>
      </c>
      <c r="I23" s="508"/>
      <c r="J23" s="508"/>
      <c r="K23" s="508"/>
      <c r="L23" s="508"/>
      <c r="M23" s="508"/>
      <c r="N23" s="508"/>
      <c r="O23" s="508"/>
      <c r="P23" s="80" t="s">
        <v>17</v>
      </c>
      <c r="Q23" s="507" t="str">
        <f>IF('要入力　登録決定状況入力シート'!D18="","",'要入力　登録決定状況入力シート'!D18)</f>
        <v/>
      </c>
      <c r="R23" s="508"/>
      <c r="S23" s="508"/>
      <c r="T23" s="508"/>
      <c r="U23" s="508"/>
      <c r="V23" s="508"/>
      <c r="W23" s="508"/>
      <c r="X23" s="508"/>
      <c r="Y23" s="80" t="s">
        <v>17</v>
      </c>
      <c r="AA23" s="22" t="s">
        <v>261</v>
      </c>
    </row>
    <row r="24" spans="1:52" ht="16.5" customHeight="1" x14ac:dyDescent="0.2">
      <c r="B24" s="309" t="s">
        <v>423</v>
      </c>
      <c r="C24" s="310"/>
      <c r="D24" s="310"/>
      <c r="E24" s="310"/>
      <c r="F24" s="310"/>
      <c r="G24" s="324"/>
      <c r="H24" s="507" t="str">
        <f>IF('要入力　登録決定状況入力シート'!G18="","",'要入力　登録決定状況入力シート'!G18)</f>
        <v/>
      </c>
      <c r="I24" s="508"/>
      <c r="J24" s="508"/>
      <c r="K24" s="508"/>
      <c r="L24" s="508"/>
      <c r="M24" s="508"/>
      <c r="N24" s="508"/>
      <c r="O24" s="508"/>
      <c r="P24" s="80" t="s">
        <v>17</v>
      </c>
      <c r="Q24" s="507" t="str">
        <f>IF('要入力　登録決定状況入力シート'!H18="","",'要入力　登録決定状況入力シート'!H18)</f>
        <v/>
      </c>
      <c r="R24" s="508"/>
      <c r="S24" s="508"/>
      <c r="T24" s="508"/>
      <c r="U24" s="508"/>
      <c r="V24" s="508"/>
      <c r="W24" s="508"/>
      <c r="X24" s="508"/>
      <c r="Y24" s="80" t="s">
        <v>17</v>
      </c>
      <c r="AA24" s="22" t="s">
        <v>224</v>
      </c>
    </row>
    <row r="25" spans="1:52" ht="16.5" customHeight="1" x14ac:dyDescent="0.2">
      <c r="B25" s="309" t="s">
        <v>217</v>
      </c>
      <c r="C25" s="310"/>
      <c r="D25" s="310"/>
      <c r="E25" s="310"/>
      <c r="F25" s="310"/>
      <c r="G25" s="324"/>
      <c r="H25" s="507" t="str">
        <f>IF(H23="","",H24-H23)</f>
        <v/>
      </c>
      <c r="I25" s="508"/>
      <c r="J25" s="508"/>
      <c r="K25" s="508"/>
      <c r="L25" s="508"/>
      <c r="M25" s="508"/>
      <c r="N25" s="508"/>
      <c r="O25" s="508"/>
      <c r="P25" s="80" t="s">
        <v>17</v>
      </c>
      <c r="Q25" s="507" t="str">
        <f>IF(Q23="","",Q24-Q23)</f>
        <v/>
      </c>
      <c r="R25" s="508"/>
      <c r="S25" s="508"/>
      <c r="T25" s="508"/>
      <c r="U25" s="508"/>
      <c r="V25" s="508"/>
      <c r="W25" s="508"/>
      <c r="X25" s="508"/>
      <c r="Y25" s="80" t="s">
        <v>17</v>
      </c>
      <c r="AA25" s="79"/>
    </row>
    <row r="26" spans="1:52" ht="16.5" hidden="1"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hidden="1"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hidden="1"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hidden="1"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hidden="1"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hidden="1"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hidden="1"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hidden="1"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hidden="1"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hidden="1"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hidden="1"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hidden="1"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hidden="1"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hidden="1"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hidden="1"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hidden="1"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hidden="1"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hidden="1"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hidden="1"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hidden="1"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hidden="1"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hidden="1"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hidden="1"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260</v>
      </c>
      <c r="AA48" s="79"/>
    </row>
    <row r="49" spans="2:27" ht="16.5" hidden="1"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hidden="1"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hidden="1" customHeight="1" x14ac:dyDescent="0.2">
      <c r="B51" s="379" t="s">
        <v>410</v>
      </c>
      <c r="C51" s="380"/>
      <c r="D51" s="380"/>
      <c r="E51" s="380"/>
      <c r="F51" s="380"/>
      <c r="G51" s="381"/>
      <c r="H51" s="272" t="s">
        <v>223</v>
      </c>
      <c r="I51" s="273"/>
      <c r="J51" s="273"/>
      <c r="K51" s="273"/>
      <c r="L51" s="273"/>
      <c r="M51" s="273"/>
      <c r="N51" s="273"/>
      <c r="O51" s="273"/>
      <c r="P51" s="273"/>
      <c r="Q51" s="273"/>
      <c r="R51" s="273"/>
      <c r="S51" s="273"/>
      <c r="T51" s="273"/>
      <c r="U51" s="273"/>
      <c r="V51" s="273"/>
      <c r="W51" s="273"/>
      <c r="X51" s="273"/>
      <c r="Y51" s="274"/>
      <c r="AA51" s="79" t="s">
        <v>66</v>
      </c>
    </row>
    <row r="52" spans="2:27" ht="16.5" hidden="1" customHeight="1" x14ac:dyDescent="0.2">
      <c r="B52" s="482"/>
      <c r="C52" s="298"/>
      <c r="D52" s="298"/>
      <c r="E52" s="298"/>
      <c r="F52" s="298"/>
      <c r="G52" s="483"/>
      <c r="H52" s="82" t="e">
        <f>IF(【様式第６号】事業報告書兼チェックシート!#REF!="","","・"&amp;【様式第６号】事業報告書兼チェックシート!#REF!)</f>
        <v>#REF!</v>
      </c>
      <c r="I52" s="13"/>
      <c r="J52" s="13"/>
      <c r="K52" s="13"/>
      <c r="L52" s="13"/>
      <c r="M52" s="13"/>
      <c r="N52" s="13"/>
      <c r="O52" s="13"/>
      <c r="P52" s="13"/>
      <c r="Q52" s="13"/>
      <c r="R52" s="13"/>
      <c r="S52" s="13"/>
      <c r="T52" s="13"/>
      <c r="U52" s="13"/>
      <c r="V52" s="13"/>
      <c r="W52" s="13"/>
      <c r="X52" s="13"/>
      <c r="Y52" s="83"/>
    </row>
    <row r="53" spans="2:27" ht="16.5" hidden="1" customHeight="1" x14ac:dyDescent="0.2">
      <c r="B53" s="28"/>
      <c r="G53" s="81"/>
      <c r="H53" s="82" t="str">
        <f>IF(【様式第６号】事業報告書兼チェックシート!C242="","","・"&amp;【様式第６号】事業報告書兼チェックシート!C242)</f>
        <v/>
      </c>
      <c r="I53" s="13"/>
      <c r="J53" s="13"/>
      <c r="K53" s="13"/>
      <c r="L53" s="13"/>
      <c r="M53" s="13"/>
      <c r="N53" s="13"/>
      <c r="O53" s="13"/>
      <c r="P53" s="13"/>
      <c r="Q53" s="13"/>
      <c r="R53" s="13"/>
      <c r="S53" s="13"/>
      <c r="T53" s="13"/>
      <c r="U53" s="13"/>
      <c r="V53" s="13"/>
      <c r="W53" s="13"/>
      <c r="X53" s="13"/>
      <c r="Y53" s="83"/>
    </row>
    <row r="54" spans="2:27" ht="16.5" hidden="1" customHeight="1" x14ac:dyDescent="0.2">
      <c r="B54" s="28"/>
      <c r="G54" s="81"/>
      <c r="H54" s="82" t="str">
        <f>IF(【様式第６号】事業報告書兼チェックシート!C243="","","・"&amp;【様式第６号】事業報告書兼チェックシート!C243)</f>
        <v/>
      </c>
      <c r="I54" s="13"/>
      <c r="J54" s="13"/>
      <c r="K54" s="13"/>
      <c r="L54" s="13"/>
      <c r="M54" s="13"/>
      <c r="N54" s="13"/>
      <c r="O54" s="13"/>
      <c r="P54" s="13"/>
      <c r="Q54" s="13"/>
      <c r="R54" s="13"/>
      <c r="S54" s="13"/>
      <c r="T54" s="13"/>
      <c r="U54" s="13"/>
      <c r="V54" s="13"/>
      <c r="W54" s="13"/>
      <c r="X54" s="13"/>
      <c r="Y54" s="83"/>
    </row>
    <row r="55" spans="2:27" ht="16.5" hidden="1" customHeight="1" x14ac:dyDescent="0.2">
      <c r="B55" s="28"/>
      <c r="G55" s="81"/>
      <c r="H55" s="82" t="str">
        <f>IF(【様式第６号】事業報告書兼チェックシート!C244="","","・"&amp;【様式第６号】事業報告書兼チェックシート!C244)</f>
        <v>・完成写真及び口座振替依頼書</v>
      </c>
      <c r="I55" s="13"/>
      <c r="J55" s="13"/>
      <c r="K55" s="13"/>
      <c r="L55" s="13"/>
      <c r="M55" s="13"/>
      <c r="N55" s="13"/>
      <c r="O55" s="13"/>
      <c r="P55" s="13"/>
      <c r="Q55" s="13"/>
      <c r="R55" s="13"/>
      <c r="S55" s="13"/>
      <c r="T55" s="13"/>
      <c r="U55" s="13"/>
      <c r="V55" s="13"/>
      <c r="W55" s="13"/>
      <c r="X55" s="13"/>
      <c r="Y55" s="83"/>
    </row>
    <row r="56" spans="2:27" ht="16.5" hidden="1" customHeight="1" x14ac:dyDescent="0.2">
      <c r="B56" s="28"/>
      <c r="G56" s="81"/>
      <c r="H56" s="82" t="str">
        <f>IF(【様式第６号】事業報告書兼チェックシート!C245="","","・"&amp;【様式第６号】事業報告書兼チェックシート!C245)</f>
        <v>・鳥取県産材活用協議会が発行する県産材の産地証明書の写し</v>
      </c>
      <c r="I56" s="13"/>
      <c r="J56" s="13"/>
      <c r="K56" s="13"/>
      <c r="L56" s="13"/>
      <c r="M56" s="13"/>
      <c r="N56" s="13"/>
      <c r="O56" s="13"/>
      <c r="P56" s="13"/>
      <c r="Q56" s="13"/>
      <c r="R56" s="13"/>
      <c r="S56" s="13"/>
      <c r="T56" s="13"/>
      <c r="U56" s="13"/>
      <c r="V56" s="13"/>
      <c r="W56" s="13"/>
      <c r="X56" s="13"/>
      <c r="Y56" s="83"/>
    </row>
    <row r="57" spans="2:27" ht="28.5" hidden="1" customHeight="1" x14ac:dyDescent="0.2">
      <c r="B57" s="28"/>
      <c r="G57" s="81"/>
      <c r="H57" s="464" t="str">
        <f>IF(【様式第６号】事業報告書兼チェックシート!C246="","","・"&amp;【様式第６号】事業報告書兼チェックシート!C246)</f>
        <v/>
      </c>
      <c r="I57" s="316"/>
      <c r="J57" s="316"/>
      <c r="K57" s="316"/>
      <c r="L57" s="316"/>
      <c r="M57" s="316"/>
      <c r="N57" s="316"/>
      <c r="O57" s="316"/>
      <c r="P57" s="316"/>
      <c r="Q57" s="316"/>
      <c r="R57" s="316"/>
      <c r="S57" s="316"/>
      <c r="T57" s="316"/>
      <c r="U57" s="316"/>
      <c r="V57" s="316"/>
      <c r="W57" s="316"/>
      <c r="X57" s="316"/>
      <c r="Y57" s="465"/>
    </row>
    <row r="58" spans="2:27" ht="30" hidden="1" customHeight="1" x14ac:dyDescent="0.2">
      <c r="B58" s="28"/>
      <c r="G58" s="81"/>
      <c r="H58" s="464" t="str">
        <f>IF(【様式第６号】事業報告書兼チェックシート!C247="","","・"&amp;【様式第６号】事業報告書兼チェックシート!C247)</f>
        <v/>
      </c>
      <c r="I58" s="316"/>
      <c r="J58" s="316"/>
      <c r="K58" s="316"/>
      <c r="L58" s="316"/>
      <c r="M58" s="316"/>
      <c r="N58" s="316"/>
      <c r="O58" s="316"/>
      <c r="P58" s="316"/>
      <c r="Q58" s="316"/>
      <c r="R58" s="316"/>
      <c r="S58" s="316"/>
      <c r="T58" s="316"/>
      <c r="U58" s="316"/>
      <c r="V58" s="316"/>
      <c r="W58" s="316"/>
      <c r="X58" s="316"/>
      <c r="Y58" s="465"/>
    </row>
    <row r="59" spans="2:27" ht="33" hidden="1" customHeight="1" x14ac:dyDescent="0.2">
      <c r="B59" s="28"/>
      <c r="G59" s="81"/>
      <c r="H59" s="464" t="str">
        <f>IF(【様式第６号】事業報告書兼チェックシート!C248="","","・"&amp;【様式第６号】事業報告書兼チェックシート!C248)</f>
        <v/>
      </c>
      <c r="I59" s="316"/>
      <c r="J59" s="316"/>
      <c r="K59" s="316"/>
      <c r="L59" s="316"/>
      <c r="M59" s="316"/>
      <c r="N59" s="316"/>
      <c r="O59" s="316"/>
      <c r="P59" s="316"/>
      <c r="Q59" s="316"/>
      <c r="R59" s="316"/>
      <c r="S59" s="316"/>
      <c r="T59" s="316"/>
      <c r="U59" s="316"/>
      <c r="V59" s="316"/>
      <c r="W59" s="316"/>
      <c r="X59" s="316"/>
      <c r="Y59" s="465"/>
    </row>
    <row r="60" spans="2:27" ht="16.5" hidden="1" customHeight="1" x14ac:dyDescent="0.2">
      <c r="B60" s="28"/>
      <c r="G60" s="81"/>
      <c r="H60" s="468" t="str">
        <f>IF(【様式第６号】事業報告書兼チェックシート!C249="","","・"&amp;【様式第６号】事業報告書兼チェックシート!C249)</f>
        <v/>
      </c>
      <c r="I60" s="469"/>
      <c r="J60" s="469"/>
      <c r="K60" s="469"/>
      <c r="L60" s="469"/>
      <c r="M60" s="469"/>
      <c r="N60" s="469"/>
      <c r="O60" s="469"/>
      <c r="P60" s="469"/>
      <c r="Q60" s="469"/>
      <c r="R60" s="469"/>
      <c r="S60" s="469"/>
      <c r="T60" s="469"/>
      <c r="U60" s="469"/>
      <c r="V60" s="469"/>
      <c r="W60" s="469"/>
      <c r="X60" s="469"/>
      <c r="Y60" s="470"/>
    </row>
    <row r="61" spans="2:27" ht="56.25" hidden="1" customHeight="1" x14ac:dyDescent="0.2">
      <c r="B61" s="28"/>
      <c r="G61" s="81"/>
      <c r="H61" s="464" t="str">
        <f>IF(【様式第６号】事業報告書兼チェックシート!C250="","","・"&amp;【様式第６号】事業報告書兼チェックシート!C250)</f>
        <v/>
      </c>
      <c r="I61" s="316"/>
      <c r="J61" s="316"/>
      <c r="K61" s="316"/>
      <c r="L61" s="316"/>
      <c r="M61" s="316"/>
      <c r="N61" s="316"/>
      <c r="O61" s="316"/>
      <c r="P61" s="316"/>
      <c r="Q61" s="316"/>
      <c r="R61" s="316"/>
      <c r="S61" s="316"/>
      <c r="T61" s="316"/>
      <c r="U61" s="316"/>
      <c r="V61" s="316"/>
      <c r="W61" s="316"/>
      <c r="X61" s="316"/>
      <c r="Y61" s="465"/>
    </row>
    <row r="62" spans="2:27" ht="30" hidden="1" customHeight="1" x14ac:dyDescent="0.2">
      <c r="B62" s="28"/>
      <c r="G62" s="81"/>
      <c r="H62" s="464" t="str">
        <f>IF(【様式第６号】事業報告書兼チェックシート!C251="","","・"&amp;【様式第６号】事業報告書兼チェックシート!C251)</f>
        <v>・登録住宅を購入した場合は、その購入契約書の写し</v>
      </c>
      <c r="I62" s="316"/>
      <c r="J62" s="316"/>
      <c r="K62" s="316"/>
      <c r="L62" s="316"/>
      <c r="M62" s="316"/>
      <c r="N62" s="316"/>
      <c r="O62" s="316"/>
      <c r="P62" s="316"/>
      <c r="Q62" s="316"/>
      <c r="R62" s="316"/>
      <c r="S62" s="316"/>
      <c r="T62" s="316"/>
      <c r="U62" s="316"/>
      <c r="V62" s="316"/>
      <c r="W62" s="316"/>
      <c r="X62" s="316"/>
      <c r="Y62" s="465"/>
    </row>
    <row r="63" spans="2:27" ht="18.75" hidden="1" customHeight="1" x14ac:dyDescent="0.2">
      <c r="B63" s="28"/>
      <c r="G63" s="81"/>
      <c r="H63" s="468" t="str">
        <f>IF(【様式第６号】事業報告書兼チェックシート!C253="","","・"&amp;【様式第６号】事業報告書兼チェックシート!C253)</f>
        <v/>
      </c>
      <c r="I63" s="469"/>
      <c r="J63" s="469"/>
      <c r="K63" s="469"/>
      <c r="L63" s="469"/>
      <c r="M63" s="469"/>
      <c r="N63" s="469"/>
      <c r="O63" s="469"/>
      <c r="P63" s="469"/>
      <c r="Q63" s="469"/>
      <c r="R63" s="469"/>
      <c r="S63" s="469"/>
      <c r="T63" s="469"/>
      <c r="U63" s="469"/>
      <c r="V63" s="469"/>
      <c r="W63" s="469"/>
      <c r="X63" s="469"/>
      <c r="Y63" s="470"/>
    </row>
    <row r="64" spans="2:27" ht="18.75" hidden="1" customHeight="1" x14ac:dyDescent="0.2">
      <c r="B64" s="28"/>
      <c r="G64" s="81"/>
      <c r="H64" s="468" t="str">
        <f>IF(【様式第６号】事業報告書兼チェックシート!C254="","","・"&amp;【様式第６号】事業報告書兼チェックシート!C254)</f>
        <v/>
      </c>
      <c r="I64" s="469"/>
      <c r="J64" s="469"/>
      <c r="K64" s="469"/>
      <c r="L64" s="469"/>
      <c r="M64" s="469"/>
      <c r="N64" s="469"/>
      <c r="O64" s="469"/>
      <c r="P64" s="469"/>
      <c r="Q64" s="469"/>
      <c r="R64" s="469"/>
      <c r="S64" s="469"/>
      <c r="T64" s="469"/>
      <c r="U64" s="469"/>
      <c r="V64" s="469"/>
      <c r="W64" s="469"/>
      <c r="X64" s="469"/>
      <c r="Y64" s="470"/>
    </row>
    <row r="65" spans="2:25" ht="32.25" hidden="1" customHeight="1" x14ac:dyDescent="0.2">
      <c r="B65" s="28"/>
      <c r="G65" s="81"/>
      <c r="H65" s="464" t="str">
        <f>IF(【様式第６号】事業報告書兼チェックシート!C255="","","・"&amp;【様式第６号】事業報告書兼チェックシート!C255)</f>
        <v/>
      </c>
      <c r="I65" s="316"/>
      <c r="J65" s="316"/>
      <c r="K65" s="316"/>
      <c r="L65" s="316"/>
      <c r="M65" s="316"/>
      <c r="N65" s="316"/>
      <c r="O65" s="316"/>
      <c r="P65" s="316"/>
      <c r="Q65" s="316"/>
      <c r="R65" s="316"/>
      <c r="S65" s="316"/>
      <c r="T65" s="316"/>
      <c r="U65" s="316"/>
      <c r="V65" s="316"/>
      <c r="W65" s="316"/>
      <c r="X65" s="316"/>
      <c r="Y65" s="465"/>
    </row>
    <row r="66" spans="2:25" ht="32.25" hidden="1" customHeight="1" x14ac:dyDescent="0.2">
      <c r="B66" s="28"/>
      <c r="G66" s="81"/>
      <c r="H66" s="464" t="str">
        <f>IF(【様式第６号】事業報告書兼チェックシート!C256="","","・"&amp;【様式第６号】事業報告書兼チェックシート!C256)</f>
        <v/>
      </c>
      <c r="I66" s="316"/>
      <c r="J66" s="316"/>
      <c r="K66" s="316"/>
      <c r="L66" s="316"/>
      <c r="M66" s="316"/>
      <c r="N66" s="316"/>
      <c r="O66" s="316"/>
      <c r="P66" s="316"/>
      <c r="Q66" s="316"/>
      <c r="R66" s="316"/>
      <c r="S66" s="316"/>
      <c r="T66" s="316"/>
      <c r="U66" s="316"/>
      <c r="V66" s="316"/>
      <c r="W66" s="316"/>
      <c r="X66" s="316"/>
      <c r="Y66" s="465"/>
    </row>
    <row r="67" spans="2:25" ht="30.75" hidden="1" customHeight="1" x14ac:dyDescent="0.2">
      <c r="B67" s="28"/>
      <c r="G67" s="81"/>
      <c r="H67" s="464" t="str">
        <f>IF(【様式第６号】事業報告書兼チェックシート!C257="","","・"&amp;【様式第６号】事業報告書兼チェックシート!C257)</f>
        <v/>
      </c>
      <c r="I67" s="316"/>
      <c r="J67" s="316"/>
      <c r="K67" s="316"/>
      <c r="L67" s="316"/>
      <c r="M67" s="316"/>
      <c r="N67" s="316"/>
      <c r="O67" s="316"/>
      <c r="P67" s="316"/>
      <c r="Q67" s="316"/>
      <c r="R67" s="316"/>
      <c r="S67" s="316"/>
      <c r="T67" s="316"/>
      <c r="U67" s="316"/>
      <c r="V67" s="316"/>
      <c r="W67" s="316"/>
      <c r="X67" s="316"/>
      <c r="Y67" s="465"/>
    </row>
    <row r="68" spans="2:25" ht="30.75" hidden="1" customHeight="1" x14ac:dyDescent="0.2">
      <c r="B68" s="28"/>
      <c r="G68" s="81"/>
      <c r="H68" s="464" t="str">
        <f>IF(【様式第６号】事業報告書兼チェックシート!C258="","","・"&amp;【様式第６号】事業報告書兼チェックシート!C258)</f>
        <v/>
      </c>
      <c r="I68" s="316"/>
      <c r="J68" s="316"/>
      <c r="K68" s="316"/>
      <c r="L68" s="316"/>
      <c r="M68" s="316"/>
      <c r="N68" s="316"/>
      <c r="O68" s="316"/>
      <c r="P68" s="316"/>
      <c r="Q68" s="316"/>
      <c r="R68" s="316"/>
      <c r="S68" s="316"/>
      <c r="T68" s="316"/>
      <c r="U68" s="316"/>
      <c r="V68" s="316"/>
      <c r="W68" s="316"/>
      <c r="X68" s="316"/>
      <c r="Y68" s="465"/>
    </row>
    <row r="69" spans="2:25" ht="30.75" hidden="1" customHeight="1" x14ac:dyDescent="0.2">
      <c r="B69" s="28"/>
      <c r="G69" s="81"/>
      <c r="H69" s="464" t="str">
        <f>IF(【様式第６号】事業報告書兼チェックシート!C259="","","・"&amp;【様式第６号】事業報告書兼チェックシート!C259)</f>
        <v/>
      </c>
      <c r="I69" s="316"/>
      <c r="J69" s="316"/>
      <c r="K69" s="316"/>
      <c r="L69" s="316"/>
      <c r="M69" s="316"/>
      <c r="N69" s="316"/>
      <c r="O69" s="316"/>
      <c r="P69" s="316"/>
      <c r="Q69" s="316"/>
      <c r="R69" s="316"/>
      <c r="S69" s="316"/>
      <c r="T69" s="316"/>
      <c r="U69" s="316"/>
      <c r="V69" s="316"/>
      <c r="W69" s="316"/>
      <c r="X69" s="316"/>
      <c r="Y69" s="465"/>
    </row>
    <row r="70" spans="2:25" ht="30.75" hidden="1" customHeight="1" x14ac:dyDescent="0.2">
      <c r="B70" s="28"/>
      <c r="G70" s="81"/>
      <c r="H70" s="464" t="str">
        <f>IF(【様式第６号】事業報告書兼チェックシート!C260="","","・"&amp;【様式第６号】事業報告書兼チェックシート!C260)</f>
        <v/>
      </c>
      <c r="I70" s="316"/>
      <c r="J70" s="316"/>
      <c r="K70" s="316"/>
      <c r="L70" s="316"/>
      <c r="M70" s="316"/>
      <c r="N70" s="316"/>
      <c r="O70" s="316"/>
      <c r="P70" s="316"/>
      <c r="Q70" s="316"/>
      <c r="R70" s="316"/>
      <c r="S70" s="316"/>
      <c r="T70" s="316"/>
      <c r="U70" s="316"/>
      <c r="V70" s="316"/>
      <c r="W70" s="316"/>
      <c r="X70" s="316"/>
      <c r="Y70" s="465"/>
    </row>
    <row r="71" spans="2:25" ht="30.75" hidden="1" customHeight="1" x14ac:dyDescent="0.2">
      <c r="B71" s="28"/>
      <c r="G71" s="81"/>
      <c r="H71" s="464" t="str">
        <f>IF(【様式第６号】事業報告書兼チェックシート!C261="","","・"&amp;【様式第６号】事業報告書兼チェックシート!C261)</f>
        <v/>
      </c>
      <c r="I71" s="316"/>
      <c r="J71" s="316"/>
      <c r="K71" s="316"/>
      <c r="L71" s="316"/>
      <c r="M71" s="316"/>
      <c r="N71" s="316"/>
      <c r="O71" s="316"/>
      <c r="P71" s="316"/>
      <c r="Q71" s="316"/>
      <c r="R71" s="316"/>
      <c r="S71" s="316"/>
      <c r="T71" s="316"/>
      <c r="U71" s="316"/>
      <c r="V71" s="316"/>
      <c r="W71" s="316"/>
      <c r="X71" s="316"/>
      <c r="Y71" s="465"/>
    </row>
    <row r="72" spans="2:25" ht="44.25" hidden="1" customHeight="1" x14ac:dyDescent="0.2">
      <c r="B72" s="28"/>
      <c r="G72" s="81"/>
      <c r="H72" s="464" t="str">
        <f>IF(【様式第６号】事業報告書兼チェックシート!C262="","","・"&amp;【様式第６号】事業報告書兼チェックシート!C262)</f>
        <v/>
      </c>
      <c r="I72" s="316"/>
      <c r="J72" s="316"/>
      <c r="K72" s="316"/>
      <c r="L72" s="316"/>
      <c r="M72" s="316"/>
      <c r="N72" s="316"/>
      <c r="O72" s="316"/>
      <c r="P72" s="316"/>
      <c r="Q72" s="316"/>
      <c r="R72" s="316"/>
      <c r="S72" s="316"/>
      <c r="T72" s="316"/>
      <c r="U72" s="316"/>
      <c r="V72" s="316"/>
      <c r="W72" s="316"/>
      <c r="X72" s="316"/>
      <c r="Y72" s="465"/>
    </row>
    <row r="73" spans="2:25" ht="30.75" hidden="1" customHeight="1" x14ac:dyDescent="0.2">
      <c r="B73" s="28"/>
      <c r="G73" s="81"/>
      <c r="H73" s="464" t="str">
        <f>IF(【様式第６号】事業報告書兼チェックシート!C263="","","・"&amp;【様式第６号】事業報告書兼チェックシート!C263)</f>
        <v/>
      </c>
      <c r="I73" s="316"/>
      <c r="J73" s="316"/>
      <c r="K73" s="316"/>
      <c r="L73" s="316"/>
      <c r="M73" s="316"/>
      <c r="N73" s="316"/>
      <c r="O73" s="316"/>
      <c r="P73" s="316"/>
      <c r="Q73" s="316"/>
      <c r="R73" s="316"/>
      <c r="S73" s="316"/>
      <c r="T73" s="316"/>
      <c r="U73" s="316"/>
      <c r="V73" s="316"/>
      <c r="W73" s="316"/>
      <c r="X73" s="316"/>
      <c r="Y73" s="465"/>
    </row>
    <row r="74" spans="2:25" ht="43.5" hidden="1" customHeight="1" x14ac:dyDescent="0.2">
      <c r="B74" s="28"/>
      <c r="G74" s="81"/>
      <c r="H74" s="464" t="str">
        <f>IF(【様式第６号】事業報告書兼チェックシート!C264="","","・"&amp;【様式第６号】事業報告書兼チェックシート!C264)</f>
        <v/>
      </c>
      <c r="I74" s="316"/>
      <c r="J74" s="316"/>
      <c r="K74" s="316"/>
      <c r="L74" s="316"/>
      <c r="M74" s="316"/>
      <c r="N74" s="316"/>
      <c r="O74" s="316"/>
      <c r="P74" s="316"/>
      <c r="Q74" s="316"/>
      <c r="R74" s="316"/>
      <c r="S74" s="316"/>
      <c r="T74" s="316"/>
      <c r="U74" s="316"/>
      <c r="V74" s="316"/>
      <c r="W74" s="316"/>
      <c r="X74" s="316"/>
      <c r="Y74" s="465"/>
    </row>
    <row r="75" spans="2:25" ht="19.5" hidden="1" customHeight="1" x14ac:dyDescent="0.2">
      <c r="B75" s="28"/>
      <c r="G75" s="81"/>
      <c r="H75" s="464" t="e">
        <f>IF(【様式第６号】事業報告書兼チェックシート!#REF!="","","・"&amp;【様式第６号】事業報告書兼チェックシート!#REF!)</f>
        <v>#REF!</v>
      </c>
      <c r="I75" s="316"/>
      <c r="J75" s="316"/>
      <c r="K75" s="316"/>
      <c r="L75" s="316"/>
      <c r="M75" s="316"/>
      <c r="N75" s="316"/>
      <c r="O75" s="316"/>
      <c r="P75" s="316"/>
      <c r="Q75" s="316"/>
      <c r="R75" s="316"/>
      <c r="S75" s="316"/>
      <c r="T75" s="316"/>
      <c r="U75" s="316"/>
      <c r="V75" s="316"/>
      <c r="W75" s="316"/>
      <c r="X75" s="316"/>
      <c r="Y75" s="465"/>
    </row>
    <row r="76" spans="2:25" ht="19.5" hidden="1" customHeight="1" x14ac:dyDescent="0.2">
      <c r="B76" s="8"/>
      <c r="C76" s="17"/>
      <c r="D76" s="17"/>
      <c r="E76" s="17"/>
      <c r="F76" s="17"/>
      <c r="G76" s="9"/>
      <c r="H76" s="504" t="str">
        <f>IF(【様式第６号】事業報告書兼チェックシート!C265="","","・"&amp;【様式第６号】事業報告書兼チェックシート!C265)</f>
        <v/>
      </c>
      <c r="I76" s="505"/>
      <c r="J76" s="505"/>
      <c r="K76" s="505"/>
      <c r="L76" s="505"/>
      <c r="M76" s="505"/>
      <c r="N76" s="505"/>
      <c r="O76" s="505"/>
      <c r="P76" s="505"/>
      <c r="Q76" s="505"/>
      <c r="R76" s="505"/>
      <c r="S76" s="505"/>
      <c r="T76" s="505"/>
      <c r="U76" s="505"/>
      <c r="V76" s="505"/>
      <c r="W76" s="505"/>
      <c r="X76" s="505"/>
      <c r="Y76" s="506"/>
    </row>
    <row r="77" spans="2:25" ht="19.5" customHeight="1" x14ac:dyDescent="0.2">
      <c r="B77" s="487" t="s">
        <v>410</v>
      </c>
      <c r="C77" s="488"/>
      <c r="D77" s="488"/>
      <c r="E77" s="488"/>
      <c r="F77" s="488"/>
      <c r="G77" s="489"/>
      <c r="H77" s="272" t="s">
        <v>415</v>
      </c>
      <c r="I77" s="101"/>
      <c r="J77" s="101"/>
      <c r="K77" s="101"/>
      <c r="L77" s="101"/>
      <c r="M77" s="101"/>
      <c r="N77" s="101"/>
      <c r="O77" s="101"/>
      <c r="P77" s="101"/>
      <c r="Q77" s="101"/>
      <c r="R77" s="101"/>
      <c r="S77" s="101"/>
      <c r="T77" s="101"/>
      <c r="U77" s="101"/>
      <c r="V77" s="101"/>
      <c r="W77" s="101"/>
      <c r="X77" s="101"/>
      <c r="Y77" s="102"/>
    </row>
    <row r="78" spans="2:25" ht="19.5" customHeight="1" x14ac:dyDescent="0.2">
      <c r="B78" s="490"/>
      <c r="C78" s="491"/>
      <c r="D78" s="491"/>
      <c r="E78" s="491"/>
      <c r="F78" s="491"/>
      <c r="G78" s="492"/>
      <c r="H78" s="82" t="s">
        <v>416</v>
      </c>
      <c r="I78" s="101"/>
      <c r="J78" s="101"/>
      <c r="K78" s="101"/>
      <c r="L78" s="101"/>
      <c r="M78" s="101"/>
      <c r="N78" s="101"/>
      <c r="O78" s="101"/>
      <c r="P78" s="101"/>
      <c r="Q78" s="101"/>
      <c r="R78" s="101"/>
      <c r="S78" s="101"/>
      <c r="T78" s="101"/>
      <c r="U78" s="101"/>
      <c r="V78" s="101"/>
      <c r="W78" s="101"/>
      <c r="X78" s="101"/>
      <c r="Y78" s="102"/>
    </row>
    <row r="79" spans="2:25" ht="16.5" customHeight="1" x14ac:dyDescent="0.2">
      <c r="B79" s="28"/>
      <c r="G79" s="81"/>
      <c r="H79" s="82" t="str">
        <f>IF(【様式第６号】事業報告書兼チェックシート!T231=0,IF(【様式第６号】事業報告書兼チェックシート!C242="","","・"&amp;【様式第６号】事業報告書兼チェックシート!C242),"")</f>
        <v/>
      </c>
      <c r="I79" s="13"/>
      <c r="J79" s="13"/>
      <c r="K79" s="13"/>
      <c r="L79" s="13"/>
      <c r="M79" s="13"/>
      <c r="N79" s="13"/>
      <c r="O79" s="13"/>
      <c r="P79" s="13"/>
      <c r="Q79" s="13"/>
      <c r="R79" s="13"/>
      <c r="S79" s="13"/>
      <c r="T79" s="13"/>
      <c r="U79" s="13"/>
      <c r="V79" s="13"/>
      <c r="W79" s="13"/>
      <c r="X79" s="13"/>
      <c r="Y79" s="83"/>
    </row>
    <row r="80" spans="2:25" ht="16.5" customHeight="1" x14ac:dyDescent="0.2">
      <c r="B80" s="28"/>
      <c r="G80" s="81"/>
      <c r="H80" s="82" t="str">
        <f>IF(【様式第６号】事業報告書兼チェックシート!T231=0,IF(【様式第６号】事業報告書兼チェックシート!C243="","","・"&amp;【様式第６号】事業報告書兼チェックシート!C243),"")</f>
        <v/>
      </c>
      <c r="I80" s="13"/>
      <c r="J80" s="13"/>
      <c r="K80" s="13"/>
      <c r="L80" s="13"/>
      <c r="M80" s="13"/>
      <c r="N80" s="13"/>
      <c r="O80" s="13"/>
      <c r="P80" s="13"/>
      <c r="Q80" s="13"/>
      <c r="R80" s="13"/>
      <c r="S80" s="13"/>
      <c r="T80" s="13"/>
      <c r="U80" s="13"/>
      <c r="V80" s="13"/>
      <c r="W80" s="13"/>
      <c r="X80" s="13"/>
      <c r="Y80" s="83"/>
    </row>
    <row r="81" spans="2:25" ht="16.5" customHeight="1" x14ac:dyDescent="0.2">
      <c r="B81" s="28"/>
      <c r="G81" s="81"/>
      <c r="H81" s="82" t="str">
        <f>IF(【様式第６号】事業報告書兼チェックシート!T231=0,IF(【様式第６号】事業報告書兼チェックシート!C244="","","・"&amp;【様式第６号】事業報告書兼チェックシート!C244),"")</f>
        <v>・完成写真及び口座振替依頼書</v>
      </c>
      <c r="I81" s="13"/>
      <c r="J81" s="13"/>
      <c r="K81" s="13"/>
      <c r="L81" s="13"/>
      <c r="M81" s="13"/>
      <c r="N81" s="13"/>
      <c r="O81" s="13"/>
      <c r="P81" s="13"/>
      <c r="Q81" s="13"/>
      <c r="R81" s="13"/>
      <c r="S81" s="13"/>
      <c r="T81" s="13"/>
      <c r="U81" s="13"/>
      <c r="V81" s="13"/>
      <c r="W81" s="13"/>
      <c r="X81" s="13"/>
      <c r="Y81" s="83"/>
    </row>
    <row r="82" spans="2:25" ht="16.5" customHeight="1" x14ac:dyDescent="0.2">
      <c r="B82" s="28"/>
      <c r="G82" s="81"/>
      <c r="H82" s="82" t="str">
        <f>IF(【様式第６号】事業報告書兼チェックシート!T231=0,IF(【様式第６号】事業報告書兼チェックシート!C245="","","・"&amp;【様式第６号】事業報告書兼チェックシート!C245),"")</f>
        <v>・鳥取県産材活用協議会が発行する県産材の産地証明書の写し</v>
      </c>
      <c r="I82" s="13"/>
      <c r="J82" s="13"/>
      <c r="K82" s="13"/>
      <c r="L82" s="13"/>
      <c r="M82" s="13"/>
      <c r="N82" s="13"/>
      <c r="O82" s="13"/>
      <c r="P82" s="13"/>
      <c r="Q82" s="13"/>
      <c r="R82" s="13"/>
      <c r="S82" s="13"/>
      <c r="T82" s="13"/>
      <c r="U82" s="13"/>
      <c r="V82" s="13"/>
      <c r="W82" s="13"/>
      <c r="X82" s="13"/>
      <c r="Y82" s="83"/>
    </row>
    <row r="83" spans="2:25" ht="19.5" customHeight="1" x14ac:dyDescent="0.2">
      <c r="B83" s="490"/>
      <c r="C83" s="491"/>
      <c r="D83" s="491"/>
      <c r="E83" s="491"/>
      <c r="F83" s="491"/>
      <c r="G83" s="492"/>
      <c r="H83" s="464" t="str">
        <f>IF(【様式第６号】事業報告書兼チェックシート!C266="","","・"&amp;【様式第６号】事業報告書兼チェックシート!C266)</f>
        <v/>
      </c>
      <c r="I83" s="316"/>
      <c r="J83" s="316"/>
      <c r="K83" s="316"/>
      <c r="L83" s="316"/>
      <c r="M83" s="316"/>
      <c r="N83" s="316"/>
      <c r="O83" s="316"/>
      <c r="P83" s="316"/>
      <c r="Q83" s="316"/>
      <c r="R83" s="316"/>
      <c r="S83" s="316"/>
      <c r="T83" s="316"/>
      <c r="U83" s="316"/>
      <c r="V83" s="316"/>
      <c r="W83" s="316"/>
      <c r="X83" s="316"/>
      <c r="Y83" s="465"/>
    </row>
    <row r="84" spans="2:25" ht="19.5" customHeight="1" x14ac:dyDescent="0.2">
      <c r="B84" s="490"/>
      <c r="C84" s="491"/>
      <c r="D84" s="491"/>
      <c r="E84" s="491"/>
      <c r="F84" s="491"/>
      <c r="G84" s="492"/>
      <c r="H84" s="464" t="str">
        <f>IF(【様式第６号】事業報告書兼チェックシート!C267="","","・"&amp;【様式第６号】事業報告書兼チェックシート!C267)</f>
        <v/>
      </c>
      <c r="I84" s="316"/>
      <c r="J84" s="316"/>
      <c r="K84" s="316"/>
      <c r="L84" s="316"/>
      <c r="M84" s="316"/>
      <c r="N84" s="316"/>
      <c r="O84" s="316"/>
      <c r="P84" s="316"/>
      <c r="Q84" s="316"/>
      <c r="R84" s="316"/>
      <c r="S84" s="316"/>
      <c r="T84" s="316"/>
      <c r="U84" s="316"/>
      <c r="V84" s="316"/>
      <c r="W84" s="316"/>
      <c r="X84" s="316"/>
      <c r="Y84" s="465"/>
    </row>
    <row r="85" spans="2:25" ht="19.5" customHeight="1" x14ac:dyDescent="0.2">
      <c r="B85" s="28"/>
      <c r="G85" s="81"/>
      <c r="H85" s="464" t="str">
        <f>IF(【様式第６号】事業報告書兼チェックシート!C268="","","・"&amp;【様式第６号】事業報告書兼チェックシート!C268)</f>
        <v/>
      </c>
      <c r="I85" s="316"/>
      <c r="J85" s="316"/>
      <c r="K85" s="316"/>
      <c r="L85" s="316"/>
      <c r="M85" s="316"/>
      <c r="N85" s="316"/>
      <c r="O85" s="316"/>
      <c r="P85" s="316"/>
      <c r="Q85" s="316"/>
      <c r="R85" s="316"/>
      <c r="S85" s="316"/>
      <c r="T85" s="316"/>
      <c r="U85" s="316"/>
      <c r="V85" s="316"/>
      <c r="W85" s="316"/>
      <c r="X85" s="316"/>
      <c r="Y85" s="465"/>
    </row>
    <row r="86" spans="2:25" ht="19.5" customHeight="1" x14ac:dyDescent="0.2">
      <c r="B86" s="28"/>
      <c r="G86" s="81"/>
      <c r="H86" s="278" t="str">
        <f>IF(【様式第６号】事業報告書兼チェックシート!C251="","","・"&amp;【様式第６号】事業報告書兼チェックシート!C251)</f>
        <v>・登録住宅を購入した場合は、その購入契約書の写し</v>
      </c>
      <c r="I86" s="279"/>
      <c r="J86" s="279"/>
      <c r="K86" s="279"/>
      <c r="L86" s="279"/>
      <c r="M86" s="279"/>
      <c r="N86" s="279"/>
      <c r="O86" s="279"/>
      <c r="P86" s="279"/>
      <c r="Q86" s="279"/>
      <c r="R86" s="279"/>
      <c r="S86" s="279"/>
      <c r="T86" s="279"/>
      <c r="U86" s="279"/>
      <c r="V86" s="279"/>
      <c r="W86" s="279"/>
      <c r="X86" s="279"/>
      <c r="Y86" s="280"/>
    </row>
    <row r="87" spans="2:25" ht="18" customHeight="1" x14ac:dyDescent="0.2">
      <c r="B87" s="8"/>
      <c r="C87" s="17"/>
      <c r="D87" s="17"/>
      <c r="E87" s="17"/>
      <c r="F87" s="17"/>
      <c r="G87" s="9"/>
      <c r="H87" s="84" t="str">
        <f>IF(【様式第６号】事業報告書兼チェックシート!C252="","","・"&amp;【様式第６号】事業報告書兼チェックシート!C252)</f>
        <v/>
      </c>
      <c r="I87" s="85"/>
      <c r="J87" s="17"/>
      <c r="K87" s="17"/>
      <c r="L87" s="17"/>
      <c r="M87" s="17"/>
      <c r="N87" s="17"/>
      <c r="O87" s="17"/>
      <c r="P87" s="17"/>
      <c r="Q87" s="17"/>
      <c r="R87" s="17"/>
      <c r="S87" s="17"/>
      <c r="T87" s="17"/>
      <c r="U87" s="17"/>
      <c r="V87" s="17"/>
      <c r="W87" s="17"/>
      <c r="X87" s="17"/>
      <c r="Y87" s="9"/>
    </row>
    <row r="96" spans="2:25" ht="18" hidden="1" customHeight="1" x14ac:dyDescent="0.2"/>
    <row r="97" spans="1:35" ht="18" hidden="1" customHeight="1" x14ac:dyDescent="0.2"/>
    <row r="98" spans="1:35" s="13" customFormat="1" ht="18" hidden="1" customHeight="1" x14ac:dyDescent="0.15">
      <c r="A98" s="86" t="s">
        <v>218</v>
      </c>
      <c r="B98" s="87"/>
      <c r="C98" s="87"/>
      <c r="D98" s="87"/>
      <c r="E98" s="87"/>
      <c r="F98" s="87"/>
      <c r="G98" s="87"/>
      <c r="H98" s="87"/>
      <c r="I98" s="87"/>
      <c r="J98" s="87"/>
      <c r="K98" s="87"/>
      <c r="L98" s="87"/>
      <c r="M98" s="87"/>
      <c r="N98" s="87"/>
      <c r="O98" s="87"/>
      <c r="P98" s="87"/>
      <c r="Q98" s="88"/>
      <c r="R98" s="87"/>
      <c r="S98" s="87"/>
      <c r="T98" s="87"/>
      <c r="U98" s="87"/>
      <c r="V98" s="87"/>
      <c r="W98" s="87"/>
      <c r="X98" s="87"/>
      <c r="Y98" s="87"/>
      <c r="Z98" s="87"/>
      <c r="AA98" s="23"/>
    </row>
    <row r="99" spans="1:35" s="13" customFormat="1" ht="18" hidden="1" customHeight="1" x14ac:dyDescent="0.15">
      <c r="A99" s="86"/>
      <c r="B99" s="13" t="s">
        <v>11</v>
      </c>
      <c r="AA99" s="23"/>
    </row>
    <row r="100" spans="1:35" s="13" customFormat="1" ht="18" hidden="1" customHeight="1" x14ac:dyDescent="0.2">
      <c r="B100" s="493" t="s">
        <v>219</v>
      </c>
      <c r="C100" s="494"/>
      <c r="D100" s="494"/>
      <c r="E100" s="494"/>
      <c r="F100" s="494"/>
      <c r="G100" s="494"/>
      <c r="H100" s="495"/>
      <c r="I100" s="89" t="s">
        <v>220</v>
      </c>
      <c r="J100" s="355"/>
      <c r="K100" s="355"/>
      <c r="L100" s="355"/>
      <c r="M100" s="499"/>
      <c r="N100" s="499"/>
      <c r="O100" s="499"/>
      <c r="P100" s="499"/>
      <c r="Q100" s="499"/>
      <c r="R100" s="499"/>
      <c r="S100" s="499"/>
      <c r="T100" s="499"/>
      <c r="U100" s="499"/>
      <c r="V100" s="499"/>
      <c r="W100" s="499"/>
      <c r="X100" s="499"/>
      <c r="Y100" s="500"/>
      <c r="AA100" s="22"/>
    </row>
    <row r="101" spans="1:35" s="13" customFormat="1" ht="18" hidden="1" customHeight="1" x14ac:dyDescent="0.2">
      <c r="B101" s="496"/>
      <c r="C101" s="497"/>
      <c r="D101" s="497"/>
      <c r="E101" s="497"/>
      <c r="F101" s="497"/>
      <c r="G101" s="497"/>
      <c r="H101" s="498"/>
      <c r="I101" s="501"/>
      <c r="J101" s="502"/>
      <c r="K101" s="502"/>
      <c r="L101" s="502"/>
      <c r="M101" s="502"/>
      <c r="N101" s="502"/>
      <c r="O101" s="502"/>
      <c r="P101" s="502"/>
      <c r="Q101" s="502"/>
      <c r="R101" s="502"/>
      <c r="S101" s="502"/>
      <c r="T101" s="502"/>
      <c r="U101" s="502"/>
      <c r="V101" s="502"/>
      <c r="W101" s="502"/>
      <c r="X101" s="502"/>
      <c r="Y101" s="503"/>
      <c r="AA101" s="23"/>
      <c r="AB101" s="23"/>
      <c r="AC101" s="23"/>
      <c r="AD101" s="23"/>
      <c r="AE101" s="23"/>
      <c r="AF101" s="23"/>
      <c r="AG101" s="23"/>
      <c r="AH101" s="23"/>
      <c r="AI101" s="23"/>
    </row>
    <row r="102" spans="1:35" s="13" customFormat="1" ht="24" hidden="1" customHeight="1" x14ac:dyDescent="0.2">
      <c r="B102" s="471" t="s">
        <v>221</v>
      </c>
      <c r="C102" s="472"/>
      <c r="D102" s="472"/>
      <c r="E102" s="472"/>
      <c r="F102" s="472"/>
      <c r="G102" s="472"/>
      <c r="H102" s="473"/>
      <c r="I102" s="484"/>
      <c r="J102" s="485"/>
      <c r="K102" s="485"/>
      <c r="L102" s="485"/>
      <c r="M102" s="485"/>
      <c r="N102" s="485"/>
      <c r="O102" s="485"/>
      <c r="P102" s="485"/>
      <c r="Q102" s="485"/>
      <c r="R102" s="485"/>
      <c r="S102" s="485"/>
      <c r="T102" s="485"/>
      <c r="U102" s="485"/>
      <c r="V102" s="485"/>
      <c r="W102" s="485"/>
      <c r="X102" s="485"/>
      <c r="Y102" s="486"/>
      <c r="AA102" s="23"/>
      <c r="AB102" s="23"/>
      <c r="AC102" s="23"/>
      <c r="AD102" s="23"/>
      <c r="AE102" s="23"/>
      <c r="AF102" s="23"/>
      <c r="AG102" s="23"/>
      <c r="AH102" s="23"/>
      <c r="AI102" s="23"/>
    </row>
    <row r="103" spans="1:35" s="13" customFormat="1" ht="18" hidden="1" customHeight="1" x14ac:dyDescent="0.2">
      <c r="B103" s="471" t="s">
        <v>18</v>
      </c>
      <c r="C103" s="472"/>
      <c r="D103" s="472"/>
      <c r="E103" s="472"/>
      <c r="F103" s="472"/>
      <c r="G103" s="472"/>
      <c r="H103" s="473"/>
      <c r="I103" s="474"/>
      <c r="J103" s="475"/>
      <c r="K103" s="475"/>
      <c r="L103" s="475"/>
      <c r="M103" s="476"/>
      <c r="N103" s="477" t="s">
        <v>9</v>
      </c>
      <c r="O103" s="478"/>
      <c r="P103" s="479"/>
      <c r="Q103" s="480" t="s">
        <v>222</v>
      </c>
      <c r="R103" s="480"/>
      <c r="S103" s="480"/>
      <c r="T103" s="480"/>
      <c r="U103" s="480"/>
      <c r="V103" s="480"/>
      <c r="W103" s="480"/>
      <c r="X103" s="480"/>
      <c r="Y103" s="481"/>
      <c r="AA103" s="23"/>
      <c r="AB103" s="23"/>
      <c r="AC103" s="23"/>
      <c r="AD103" s="23"/>
      <c r="AE103" s="23"/>
      <c r="AF103" s="23"/>
      <c r="AG103" s="23"/>
      <c r="AH103" s="90"/>
      <c r="AI103" s="23"/>
    </row>
    <row r="104" spans="1:35" s="13" customFormat="1" ht="18" hidden="1" customHeight="1" x14ac:dyDescent="0.2">
      <c r="AA104" s="23"/>
      <c r="AB104" s="23"/>
      <c r="AC104" s="23"/>
      <c r="AD104" s="23"/>
      <c r="AE104" s="23"/>
      <c r="AF104" s="23"/>
      <c r="AG104" s="23"/>
      <c r="AH104" s="23"/>
      <c r="AI104" s="23"/>
    </row>
    <row r="105" spans="1:35" ht="18" hidden="1" customHeight="1" x14ac:dyDescent="0.2"/>
  </sheetData>
  <sheetProtection algorithmName="SHA-512" hashValue="aF0xeTDXMuNaZWrD/YAgROgU0I5aWc6XBwbqTDyF6pwF9FVAN8oq1loquujWiC+wV3TZTAaR4pFSf/r6eQjyNA==" saltValue="NnHgxk8j0sXUacDKS+1sZQ==" spinCount="100000" sheet="1" selectLockedCells="1"/>
  <mergeCells count="61">
    <mergeCell ref="B103:H103"/>
    <mergeCell ref="I103:M103"/>
    <mergeCell ref="N103:P103"/>
    <mergeCell ref="Q103:Y103"/>
    <mergeCell ref="B77:G78"/>
    <mergeCell ref="H85:Y85"/>
    <mergeCell ref="B100:H101"/>
    <mergeCell ref="J100:L100"/>
    <mergeCell ref="M100:Y100"/>
    <mergeCell ref="I101:Y101"/>
    <mergeCell ref="B102:H102"/>
    <mergeCell ref="I102:Y102"/>
    <mergeCell ref="H73:Y73"/>
    <mergeCell ref="H74:Y74"/>
    <mergeCell ref="H75:Y75"/>
    <mergeCell ref="H76:Y76"/>
    <mergeCell ref="B83:G84"/>
    <mergeCell ref="H83:Y83"/>
    <mergeCell ref="H84:Y84"/>
    <mergeCell ref="H72:Y72"/>
    <mergeCell ref="H61:Y61"/>
    <mergeCell ref="H62:Y62"/>
    <mergeCell ref="H63:Y63"/>
    <mergeCell ref="H64:Y64"/>
    <mergeCell ref="H65:Y65"/>
    <mergeCell ref="H66:Y66"/>
    <mergeCell ref="H67:Y67"/>
    <mergeCell ref="H68:Y68"/>
    <mergeCell ref="H69:Y69"/>
    <mergeCell ref="H70:Y70"/>
    <mergeCell ref="H71:Y71"/>
    <mergeCell ref="B51:G52"/>
    <mergeCell ref="H57:Y57"/>
    <mergeCell ref="H58:Y58"/>
    <mergeCell ref="H59:Y59"/>
    <mergeCell ref="H60:Y60"/>
    <mergeCell ref="B25:G25"/>
    <mergeCell ref="H25:O25"/>
    <mergeCell ref="Q25:X25"/>
    <mergeCell ref="B22:G23"/>
    <mergeCell ref="H22:P22"/>
    <mergeCell ref="Q22:Y22"/>
    <mergeCell ref="H23:O23"/>
    <mergeCell ref="Q23:X23"/>
    <mergeCell ref="B24:G24"/>
    <mergeCell ref="H24:O24"/>
    <mergeCell ref="Q24:X24"/>
    <mergeCell ref="B21:G21"/>
    <mergeCell ref="H21:Y21"/>
    <mergeCell ref="O12:X12"/>
    <mergeCell ref="A15:Z15"/>
    <mergeCell ref="AC16:AG16"/>
    <mergeCell ref="A17:Z17"/>
    <mergeCell ref="A19:Z19"/>
    <mergeCell ref="AA19:AZ19"/>
    <mergeCell ref="O11:X11"/>
    <mergeCell ref="Q2:R2"/>
    <mergeCell ref="T2:U2"/>
    <mergeCell ref="W2:X2"/>
    <mergeCell ref="P9:X9"/>
    <mergeCell ref="O10:X10"/>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B1:AGP22"/>
  <sheetViews>
    <sheetView zoomScale="70" zoomScaleNormal="70" workbookViewId="0">
      <selection activeCell="DH4" sqref="DH4"/>
    </sheetView>
  </sheetViews>
  <sheetFormatPr defaultColWidth="9" defaultRowHeight="13.2" outlineLevelRow="1" outlineLevelCol="1" x14ac:dyDescent="0.2"/>
  <cols>
    <col min="1" max="1" width="9" style="112"/>
    <col min="2" max="2" width="6.6640625" style="110" hidden="1" customWidth="1"/>
    <col min="3" max="3" width="6.6640625" hidden="1" customWidth="1"/>
    <col min="4" max="5" width="7.6640625" style="111" hidden="1" customWidth="1"/>
    <col min="6" max="6" width="9.6640625" style="112" hidden="1" customWidth="1"/>
    <col min="7" max="7" width="8.88671875" style="112" hidden="1" customWidth="1"/>
    <col min="8" max="8" width="11.6640625" style="113" hidden="1" customWidth="1"/>
    <col min="9" max="9" width="26.44140625" style="112" hidden="1" customWidth="1"/>
    <col min="10" max="10" width="10.6640625" style="111" hidden="1" customWidth="1"/>
    <col min="11" max="11" width="50" style="112" hidden="1" customWidth="1"/>
    <col min="12" max="12" width="16.6640625" style="111" hidden="1" customWidth="1"/>
    <col min="13" max="13" width="10.6640625" style="111" hidden="1" customWidth="1"/>
    <col min="14" max="14" width="57" style="112" hidden="1" customWidth="1"/>
    <col min="15" max="31" width="6.6640625" style="115" hidden="1" customWidth="1"/>
    <col min="32" max="33" width="6.6640625" style="115" hidden="1" customWidth="1" outlineLevel="1"/>
    <col min="34" max="35" width="6.6640625" style="115" hidden="1" customWidth="1"/>
    <col min="36" max="37" width="6.6640625" style="115" hidden="1" customWidth="1" outlineLevel="1"/>
    <col min="38" max="51" width="6.6640625" style="115" hidden="1" customWidth="1"/>
    <col min="52" max="52" width="9" style="115" hidden="1" customWidth="1"/>
    <col min="53" max="56" width="6.6640625" style="115" hidden="1" customWidth="1"/>
    <col min="57" max="58" width="6.6640625" style="115" hidden="1" customWidth="1" outlineLevel="1"/>
    <col min="59" max="60" width="6.6640625" style="115" hidden="1" customWidth="1"/>
    <col min="61" max="63" width="6.6640625" style="115" hidden="1" customWidth="1" outlineLevel="1"/>
    <col min="64" max="65" width="6.6640625" style="115" hidden="1" customWidth="1"/>
    <col min="66" max="68" width="6.6640625" style="115" hidden="1" customWidth="1" outlineLevel="1"/>
    <col min="69" max="71" width="6.6640625" style="115" hidden="1" customWidth="1"/>
    <col min="72" max="72" width="10.6640625" style="113" hidden="1" customWidth="1"/>
    <col min="73" max="73" width="3.33203125" style="113" hidden="1" customWidth="1"/>
    <col min="74" max="74" width="4.33203125" style="113" hidden="1" customWidth="1"/>
    <col min="75" max="75" width="3.33203125" style="113" hidden="1" customWidth="1"/>
    <col min="76" max="76" width="4.88671875" style="113" hidden="1" customWidth="1"/>
    <col min="77" max="77" width="3.33203125" style="113" hidden="1" customWidth="1"/>
    <col min="78" max="78" width="10.6640625" style="113" hidden="1" customWidth="1"/>
    <col min="79" max="79" width="3.33203125" style="113" hidden="1" customWidth="1"/>
    <col min="80" max="80" width="4.33203125" style="113" hidden="1" customWidth="1"/>
    <col min="81" max="81" width="3.33203125" style="113" hidden="1" customWidth="1"/>
    <col min="82" max="82" width="4.88671875" style="113" hidden="1" customWidth="1"/>
    <col min="83" max="83" width="3.33203125" style="113" hidden="1" customWidth="1"/>
    <col min="84" max="84" width="10.6640625" style="113" hidden="1" customWidth="1"/>
    <col min="85" max="85" width="9" style="116" hidden="1" customWidth="1"/>
    <col min="86" max="86" width="29.33203125" style="112" hidden="1" customWidth="1"/>
    <col min="87" max="87" width="40.6640625" style="112" hidden="1" customWidth="1"/>
    <col min="88" max="88" width="10.88671875" style="111" hidden="1" customWidth="1"/>
    <col min="89" max="90" width="9" style="112" hidden="1" customWidth="1"/>
    <col min="91" max="91" width="9" style="111" hidden="1" customWidth="1"/>
    <col min="92" max="92" width="9" style="113" hidden="1" customWidth="1"/>
    <col min="93" max="94" width="9" style="112" hidden="1" customWidth="1"/>
    <col min="95" max="96" width="9" style="113" hidden="1" customWidth="1"/>
    <col min="97" max="97" width="11" style="112" hidden="1" customWidth="1"/>
    <col min="98" max="98" width="3.33203125" style="112" hidden="1" customWidth="1"/>
    <col min="99" max="99" width="3.88671875" style="112" hidden="1" customWidth="1"/>
    <col min="100" max="100" width="4.44140625" style="112" hidden="1" customWidth="1"/>
    <col min="101" max="101" width="3.88671875" style="112" hidden="1" customWidth="1"/>
    <col min="102" max="102" width="3.44140625" style="112" hidden="1" customWidth="1"/>
    <col min="103" max="103" width="4.44140625" style="112" hidden="1" customWidth="1"/>
    <col min="104" max="104" width="9" style="112" customWidth="1"/>
    <col min="105" max="105" width="8.88671875" style="112" bestFit="1" customWidth="1"/>
    <col min="106" max="107" width="6.6640625" style="115" customWidth="1"/>
    <col min="108" max="108" width="10.109375" style="115" customWidth="1"/>
    <col min="109" max="112" width="6.6640625" style="115" customWidth="1"/>
    <col min="113" max="113" width="10.109375" style="115" customWidth="1"/>
    <col min="114" max="121" width="6.6640625" style="115" customWidth="1"/>
    <col min="122" max="122" width="10" style="115" customWidth="1"/>
    <col min="123" max="129" width="6.6640625" style="115" customWidth="1"/>
    <col min="130" max="130" width="9.6640625" style="115" customWidth="1"/>
    <col min="131" max="134" width="6.6640625" style="115" customWidth="1"/>
    <col min="135" max="136" width="6.6640625" style="115" customWidth="1" outlineLevel="1"/>
    <col min="137" max="139" width="6.6640625" style="115" customWidth="1"/>
    <col min="140" max="141" width="6.6640625" style="115" customWidth="1" outlineLevel="1"/>
    <col min="142" max="157" width="6.6640625" style="115" customWidth="1"/>
    <col min="158" max="159" width="8.6640625" style="115" customWidth="1"/>
    <col min="160" max="160" width="6.6640625" style="115" customWidth="1"/>
    <col min="161" max="161" width="8.88671875" style="115" bestFit="1" customWidth="1"/>
    <col min="162" max="162" width="9" style="115" customWidth="1"/>
    <col min="163" max="163" width="6.6640625" style="115" customWidth="1"/>
    <col min="164" max="164" width="10.109375" style="115" customWidth="1"/>
    <col min="165" max="165" width="6.6640625" style="115" customWidth="1"/>
    <col min="166" max="166" width="10" style="115" customWidth="1"/>
    <col min="167" max="169" width="6.6640625" style="115" customWidth="1"/>
    <col min="170" max="171" width="6.6640625" style="115" hidden="1" customWidth="1" outlineLevel="1"/>
    <col min="172" max="172" width="6.6640625" style="115" customWidth="1" collapsed="1"/>
    <col min="173" max="174" width="6.6640625" style="115" customWidth="1"/>
    <col min="175" max="177" width="6.6640625" style="115" hidden="1" customWidth="1" outlineLevel="1"/>
    <col min="178" max="178" width="6.6640625" style="115" customWidth="1" collapsed="1"/>
    <col min="179" max="180" width="6.6640625" style="115" customWidth="1"/>
    <col min="181" max="183" width="6.6640625" style="115" hidden="1" customWidth="1" outlineLevel="1"/>
    <col min="184" max="184" width="6.6640625" style="115" customWidth="1" collapsed="1"/>
    <col min="185" max="186" width="6.6640625" style="115" customWidth="1"/>
    <col min="187" max="187" width="10.88671875" style="115" customWidth="1"/>
    <col min="188" max="189" width="6.6640625" style="115" customWidth="1"/>
    <col min="190" max="190" width="6.6640625" style="112" customWidth="1"/>
    <col min="191" max="191" width="9.88671875" style="113" customWidth="1"/>
    <col min="192" max="192" width="9.44140625" style="113" customWidth="1"/>
    <col min="193" max="193" width="9.44140625" style="113" bestFit="1" customWidth="1"/>
    <col min="194" max="196" width="9" style="116"/>
    <col min="197" max="16384" width="9" style="112"/>
  </cols>
  <sheetData>
    <row r="1" spans="2:874" x14ac:dyDescent="0.2">
      <c r="C1" t="s">
        <v>263</v>
      </c>
      <c r="I1" s="114" t="s">
        <v>264</v>
      </c>
    </row>
    <row r="2" spans="2:874" x14ac:dyDescent="0.2">
      <c r="H2" s="117" t="s">
        <v>265</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17"/>
      <c r="BU2" s="117"/>
      <c r="BV2" s="117"/>
      <c r="BW2" s="117"/>
      <c r="BX2" s="117"/>
      <c r="BY2" s="117"/>
      <c r="BZ2" s="117"/>
      <c r="CA2" s="117"/>
      <c r="CB2" s="117"/>
      <c r="CC2" s="117"/>
      <c r="CD2" s="117"/>
      <c r="CE2" s="117"/>
      <c r="CF2" s="117"/>
      <c r="CG2" s="121"/>
      <c r="CH2" s="118"/>
      <c r="CI2" s="118"/>
      <c r="CJ2" s="119"/>
      <c r="CK2" s="118"/>
      <c r="CL2" s="118"/>
      <c r="CM2" s="119"/>
      <c r="CN2" s="118"/>
      <c r="CO2" s="118"/>
      <c r="CP2" s="118"/>
      <c r="CQ2" s="118"/>
      <c r="CR2" s="118"/>
      <c r="CS2" s="118"/>
      <c r="CT2" s="118"/>
      <c r="CU2" s="118"/>
      <c r="CV2" s="118"/>
      <c r="CW2" s="118"/>
      <c r="CX2" s="118"/>
      <c r="CY2" s="118"/>
      <c r="DA2" s="122" t="s">
        <v>266</v>
      </c>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row>
    <row r="3" spans="2:874" s="148" customFormat="1" ht="54" x14ac:dyDescent="0.2">
      <c r="B3" s="123" t="s">
        <v>267</v>
      </c>
      <c r="C3" s="124" t="s">
        <v>268</v>
      </c>
      <c r="D3" s="125" t="s">
        <v>269</v>
      </c>
      <c r="E3" s="125"/>
      <c r="F3" s="126" t="s">
        <v>270</v>
      </c>
      <c r="G3" s="127" t="s">
        <v>271</v>
      </c>
      <c r="H3" s="129" t="s">
        <v>273</v>
      </c>
      <c r="I3" s="130" t="s">
        <v>274</v>
      </c>
      <c r="J3" s="131"/>
      <c r="K3" s="132"/>
      <c r="L3" s="133"/>
      <c r="M3" s="134" t="s">
        <v>275</v>
      </c>
      <c r="N3" s="135"/>
      <c r="O3" s="136" t="s">
        <v>276</v>
      </c>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517" t="s">
        <v>277</v>
      </c>
      <c r="AZ3" s="138" t="s">
        <v>278</v>
      </c>
      <c r="BA3" s="138"/>
      <c r="BB3" s="138"/>
      <c r="BC3" s="138"/>
      <c r="BD3" s="138"/>
      <c r="BE3" s="138"/>
      <c r="BF3" s="138"/>
      <c r="BG3" s="138"/>
      <c r="BH3" s="138"/>
      <c r="BI3" s="138"/>
      <c r="BJ3" s="138"/>
      <c r="BK3" s="138"/>
      <c r="BL3" s="138"/>
      <c r="BM3" s="138"/>
      <c r="BN3" s="138"/>
      <c r="BO3" s="138"/>
      <c r="BP3" s="138"/>
      <c r="BQ3" s="138"/>
      <c r="BR3" s="138"/>
      <c r="BS3" s="138"/>
      <c r="BT3" s="139" t="s">
        <v>279</v>
      </c>
      <c r="BU3" s="140"/>
      <c r="BV3" s="140"/>
      <c r="BW3" s="140"/>
      <c r="BX3" s="140"/>
      <c r="BY3" s="140"/>
      <c r="BZ3" s="140"/>
      <c r="CA3" s="140"/>
      <c r="CB3" s="140"/>
      <c r="CC3" s="140"/>
      <c r="CD3" s="140"/>
      <c r="CE3" s="140"/>
      <c r="CF3" s="141" t="s">
        <v>280</v>
      </c>
      <c r="CG3" s="142"/>
      <c r="CH3" s="143" t="s">
        <v>281</v>
      </c>
      <c r="CI3" s="144"/>
      <c r="CJ3" s="145" t="s">
        <v>282</v>
      </c>
      <c r="CK3" s="126" t="s">
        <v>283</v>
      </c>
      <c r="CL3" s="126" t="s">
        <v>284</v>
      </c>
      <c r="CM3" s="125" t="s">
        <v>285</v>
      </c>
      <c r="CN3" s="139" t="s">
        <v>286</v>
      </c>
      <c r="CO3" s="144"/>
      <c r="CP3" s="146" t="s">
        <v>287</v>
      </c>
      <c r="CQ3" s="140"/>
      <c r="CR3" s="140"/>
      <c r="CS3" s="147"/>
      <c r="CT3" s="144"/>
      <c r="CU3" s="146" t="s">
        <v>288</v>
      </c>
      <c r="CV3" s="144"/>
      <c r="CW3" s="519" t="s">
        <v>289</v>
      </c>
      <c r="CX3" s="520"/>
      <c r="CY3" s="521"/>
      <c r="DA3" s="128" t="s">
        <v>272</v>
      </c>
      <c r="DB3" s="136" t="s">
        <v>290</v>
      </c>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49"/>
      <c r="FF3" s="150" t="s">
        <v>291</v>
      </c>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38"/>
      <c r="GE3" s="138"/>
      <c r="GF3" s="138"/>
      <c r="GG3" s="138"/>
      <c r="GH3" s="146" t="s">
        <v>292</v>
      </c>
      <c r="GI3" s="152"/>
      <c r="GJ3" s="152"/>
      <c r="GK3" s="152"/>
      <c r="GL3" s="153"/>
      <c r="GM3" s="153"/>
      <c r="GN3" s="142"/>
    </row>
    <row r="4" spans="2:874" ht="36" x14ac:dyDescent="0.15">
      <c r="B4" s="154"/>
      <c r="C4" s="155"/>
      <c r="D4" s="156"/>
      <c r="E4" s="156"/>
      <c r="F4" s="157"/>
      <c r="G4" s="157"/>
      <c r="H4" s="158"/>
      <c r="I4" s="159" t="s">
        <v>293</v>
      </c>
      <c r="J4" s="160" t="s">
        <v>294</v>
      </c>
      <c r="K4" s="161" t="s">
        <v>295</v>
      </c>
      <c r="L4" s="160" t="s">
        <v>296</v>
      </c>
      <c r="M4" s="160"/>
      <c r="N4" s="159"/>
      <c r="O4" s="162"/>
      <c r="P4" s="163" t="s">
        <v>297</v>
      </c>
      <c r="Q4" s="164"/>
      <c r="R4" s="165" t="s">
        <v>298</v>
      </c>
      <c r="S4" s="166"/>
      <c r="T4" s="167"/>
      <c r="U4" s="168" t="s">
        <v>299</v>
      </c>
      <c r="V4" s="169"/>
      <c r="W4" s="170"/>
      <c r="X4" s="525" t="s">
        <v>300</v>
      </c>
      <c r="Y4" s="526"/>
      <c r="Z4" s="526"/>
      <c r="AA4" s="171"/>
      <c r="AB4" s="525" t="s">
        <v>301</v>
      </c>
      <c r="AC4" s="526"/>
      <c r="AD4" s="527"/>
      <c r="AE4" s="172" t="s">
        <v>302</v>
      </c>
      <c r="AF4" s="173"/>
      <c r="AG4" s="173"/>
      <c r="AH4" s="174"/>
      <c r="AI4" s="175" t="s">
        <v>303</v>
      </c>
      <c r="AJ4" s="176"/>
      <c r="AK4" s="176"/>
      <c r="AL4" s="177"/>
      <c r="AM4" s="178" t="s">
        <v>304</v>
      </c>
      <c r="AN4" s="179"/>
      <c r="AO4" s="179"/>
      <c r="AP4" s="179"/>
      <c r="AQ4" s="179"/>
      <c r="AR4" s="179"/>
      <c r="AS4" s="179"/>
      <c r="AT4" s="179"/>
      <c r="AU4" s="179"/>
      <c r="AV4" s="179"/>
      <c r="AW4" s="179"/>
      <c r="AX4" s="180"/>
      <c r="AY4" s="517"/>
      <c r="AZ4" s="162"/>
      <c r="BA4" s="181" t="s">
        <v>305</v>
      </c>
      <c r="BB4" s="181"/>
      <c r="BC4" s="182"/>
      <c r="BD4" s="172" t="s">
        <v>302</v>
      </c>
      <c r="BE4" s="173"/>
      <c r="BF4" s="173"/>
      <c r="BG4" s="174"/>
      <c r="BH4" s="168" t="s">
        <v>303</v>
      </c>
      <c r="BI4" s="169"/>
      <c r="BJ4" s="169"/>
      <c r="BK4" s="169"/>
      <c r="BL4" s="170"/>
      <c r="BM4" s="178" t="s">
        <v>306</v>
      </c>
      <c r="BN4" s="179"/>
      <c r="BO4" s="179"/>
      <c r="BP4" s="179"/>
      <c r="BQ4" s="179"/>
      <c r="BR4" s="180"/>
      <c r="BS4" s="183" t="s">
        <v>307</v>
      </c>
      <c r="BT4" s="184"/>
      <c r="BU4" s="185"/>
      <c r="BV4" s="185"/>
      <c r="BW4" s="185"/>
      <c r="BX4" s="185"/>
      <c r="BY4" s="185"/>
      <c r="BZ4" s="185"/>
      <c r="CA4" s="186"/>
      <c r="CB4" s="186"/>
      <c r="CC4" s="186"/>
      <c r="CD4" s="186"/>
      <c r="CE4" s="186"/>
      <c r="CF4" s="187"/>
      <c r="CG4" s="188"/>
      <c r="CH4" s="189"/>
      <c r="CI4" s="190"/>
      <c r="CJ4" s="191"/>
      <c r="CK4" s="157"/>
      <c r="CL4" s="192"/>
      <c r="CM4" s="156"/>
      <c r="CN4" s="193"/>
      <c r="CO4" s="194"/>
      <c r="CP4" s="189"/>
      <c r="CT4" s="190"/>
      <c r="CU4" s="189"/>
      <c r="CV4" s="190"/>
      <c r="CW4" s="522"/>
      <c r="CX4" s="523"/>
      <c r="CY4" s="524"/>
      <c r="DA4" s="157"/>
      <c r="DB4" s="162"/>
      <c r="DC4" s="163" t="s">
        <v>297</v>
      </c>
      <c r="DD4" s="195"/>
      <c r="DE4" s="195"/>
      <c r="DF4" s="195"/>
      <c r="DG4" s="165" t="s">
        <v>308</v>
      </c>
      <c r="DH4" s="166"/>
      <c r="DI4" s="166"/>
      <c r="DJ4" s="166"/>
      <c r="DK4" s="166"/>
      <c r="DL4" s="168" t="s">
        <v>452</v>
      </c>
      <c r="DM4" s="169"/>
      <c r="DN4" s="169"/>
      <c r="DO4" s="169"/>
      <c r="DP4" s="169"/>
      <c r="DQ4" s="169"/>
      <c r="DR4" s="169"/>
      <c r="DS4" s="169"/>
      <c r="DT4" s="170"/>
      <c r="DU4" s="526" t="s">
        <v>300</v>
      </c>
      <c r="DV4" s="526"/>
      <c r="DW4" s="526"/>
      <c r="DX4" s="526" t="s">
        <v>301</v>
      </c>
      <c r="DY4" s="526"/>
      <c r="DZ4" s="526"/>
      <c r="EA4" s="527"/>
      <c r="EB4" s="196"/>
      <c r="EC4" s="171"/>
      <c r="ED4" s="172" t="s">
        <v>302</v>
      </c>
      <c r="EE4" s="173"/>
      <c r="EF4" s="173"/>
      <c r="EG4" s="173"/>
      <c r="EH4" s="173"/>
      <c r="EI4" s="175" t="s">
        <v>303</v>
      </c>
      <c r="EJ4" s="176"/>
      <c r="EK4" s="176"/>
      <c r="EL4" s="176"/>
      <c r="EM4" s="177"/>
      <c r="EN4" s="178" t="s">
        <v>453</v>
      </c>
      <c r="EO4" s="179"/>
      <c r="EP4" s="179"/>
      <c r="EQ4" s="179"/>
      <c r="ER4" s="179"/>
      <c r="ES4" s="179"/>
      <c r="ET4" s="179"/>
      <c r="EU4" s="179"/>
      <c r="EV4" s="179"/>
      <c r="EW4" s="179"/>
      <c r="EX4" s="179"/>
      <c r="EY4" s="179"/>
      <c r="EZ4" s="179"/>
      <c r="FA4" s="179"/>
      <c r="FB4" s="179"/>
      <c r="FC4" s="179"/>
      <c r="FD4" s="197" t="s">
        <v>309</v>
      </c>
      <c r="FE4" s="197" t="s">
        <v>310</v>
      </c>
      <c r="FG4" s="198" t="s">
        <v>305</v>
      </c>
      <c r="FH4" s="181"/>
      <c r="FI4" s="181"/>
      <c r="FJ4" s="181"/>
      <c r="FK4" s="181"/>
      <c r="FL4" s="182"/>
      <c r="FM4" s="172" t="s">
        <v>302</v>
      </c>
      <c r="FN4" s="173"/>
      <c r="FO4" s="173"/>
      <c r="FP4" s="173"/>
      <c r="FQ4" s="174"/>
      <c r="FR4" s="168" t="s">
        <v>303</v>
      </c>
      <c r="FS4" s="169"/>
      <c r="FT4" s="169"/>
      <c r="FU4" s="169"/>
      <c r="FV4" s="169"/>
      <c r="FW4" s="170"/>
      <c r="FX4" s="178" t="s">
        <v>454</v>
      </c>
      <c r="FY4" s="179"/>
      <c r="FZ4" s="179"/>
      <c r="GA4" s="179"/>
      <c r="GB4" s="179"/>
      <c r="GC4" s="179"/>
      <c r="GD4" s="199"/>
      <c r="GE4" s="199"/>
      <c r="GF4" s="200" t="s">
        <v>311</v>
      </c>
      <c r="GG4" s="200" t="s">
        <v>310</v>
      </c>
      <c r="GH4" s="201"/>
      <c r="GI4" s="202"/>
      <c r="GJ4" s="202"/>
      <c r="GK4" s="202"/>
      <c r="GL4" s="203" t="s">
        <v>312</v>
      </c>
      <c r="GM4" s="203" t="s">
        <v>312</v>
      </c>
      <c r="GN4" s="204" t="s">
        <v>313</v>
      </c>
    </row>
    <row r="5" spans="2:874" s="230" customFormat="1" ht="183.6" x14ac:dyDescent="0.2">
      <c r="B5" s="205" t="s">
        <v>314</v>
      </c>
      <c r="C5" s="206"/>
      <c r="D5" s="207"/>
      <c r="E5" s="208" t="s">
        <v>315</v>
      </c>
      <c r="F5" s="209" t="s">
        <v>316</v>
      </c>
      <c r="G5" s="209"/>
      <c r="H5" s="210"/>
      <c r="I5" s="211"/>
      <c r="J5" s="212"/>
      <c r="K5" s="126"/>
      <c r="L5" s="212"/>
      <c r="M5" s="125" t="s">
        <v>317</v>
      </c>
      <c r="N5" s="126" t="s">
        <v>318</v>
      </c>
      <c r="O5" s="213" t="s">
        <v>319</v>
      </c>
      <c r="P5" s="214" t="s">
        <v>320</v>
      </c>
      <c r="Q5" s="200" t="s">
        <v>321</v>
      </c>
      <c r="R5" s="215" t="s">
        <v>322</v>
      </c>
      <c r="S5" s="214" t="s">
        <v>320</v>
      </c>
      <c r="T5" s="200" t="s">
        <v>321</v>
      </c>
      <c r="U5" s="215" t="s">
        <v>322</v>
      </c>
      <c r="V5" s="214" t="s">
        <v>320</v>
      </c>
      <c r="W5" s="200" t="s">
        <v>321</v>
      </c>
      <c r="X5" s="216" t="s">
        <v>322</v>
      </c>
      <c r="Y5" s="217" t="s">
        <v>323</v>
      </c>
      <c r="Z5" s="216" t="s">
        <v>324</v>
      </c>
      <c r="AA5" s="218" t="s">
        <v>325</v>
      </c>
      <c r="AB5" s="216" t="s">
        <v>322</v>
      </c>
      <c r="AC5" s="217" t="s">
        <v>326</v>
      </c>
      <c r="AD5" s="216" t="s">
        <v>324</v>
      </c>
      <c r="AE5" s="215" t="s">
        <v>322</v>
      </c>
      <c r="AF5" s="214" t="s">
        <v>327</v>
      </c>
      <c r="AG5" s="219" t="s">
        <v>328</v>
      </c>
      <c r="AH5" s="200" t="s">
        <v>321</v>
      </c>
      <c r="AI5" s="215" t="s">
        <v>329</v>
      </c>
      <c r="AJ5" s="214" t="s">
        <v>330</v>
      </c>
      <c r="AK5" s="214" t="s">
        <v>331</v>
      </c>
      <c r="AL5" s="200" t="s">
        <v>321</v>
      </c>
      <c r="AM5" s="216" t="s">
        <v>329</v>
      </c>
      <c r="AN5" s="213" t="s">
        <v>332</v>
      </c>
      <c r="AO5" s="213" t="s">
        <v>333</v>
      </c>
      <c r="AP5" s="213" t="s">
        <v>334</v>
      </c>
      <c r="AQ5" s="213" t="s">
        <v>335</v>
      </c>
      <c r="AR5" s="213" t="s">
        <v>336</v>
      </c>
      <c r="AS5" s="213" t="s">
        <v>337</v>
      </c>
      <c r="AT5" s="213" t="s">
        <v>338</v>
      </c>
      <c r="AU5" s="216" t="s">
        <v>339</v>
      </c>
      <c r="AV5" s="218" t="s">
        <v>321</v>
      </c>
      <c r="AW5" s="213" t="s">
        <v>340</v>
      </c>
      <c r="AX5" s="213" t="s">
        <v>341</v>
      </c>
      <c r="AY5" s="518"/>
      <c r="AZ5" s="220" t="s">
        <v>342</v>
      </c>
      <c r="BA5" s="221" t="s">
        <v>343</v>
      </c>
      <c r="BB5" s="222" t="s">
        <v>344</v>
      </c>
      <c r="BC5" s="218" t="s">
        <v>345</v>
      </c>
      <c r="BD5" s="215" t="s">
        <v>322</v>
      </c>
      <c r="BE5" s="214" t="s">
        <v>346</v>
      </c>
      <c r="BF5" s="219" t="s">
        <v>347</v>
      </c>
      <c r="BG5" s="200" t="s">
        <v>345</v>
      </c>
      <c r="BH5" s="215" t="s">
        <v>322</v>
      </c>
      <c r="BI5" s="214" t="s">
        <v>348</v>
      </c>
      <c r="BJ5" s="214" t="s">
        <v>349</v>
      </c>
      <c r="BK5" s="214" t="s">
        <v>350</v>
      </c>
      <c r="BL5" s="200" t="s">
        <v>345</v>
      </c>
      <c r="BM5" s="215" t="s">
        <v>329</v>
      </c>
      <c r="BN5" s="214" t="s">
        <v>351</v>
      </c>
      <c r="BO5" s="214" t="s">
        <v>352</v>
      </c>
      <c r="BP5" s="214" t="s">
        <v>353</v>
      </c>
      <c r="BQ5" s="200" t="s">
        <v>354</v>
      </c>
      <c r="BR5" s="213" t="s">
        <v>341</v>
      </c>
      <c r="BS5" s="223" t="s">
        <v>355</v>
      </c>
      <c r="BT5" s="528" t="s">
        <v>356</v>
      </c>
      <c r="BU5" s="529"/>
      <c r="BV5" s="529"/>
      <c r="BW5" s="529"/>
      <c r="BX5" s="529"/>
      <c r="BY5" s="530"/>
      <c r="BZ5" s="528" t="s">
        <v>357</v>
      </c>
      <c r="CA5" s="529"/>
      <c r="CB5" s="529"/>
      <c r="CC5" s="529"/>
      <c r="CD5" s="529"/>
      <c r="CE5" s="530"/>
      <c r="CF5" s="224" t="s">
        <v>358</v>
      </c>
      <c r="CG5" s="225" t="s">
        <v>359</v>
      </c>
      <c r="CH5" s="226" t="s">
        <v>360</v>
      </c>
      <c r="CI5" s="226" t="s">
        <v>361</v>
      </c>
      <c r="CJ5" s="227" t="s">
        <v>362</v>
      </c>
      <c r="CK5" s="226" t="s">
        <v>363</v>
      </c>
      <c r="CL5" s="226" t="s">
        <v>364</v>
      </c>
      <c r="CM5" s="227" t="s">
        <v>365</v>
      </c>
      <c r="CN5" s="224" t="s">
        <v>366</v>
      </c>
      <c r="CO5" s="159" t="s">
        <v>367</v>
      </c>
      <c r="CP5" s="226" t="s">
        <v>368</v>
      </c>
      <c r="CQ5" s="228" t="s">
        <v>369</v>
      </c>
      <c r="CR5" s="228" t="s">
        <v>370</v>
      </c>
      <c r="CS5" s="226" t="s">
        <v>371</v>
      </c>
      <c r="CT5" s="226" t="s">
        <v>372</v>
      </c>
      <c r="CU5" s="226" t="s">
        <v>373</v>
      </c>
      <c r="CV5" s="226" t="s">
        <v>374</v>
      </c>
      <c r="CW5" s="229" t="s">
        <v>375</v>
      </c>
      <c r="CX5" s="229" t="s">
        <v>376</v>
      </c>
      <c r="CY5" s="229" t="s">
        <v>377</v>
      </c>
      <c r="DA5" s="209"/>
      <c r="DB5" s="213" t="s">
        <v>319</v>
      </c>
      <c r="DC5" s="213" t="s">
        <v>320</v>
      </c>
      <c r="DD5" s="213" t="s">
        <v>378</v>
      </c>
      <c r="DE5" s="231" t="s">
        <v>379</v>
      </c>
      <c r="DF5" s="231" t="s">
        <v>380</v>
      </c>
      <c r="DG5" s="216" t="s">
        <v>322</v>
      </c>
      <c r="DH5" s="285" t="s">
        <v>320</v>
      </c>
      <c r="DI5" s="213" t="s">
        <v>381</v>
      </c>
      <c r="DJ5" s="232" t="s">
        <v>379</v>
      </c>
      <c r="DK5" s="232" t="s">
        <v>380</v>
      </c>
      <c r="DL5" s="216" t="s">
        <v>322</v>
      </c>
      <c r="DM5" s="285" t="s">
        <v>441</v>
      </c>
      <c r="DN5" s="216" t="s">
        <v>324</v>
      </c>
      <c r="DO5" s="216" t="s">
        <v>322</v>
      </c>
      <c r="DP5" s="285" t="s">
        <v>442</v>
      </c>
      <c r="DQ5" s="216" t="s">
        <v>324</v>
      </c>
      <c r="DR5" s="213" t="s">
        <v>382</v>
      </c>
      <c r="DS5" s="232" t="s">
        <v>379</v>
      </c>
      <c r="DT5" s="232" t="s">
        <v>380</v>
      </c>
      <c r="DU5" s="216" t="s">
        <v>322</v>
      </c>
      <c r="DV5" s="217" t="s">
        <v>323</v>
      </c>
      <c r="DW5" s="216" t="s">
        <v>324</v>
      </c>
      <c r="DX5" s="216" t="s">
        <v>322</v>
      </c>
      <c r="DY5" s="217" t="s">
        <v>326</v>
      </c>
      <c r="DZ5" s="233" t="s">
        <v>383</v>
      </c>
      <c r="EA5" s="216" t="s">
        <v>324</v>
      </c>
      <c r="EB5" s="232" t="s">
        <v>379</v>
      </c>
      <c r="EC5" s="232" t="s">
        <v>380</v>
      </c>
      <c r="ED5" s="216" t="s">
        <v>322</v>
      </c>
      <c r="EE5" s="213" t="s">
        <v>327</v>
      </c>
      <c r="EF5" s="213" t="s">
        <v>328</v>
      </c>
      <c r="EG5" s="232" t="s">
        <v>379</v>
      </c>
      <c r="EH5" s="232" t="s">
        <v>380</v>
      </c>
      <c r="EI5" s="216" t="s">
        <v>329</v>
      </c>
      <c r="EJ5" s="213" t="s">
        <v>330</v>
      </c>
      <c r="EK5" s="213" t="s">
        <v>331</v>
      </c>
      <c r="EL5" s="232" t="s">
        <v>379</v>
      </c>
      <c r="EM5" s="232" t="s">
        <v>380</v>
      </c>
      <c r="EN5" s="216" t="s">
        <v>329</v>
      </c>
      <c r="EO5" s="213" t="s">
        <v>332</v>
      </c>
      <c r="EP5" s="213" t="s">
        <v>333</v>
      </c>
      <c r="EQ5" s="213" t="s">
        <v>334</v>
      </c>
      <c r="ER5" s="213" t="s">
        <v>335</v>
      </c>
      <c r="ES5" s="213" t="s">
        <v>336</v>
      </c>
      <c r="ET5" s="213" t="s">
        <v>337</v>
      </c>
      <c r="EU5" s="213" t="s">
        <v>338</v>
      </c>
      <c r="EV5" s="216" t="s">
        <v>339</v>
      </c>
      <c r="EW5" s="232" t="s">
        <v>379</v>
      </c>
      <c r="EX5" s="232" t="s">
        <v>380</v>
      </c>
      <c r="EY5" s="213" t="s">
        <v>340</v>
      </c>
      <c r="EZ5" s="213" t="s">
        <v>341</v>
      </c>
      <c r="FA5" s="213" t="s">
        <v>341</v>
      </c>
      <c r="FB5" s="213" t="s">
        <v>384</v>
      </c>
      <c r="FC5" s="213" t="s">
        <v>385</v>
      </c>
      <c r="FD5" s="234"/>
      <c r="FE5" s="234"/>
      <c r="FF5" s="235" t="s">
        <v>342</v>
      </c>
      <c r="FG5" s="236" t="s">
        <v>343</v>
      </c>
      <c r="FH5" s="237" t="s">
        <v>386</v>
      </c>
      <c r="FI5" s="238" t="s">
        <v>344</v>
      </c>
      <c r="FJ5" s="238" t="s">
        <v>383</v>
      </c>
      <c r="FK5" s="232" t="s">
        <v>379</v>
      </c>
      <c r="FL5" s="232" t="s">
        <v>380</v>
      </c>
      <c r="FM5" s="216" t="s">
        <v>322</v>
      </c>
      <c r="FN5" s="213" t="s">
        <v>387</v>
      </c>
      <c r="FO5" s="213" t="s">
        <v>388</v>
      </c>
      <c r="FP5" s="232" t="s">
        <v>379</v>
      </c>
      <c r="FQ5" s="232" t="s">
        <v>380</v>
      </c>
      <c r="FR5" s="216" t="s">
        <v>389</v>
      </c>
      <c r="FS5" s="213" t="s">
        <v>390</v>
      </c>
      <c r="FT5" s="213" t="s">
        <v>391</v>
      </c>
      <c r="FU5" s="213" t="s">
        <v>392</v>
      </c>
      <c r="FV5" s="232" t="s">
        <v>379</v>
      </c>
      <c r="FW5" s="232" t="s">
        <v>380</v>
      </c>
      <c r="FX5" s="216" t="s">
        <v>389</v>
      </c>
      <c r="FY5" s="213" t="s">
        <v>351</v>
      </c>
      <c r="FZ5" s="213" t="s">
        <v>352</v>
      </c>
      <c r="GA5" s="213" t="s">
        <v>353</v>
      </c>
      <c r="GB5" s="232" t="s">
        <v>379</v>
      </c>
      <c r="GC5" s="232" t="s">
        <v>380</v>
      </c>
      <c r="GD5" s="239" t="s">
        <v>341</v>
      </c>
      <c r="GE5" s="239" t="s">
        <v>384</v>
      </c>
      <c r="GF5" s="232"/>
      <c r="GG5" s="232"/>
      <c r="GH5" s="240" t="s">
        <v>393</v>
      </c>
      <c r="GI5" s="241" t="s">
        <v>394</v>
      </c>
      <c r="GJ5" s="241" t="s">
        <v>395</v>
      </c>
      <c r="GK5" s="241" t="s">
        <v>396</v>
      </c>
      <c r="GL5" s="242" t="s">
        <v>397</v>
      </c>
      <c r="GM5" s="242" t="s">
        <v>398</v>
      </c>
      <c r="GN5" s="242" t="s">
        <v>399</v>
      </c>
    </row>
    <row r="6" spans="2:874" s="259" customFormat="1" ht="21.6" customHeight="1" outlineLevel="1" x14ac:dyDescent="0.2">
      <c r="B6" s="243" t="str">
        <f t="shared" ref="B6" si="0">IF(GK6&gt;0,"支払済",IF(GH6="取下",GH6,IF(GH6="取消",GH6,"")))</f>
        <v/>
      </c>
      <c r="C6" s="260"/>
      <c r="D6" s="249" t="s">
        <v>400</v>
      </c>
      <c r="E6" s="245" t="e">
        <f>IF(D6="登録","登録",IF(#REF!="登録","建売購入",""))</f>
        <v>#REF!</v>
      </c>
      <c r="F6" s="246"/>
      <c r="G6" s="249" t="s">
        <v>408</v>
      </c>
      <c r="H6" s="247"/>
      <c r="I6" s="248" t="s">
        <v>405</v>
      </c>
      <c r="J6" s="249" t="s">
        <v>405</v>
      </c>
      <c r="K6" s="248" t="s">
        <v>405</v>
      </c>
      <c r="L6" s="249" t="s">
        <v>405</v>
      </c>
      <c r="M6" s="249" t="s">
        <v>405</v>
      </c>
      <c r="N6" s="248" t="s">
        <v>405</v>
      </c>
      <c r="O6" s="250" t="s">
        <v>405</v>
      </c>
      <c r="P6" s="250" t="s">
        <v>405</v>
      </c>
      <c r="Q6" s="251">
        <f>IF(P6="",0,IF(P6&gt;=10,150,0))</f>
        <v>0</v>
      </c>
      <c r="R6" s="250" t="str">
        <f>IF(S6="","",IF(S6&gt;=1,1,""))</f>
        <v/>
      </c>
      <c r="S6" s="250" t="s">
        <v>405</v>
      </c>
      <c r="T6" s="252">
        <f t="shared" ref="T6" si="1">IF(Q6=0,0,IF(S6&gt;=25,MIN(250,ROUNDDOWN(S6*10,-1)),IF(S6&gt;=20,MIN(200,ROUNDDOWN(S6*10,-1)),IF(S6&gt;=15,MIN(150,ROUNDDOWN(S6*10,-1)),MIN(100,ROUNDDOWN(S6*10,-1))))))</f>
        <v>0</v>
      </c>
      <c r="U6" s="250" t="str">
        <f>IF(V6="","",IF(V6&gt;=1,1,""))</f>
        <v/>
      </c>
      <c r="V6" s="250" t="s">
        <v>405</v>
      </c>
      <c r="W6" s="252">
        <f t="shared" ref="W6" si="2">IF(AND(Q6&gt;0,V6&gt;=1),MIN(INT(V6)*20,200),0)</f>
        <v>0</v>
      </c>
      <c r="X6" s="250" t="str">
        <f>IF(Y6="","",IF(Y6&gt;=1,1,""))</f>
        <v/>
      </c>
      <c r="Y6" s="250">
        <v>0</v>
      </c>
      <c r="Z6" s="250">
        <f t="shared" ref="Z6" si="3">IF(Y6&gt;=1,50,0)</f>
        <v>0</v>
      </c>
      <c r="AA6" s="251">
        <f t="shared" ref="AA6" si="4">IF(OR(AD6&gt;0,Z6&gt;0),MIN(AD6+Z6,150),0)</f>
        <v>0</v>
      </c>
      <c r="AB6" s="250" t="str">
        <f>IF(AC6="","",IF(AC6&gt;=1,1,""))</f>
        <v/>
      </c>
      <c r="AC6" s="250" t="s">
        <v>405</v>
      </c>
      <c r="AD6" s="250">
        <f t="shared" ref="AD6" si="5">IF(AND(Q6&gt;0,AC6&gt;=1),MIN(INT(AC6)*2,150),0)</f>
        <v>0</v>
      </c>
      <c r="AE6" s="250" t="str">
        <f t="shared" ref="AE6" si="6">IF(OR(AF6=1,AG6=1),1,"")</f>
        <v/>
      </c>
      <c r="AF6" s="250" t="s">
        <v>405</v>
      </c>
      <c r="AG6" s="250" t="s">
        <v>405</v>
      </c>
      <c r="AH6" s="251">
        <f>IF(AND(Q6&gt;0,AE6=1,【様式第６号】事業報告書兼チェックシート!B81=""),100,0)</f>
        <v>0</v>
      </c>
      <c r="AI6" s="250" t="str">
        <f>IF(OR(AJ6=1,AK6=1),1,"")</f>
        <v/>
      </c>
      <c r="AJ6" s="250" t="s">
        <v>405</v>
      </c>
      <c r="AK6" s="250" t="s">
        <v>405</v>
      </c>
      <c r="AL6" s="251">
        <f t="shared" ref="AL6" si="7">IF(AND(Q6&gt;0,AE6=1,AI6=1),100,0)</f>
        <v>0</v>
      </c>
      <c r="AM6" s="250" t="str">
        <f t="shared" ref="AM6" si="8">IF(AU6&gt;=4,1,"")</f>
        <v/>
      </c>
      <c r="AN6" s="250" t="s">
        <v>405</v>
      </c>
      <c r="AO6" s="250" t="s">
        <v>405</v>
      </c>
      <c r="AP6" s="250" t="s">
        <v>405</v>
      </c>
      <c r="AQ6" s="250" t="s">
        <v>405</v>
      </c>
      <c r="AR6" s="250" t="s">
        <v>405</v>
      </c>
      <c r="AS6" s="250" t="s">
        <v>405</v>
      </c>
      <c r="AT6" s="250" t="s">
        <v>405</v>
      </c>
      <c r="AU6" s="250">
        <f t="shared" ref="AU6" si="9">SUM(AN6:AT6)</f>
        <v>0</v>
      </c>
      <c r="AV6" s="251">
        <f t="shared" ref="AV6" si="10">IF(AU6&gt;=4,200,0)</f>
        <v>0</v>
      </c>
      <c r="AW6" s="253"/>
      <c r="AX6" s="253"/>
      <c r="AY6" s="251">
        <f t="shared" ref="AY6" si="11">IF(OR(D6="新築",D6="登録"),MIN(1000,Q6+T6+W6+AA6+AH6+AL6+AV6),0)</f>
        <v>0</v>
      </c>
      <c r="AZ6" s="253"/>
      <c r="BA6" s="254"/>
      <c r="BB6" s="253"/>
      <c r="BC6" s="251">
        <f t="shared" ref="BC6" si="12">MIN(ROUNDDOWN(BA6,1)*20+INT(BB6)*2,250)</f>
        <v>0</v>
      </c>
      <c r="BD6" s="250" t="str">
        <f>IF(OR(BE6=1,BF6=1),1,"")</f>
        <v/>
      </c>
      <c r="BE6" s="253"/>
      <c r="BF6" s="253"/>
      <c r="BG6" s="251" t="e">
        <f>IF(AND(BC6&gt;0,BD6=1,#REF!=""),100,0)</f>
        <v>#REF!</v>
      </c>
      <c r="BH6" s="250" t="str">
        <f t="shared" ref="BH6" si="13">IF(OR(BI6=1,BJ6=1,BK6=1),1,"")</f>
        <v/>
      </c>
      <c r="BI6" s="253"/>
      <c r="BJ6" s="253"/>
      <c r="BK6" s="253"/>
      <c r="BL6" s="251">
        <f t="shared" ref="BL6" si="14">IF(AND(BC6&gt;0,BH6=1),100,IF(AND(BC6&gt;0,BK6=1),100,0))</f>
        <v>0</v>
      </c>
      <c r="BM6" s="250" t="str">
        <f t="shared" ref="BM6" si="15">IF(OR(AND(BN6&gt;=7,BO6&gt;=7,BN6+BO6&gt;=14),AND(BN6&gt;=7,BP6&gt;=3,BN6+BP6&gt;=10),AND(BO6&gt;=7,BP6&gt;=3,BO6+BP6&gt;=10)),1,"")</f>
        <v/>
      </c>
      <c r="BN6" s="253"/>
      <c r="BO6" s="253"/>
      <c r="BP6" s="253"/>
      <c r="BQ6" s="251">
        <f t="shared" ref="BQ6" si="16">IF(AND(BM6=1,BC6&gt;0),MIN(150,ROUNDDOWN(BN6*11+BO6*13+BP6*19,0)),0)</f>
        <v>0</v>
      </c>
      <c r="BR6" s="253"/>
      <c r="BS6" s="251">
        <f t="shared" ref="BS6" si="17">IF(D6="改修",MIN(500,BC6+BG6+BL6+BQ6,INT(CL6*10/2)),0)</f>
        <v>0</v>
      </c>
      <c r="BT6" s="261" t="s">
        <v>405</v>
      </c>
      <c r="BU6" s="255" t="s">
        <v>8</v>
      </c>
      <c r="BV6" s="255" t="s">
        <v>405</v>
      </c>
      <c r="BW6" s="255" t="s">
        <v>401</v>
      </c>
      <c r="BX6" s="255" t="s">
        <v>405</v>
      </c>
      <c r="BY6" s="256" t="s">
        <v>7</v>
      </c>
      <c r="BZ6" s="261" t="s">
        <v>405</v>
      </c>
      <c r="CA6" s="255" t="s">
        <v>8</v>
      </c>
      <c r="CB6" s="255" t="s">
        <v>405</v>
      </c>
      <c r="CC6" s="255" t="s">
        <v>401</v>
      </c>
      <c r="CD6" s="255" t="s">
        <v>405</v>
      </c>
      <c r="CE6" s="256" t="s">
        <v>7</v>
      </c>
      <c r="CF6" s="246"/>
      <c r="CG6" s="257">
        <f t="shared" ref="CG6" si="18">AY6+BS6</f>
        <v>0</v>
      </c>
      <c r="CH6" s="248" t="s">
        <v>405</v>
      </c>
      <c r="CI6" s="248" t="s">
        <v>405</v>
      </c>
      <c r="CJ6" s="244"/>
      <c r="CK6" s="248" t="s">
        <v>405</v>
      </c>
      <c r="CL6" s="248" t="s">
        <v>405</v>
      </c>
      <c r="CM6" s="248" t="s">
        <v>405</v>
      </c>
      <c r="CN6" s="246"/>
      <c r="CO6" s="246"/>
      <c r="CP6" s="246"/>
      <c r="CQ6" s="247"/>
      <c r="CR6" s="247"/>
      <c r="CS6" s="246"/>
      <c r="CT6" s="246"/>
      <c r="CU6" s="246"/>
      <c r="CV6" s="246"/>
      <c r="CW6" s="246"/>
      <c r="CX6" s="246"/>
      <c r="CY6" s="246"/>
      <c r="CZ6" t="s">
        <v>404</v>
      </c>
      <c r="DA6" s="244"/>
      <c r="DB6" s="250" t="str">
        <f>IF(【様式第６号】事業報告書兼チェックシート!Q101="","",【様式第６号】事業報告書兼チェックシート!Q101)</f>
        <v/>
      </c>
      <c r="DC6" s="250">
        <f>IF(【様式第６号】事業報告書兼チェックシート!I37="専用住宅",IF(【様式第６号】事業報告書兼チェックシート!Q102="",0,【様式第６号】事業報告書兼チェックシート!Q102),【様式第６号】事業報告書兼チェックシート!U102)</f>
        <v>0</v>
      </c>
      <c r="DD6" s="253"/>
      <c r="DE6" s="251">
        <f>IF(DC6&gt;=20,300,DC6*15)</f>
        <v>0</v>
      </c>
      <c r="DF6" s="251">
        <f>IF('要入力　登録決定状況入力シート'!D3="",0,MIN('要入力　登録決定状況入力シート'!D3/1000,DE6))</f>
        <v>0</v>
      </c>
      <c r="DG6" s="250" t="str">
        <f>IF(DH6="","",IF(DH6&gt;=1,1,""))</f>
        <v/>
      </c>
      <c r="DH6" s="250">
        <f>IF(【様式第６号】事業報告書兼チェックシート!I37="専用住宅",IF(【様式第６号】事業報告書兼チェックシート!Q103="",0,【様式第６号】事業報告書兼チェックシート!Q103),【様式第６号】事業報告書兼チェックシート!U103)</f>
        <v>0</v>
      </c>
      <c r="DI6" s="253"/>
      <c r="DJ6" s="252">
        <f>IF(DE6=0,0,IF(DH6&gt;=20,200,ROUNDDOWN(DH6*10,-1)))</f>
        <v>0</v>
      </c>
      <c r="DK6" s="251">
        <f>IF('要入力　登録決定状況入力シート'!D4="",0,MIN('要入力　登録決定状況入力シート'!D4/1000,DJ6))</f>
        <v>0</v>
      </c>
      <c r="DL6" s="250" t="str">
        <f>IF(DM6="","",IF(DM6&gt;=1,1,""))</f>
        <v/>
      </c>
      <c r="DM6" s="250">
        <f>IF(【様式第６号】事業報告書兼チェックシート!I37="専用住宅",IF(【様式第６号】事業報告書兼チェックシート!Q104="",0,【様式第６号】事業報告書兼チェックシート!Q104),【様式第６号】事業報告書兼チェックシート!U104)</f>
        <v>0</v>
      </c>
      <c r="DN6" s="250">
        <f>IF(AND(DE6&gt;0,DM6&gt;=1),MIN(INT(DM6)*30,300),0)</f>
        <v>0</v>
      </c>
      <c r="DO6" s="250" t="str">
        <f>IF(DP6="","",IF(DP6&gt;=1,1,""))</f>
        <v/>
      </c>
      <c r="DP6" s="250">
        <f>IF(【様式第６号】事業報告書兼チェックシート!I37="専用住宅",IF(【様式第６号】事業報告書兼チェックシート!Q106="",0,【様式第６号】事業報告書兼チェックシート!Q106),【様式第６号】事業報告書兼チェックシート!U106)</f>
        <v>0</v>
      </c>
      <c r="DQ6" s="250">
        <f>IF(AND(DE6&gt;0,DP6&gt;=1),MIN(INT(DP6)*20,300),0)</f>
        <v>0</v>
      </c>
      <c r="DR6" s="253"/>
      <c r="DS6" s="252">
        <f>IF(AND(DE6&gt;0,DM6+DP6&gt;=1),MIN(INT(DN6+DQ6),300),0)</f>
        <v>0</v>
      </c>
      <c r="DT6" s="251">
        <f>IF('要入力　登録決定状況入力シート'!D5="",0,MIN('要入力　登録決定状況入力シート'!D5/1000,DS6))</f>
        <v>0</v>
      </c>
      <c r="DU6" s="250" t="str">
        <f t="shared" ref="DU6" si="19">IF(DV6&gt;=1,1,"")</f>
        <v/>
      </c>
      <c r="DV6" s="250">
        <f>IF(【様式第６号】事業報告書兼チェックシート!I37="専用住宅",IF(【様式第６号】事業報告書兼チェックシート!Q108="",0,【様式第６号】事業報告書兼チェックシート!Q108),【様式第６号】事業報告書兼チェックシート!U108)</f>
        <v>0</v>
      </c>
      <c r="DW6" s="250">
        <f t="shared" ref="DW6" si="20">IF(AND(DV6&gt;=1,DE6&gt;=1),50,0)</f>
        <v>0</v>
      </c>
      <c r="DX6" s="250" t="str">
        <f>IF(DY6="","",IF(DY6&gt;=1,1,""))</f>
        <v/>
      </c>
      <c r="DY6" s="250">
        <f>IF(【様式第６号】事業報告書兼チェックシート!I37="専用住宅",IF(【様式第６号】事業報告書兼チェックシート!Q109="",0,【様式第６号】事業報告書兼チェックシート!Q109),【様式第６号】事業報告書兼チェックシート!U109)</f>
        <v>0</v>
      </c>
      <c r="DZ6" s="253"/>
      <c r="EA6" s="250">
        <f>IF(AND(DE6&gt;0,DY6&gt;=1),MIN(INT(DY6)*3,200),0)</f>
        <v>0</v>
      </c>
      <c r="EB6" s="251">
        <f>IF(OR(EA6&gt;0,DW6&gt;0),MIN(EA6+DW6,200),0)</f>
        <v>0</v>
      </c>
      <c r="EC6" s="251">
        <f>IF('要入力　登録決定状況入力シート'!D6="",0,MIN('要入力　登録決定状況入力シート'!D6/1000,EB6))</f>
        <v>0</v>
      </c>
      <c r="ED6" s="250" t="str">
        <f t="shared" ref="ED6" si="21">IF(OR(EE6=1,EF6=1),1,"")</f>
        <v/>
      </c>
      <c r="EE6" s="250">
        <f>IF(【様式第６号】事業報告書兼チェックシート!Y129="",0,IF(【様式第６号】事業報告書兼チェックシート!B131="","",1))</f>
        <v>0</v>
      </c>
      <c r="EF6" s="250">
        <f>IF(【様式第６号】事業報告書兼チェックシート!Y129="",0,IF(【様式第６号】事業報告書兼チェックシート!P131="","",1))</f>
        <v>0</v>
      </c>
      <c r="EG6" s="251" t="str">
        <f>IFERROR(【様式第６号】事業報告書兼チェックシート!Y129*10,"0")</f>
        <v>0</v>
      </c>
      <c r="EH6" s="251">
        <f>IF('要入力　登録決定状況入力シート'!D8="",0,MIN('要入力　登録決定状況入力シート'!D8/1000,EG6))</f>
        <v>0</v>
      </c>
      <c r="EI6" s="250" t="str">
        <f t="shared" ref="EI6" si="22">IF(OR(EJ6=1,EK6=1),1,"")</f>
        <v/>
      </c>
      <c r="EJ6" s="250" t="str">
        <f>IF(【様式第６号】事業報告書兼チェックシート!Y147="","",IF(【様式第６号】事業報告書兼チェックシート!B148="","",1))</f>
        <v/>
      </c>
      <c r="EK6" s="250" t="str">
        <f>IF(【様式第６号】事業報告書兼チェックシート!Y147="","",IF(【様式第６号】事業報告書兼チェックシート!B148="",1,""))</f>
        <v/>
      </c>
      <c r="EL6" s="251">
        <f t="shared" ref="EL6" si="23">IF(AND(DE6&gt;0,ED6=1,EI6=1),100,0)</f>
        <v>0</v>
      </c>
      <c r="EM6" s="251">
        <f>IF('要入力　登録決定状況入力シート'!D9="",0,MIN('要入力　登録決定状況入力シート'!D9/1000,EL6))</f>
        <v>0</v>
      </c>
      <c r="EN6" s="250" t="str">
        <f t="shared" ref="EN6" si="24">IF(EV6&gt;=4,1,"")</f>
        <v/>
      </c>
      <c r="EO6" s="250" t="str">
        <f>IF(【様式第６号】事業報告書兼チェックシート!F174="","",【様式第６号】事業報告書兼チェックシート!F174)</f>
        <v/>
      </c>
      <c r="EP6" s="250" t="str">
        <f>IF(【様式第６号】事業報告書兼チェックシート!F179="","",【様式第６号】事業報告書兼チェックシート!F179)</f>
        <v/>
      </c>
      <c r="EQ6" s="250" t="str">
        <f>IF(【様式第６号】事業報告書兼チェックシート!F186="","",【様式第６号】事業報告書兼チェックシート!F186)</f>
        <v/>
      </c>
      <c r="ER6" s="250" t="str">
        <f>IF(【様式第６号】事業報告書兼チェックシート!F194="","",【様式第６号】事業報告書兼チェックシート!F194)</f>
        <v/>
      </c>
      <c r="ES6" s="250" t="str">
        <f>IF(【様式第６号】事業報告書兼チェックシート!F202="","",【様式第６号】事業報告書兼チェックシート!F202)</f>
        <v/>
      </c>
      <c r="ET6" s="250" t="str">
        <f>IF(【様式第６号】事業報告書兼チェックシート!F212="","",【様式第６号】事業報告書兼チェックシート!F212)</f>
        <v/>
      </c>
      <c r="EU6" s="250" t="str">
        <f>IF(【様式第６号】事業報告書兼チェックシート!F219="","",【様式第６号】事業報告書兼チェックシート!F219)</f>
        <v/>
      </c>
      <c r="EV6" s="250">
        <f t="shared" ref="EV6" si="25">SUM(EO6:EU6)</f>
        <v>0</v>
      </c>
      <c r="EW6" s="251">
        <f t="shared" ref="EW6" si="26">IF(EV6&gt;=4,200,0)</f>
        <v>0</v>
      </c>
      <c r="EX6" s="251">
        <f>IF('要入力　登録決定状況入力シート'!D7="",0,MIN('要入力　登録決定状況入力シート'!D7/1000,EW6))</f>
        <v>0</v>
      </c>
      <c r="EY6" s="250" t="str">
        <f>IF(【様式第６号】事業報告書兼チェックシート!N195="","",【様式第６号】事業報告書兼チェックシート!N195)</f>
        <v>　</v>
      </c>
      <c r="EZ6" s="275" t="str">
        <f>IF(【様式第６号】事業報告書兼チェックシート!R188="","",【様式第６号】事業報告書兼チェックシート!R188)</f>
        <v>　</v>
      </c>
      <c r="FA6" s="275" t="str">
        <f>IF(【様式第６号】事業報告書兼チェックシート!R189="","",【様式第６号】事業報告書兼チェックシート!R189)</f>
        <v>　</v>
      </c>
      <c r="FB6" s="253"/>
      <c r="FC6" s="253"/>
      <c r="FD6" s="251">
        <f>IF(D6="新築",MIN(DF6+DK6+DT6+EC6+EH6+EM6+EX6,1000),0)</f>
        <v>0</v>
      </c>
      <c r="FE6" s="268" t="str">
        <f>IFERROR('要入力　登録決定状況入力シート'!D12/1000-FD6,"0")</f>
        <v>0</v>
      </c>
      <c r="FF6" s="253"/>
      <c r="FG6" s="258"/>
      <c r="FH6" s="258"/>
      <c r="FI6" s="253"/>
      <c r="FJ6" s="253"/>
      <c r="FK6" s="251"/>
      <c r="FL6" s="251"/>
      <c r="FM6" s="250"/>
      <c r="FN6" s="253"/>
      <c r="FO6" s="253"/>
      <c r="FP6" s="251"/>
      <c r="FQ6" s="251"/>
      <c r="FR6" s="250"/>
      <c r="FS6" s="253"/>
      <c r="FT6" s="253"/>
      <c r="FU6" s="253"/>
      <c r="FV6" s="251"/>
      <c r="FW6" s="251"/>
      <c r="FX6" s="250"/>
      <c r="FY6" s="253"/>
      <c r="FZ6" s="253"/>
      <c r="GA6" s="253"/>
      <c r="GB6" s="251"/>
      <c r="GC6" s="251"/>
      <c r="GD6" s="253"/>
      <c r="GE6" s="253"/>
      <c r="GF6" s="251"/>
      <c r="GG6" s="251"/>
      <c r="GH6" s="246"/>
      <c r="GI6" s="247"/>
      <c r="GJ6" s="247"/>
      <c r="GK6" s="247"/>
      <c r="GL6" s="257">
        <f>IFERROR(IF(D6="新築",'要入力　登録決定状況入力シート'!D12/1000,IF(D6="改修",BS6,0)),0)</f>
        <v>0</v>
      </c>
      <c r="GM6" s="257">
        <f t="shared" ref="GM6" si="27">IF(D6="新築",FD6,IF(D6="改修",GF6,0))</f>
        <v>0</v>
      </c>
      <c r="GN6" s="257">
        <f t="shared" ref="GN6" si="28">GL6-GM6</f>
        <v>0</v>
      </c>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c r="IW6" s="112"/>
      <c r="IX6" s="112"/>
      <c r="IY6" s="112"/>
      <c r="IZ6" s="112"/>
      <c r="JA6" s="112"/>
      <c r="JB6" s="112"/>
      <c r="JC6" s="112"/>
      <c r="JD6" s="112"/>
      <c r="JE6" s="112"/>
      <c r="JF6" s="112"/>
      <c r="JG6" s="112"/>
      <c r="JH6" s="112"/>
      <c r="JI6" s="112"/>
      <c r="JJ6" s="112"/>
      <c r="JK6" s="112"/>
      <c r="JL6" s="112"/>
      <c r="JM6" s="112"/>
      <c r="JN6" s="112"/>
      <c r="JO6" s="112"/>
      <c r="JP6" s="112"/>
      <c r="JQ6" s="112"/>
      <c r="JR6" s="112"/>
      <c r="JS6" s="112"/>
      <c r="JT6" s="112"/>
      <c r="JU6" s="112"/>
      <c r="JV6" s="112"/>
      <c r="JW6" s="112"/>
      <c r="JX6" s="112"/>
      <c r="JY6" s="112"/>
      <c r="JZ6" s="112"/>
      <c r="KA6" s="112"/>
      <c r="KB6" s="112"/>
      <c r="KC6" s="112"/>
      <c r="KD6" s="112"/>
      <c r="KE6" s="112"/>
      <c r="KF6" s="112"/>
      <c r="KG6" s="112"/>
      <c r="KH6" s="112"/>
      <c r="KI6" s="112"/>
      <c r="KJ6" s="112"/>
      <c r="KK6" s="112"/>
      <c r="KL6" s="112"/>
      <c r="KM6" s="112"/>
      <c r="KN6" s="112"/>
      <c r="KO6" s="112"/>
      <c r="KP6" s="112"/>
      <c r="KQ6" s="112"/>
      <c r="KR6" s="112"/>
      <c r="KS6" s="112"/>
      <c r="KT6" s="112"/>
      <c r="KU6" s="112"/>
      <c r="KV6" s="112"/>
      <c r="KW6" s="112"/>
      <c r="KX6" s="112"/>
      <c r="KY6" s="112"/>
      <c r="KZ6" s="112"/>
      <c r="LA6" s="112"/>
      <c r="LB6" s="112"/>
      <c r="LC6" s="112"/>
      <c r="LD6" s="112"/>
      <c r="LE6" s="112"/>
      <c r="LF6" s="112"/>
      <c r="LG6" s="112"/>
      <c r="LH6" s="112"/>
      <c r="LI6" s="112"/>
      <c r="LJ6" s="112"/>
      <c r="LK6" s="112"/>
      <c r="LL6" s="112"/>
      <c r="LM6" s="112"/>
      <c r="LN6" s="112"/>
      <c r="LO6" s="112"/>
      <c r="LP6" s="112"/>
      <c r="LQ6" s="112"/>
      <c r="LR6" s="112"/>
      <c r="LS6" s="112"/>
      <c r="LT6" s="112"/>
      <c r="LU6" s="112"/>
      <c r="LV6" s="112"/>
      <c r="LW6" s="112"/>
      <c r="LX6" s="112"/>
      <c r="LY6" s="112"/>
      <c r="LZ6" s="112"/>
      <c r="MA6" s="112"/>
      <c r="MB6" s="112"/>
      <c r="MC6" s="112"/>
      <c r="MD6" s="112"/>
      <c r="ME6" s="112"/>
      <c r="MF6" s="112"/>
      <c r="MG6" s="112"/>
      <c r="MH6" s="112"/>
      <c r="MI6" s="112"/>
      <c r="MJ6" s="112"/>
      <c r="MK6" s="112"/>
      <c r="ML6" s="112"/>
      <c r="MM6" s="112"/>
      <c r="MN6" s="112"/>
      <c r="MO6" s="112"/>
      <c r="MP6" s="112"/>
      <c r="MQ6" s="112"/>
      <c r="MR6" s="112"/>
      <c r="MS6" s="112"/>
      <c r="MT6" s="112"/>
      <c r="MU6" s="112"/>
      <c r="MV6" s="112"/>
      <c r="MW6" s="112"/>
      <c r="MX6" s="112"/>
      <c r="MY6" s="112"/>
      <c r="MZ6" s="112"/>
      <c r="NA6" s="112"/>
      <c r="NB6" s="112"/>
      <c r="NC6" s="112"/>
      <c r="ND6" s="112"/>
      <c r="NE6" s="112"/>
      <c r="NF6" s="112"/>
      <c r="NG6" s="112"/>
      <c r="NH6" s="112"/>
      <c r="NI6" s="112"/>
      <c r="NJ6" s="112"/>
      <c r="NK6" s="112"/>
      <c r="NL6" s="112"/>
      <c r="NM6" s="112"/>
      <c r="NN6" s="112"/>
      <c r="NO6" s="112"/>
      <c r="NP6" s="112"/>
      <c r="NQ6" s="112"/>
      <c r="NR6" s="112"/>
      <c r="NS6" s="112"/>
      <c r="NT6" s="112"/>
      <c r="NU6" s="112"/>
      <c r="NV6" s="112"/>
      <c r="NW6" s="112"/>
      <c r="NX6" s="112"/>
      <c r="NY6" s="112"/>
      <c r="NZ6" s="112"/>
      <c r="OA6" s="112"/>
      <c r="OB6" s="112"/>
      <c r="OC6" s="112"/>
      <c r="OD6" s="112"/>
      <c r="OE6" s="112"/>
      <c r="OF6" s="112"/>
      <c r="OG6" s="112"/>
      <c r="OH6" s="112"/>
      <c r="OI6" s="112"/>
      <c r="OJ6" s="112"/>
      <c r="OK6" s="112"/>
      <c r="OL6" s="112"/>
      <c r="OM6" s="112"/>
      <c r="ON6" s="112"/>
      <c r="OO6" s="112"/>
      <c r="OP6" s="112"/>
      <c r="OQ6" s="112"/>
      <c r="OR6" s="112"/>
      <c r="OS6" s="112"/>
      <c r="OT6" s="112"/>
      <c r="OU6" s="112"/>
      <c r="OV6" s="112"/>
      <c r="OW6" s="112"/>
      <c r="OX6" s="112"/>
      <c r="OY6" s="112"/>
      <c r="OZ6" s="112"/>
      <c r="PA6" s="112"/>
      <c r="PB6" s="112"/>
      <c r="PC6" s="112"/>
      <c r="PD6" s="112"/>
      <c r="PE6" s="112"/>
      <c r="PF6" s="112"/>
      <c r="PG6" s="112"/>
      <c r="PH6" s="112"/>
      <c r="PI6" s="112"/>
      <c r="PJ6" s="112"/>
      <c r="PK6" s="112"/>
      <c r="PL6" s="112"/>
      <c r="PM6" s="112"/>
      <c r="PN6" s="112"/>
      <c r="PO6" s="112"/>
      <c r="PP6" s="112"/>
      <c r="PQ6" s="112"/>
      <c r="PR6" s="112"/>
      <c r="PS6" s="112"/>
      <c r="PT6" s="112"/>
      <c r="PU6" s="112"/>
      <c r="PV6" s="112"/>
      <c r="PW6" s="112"/>
      <c r="PX6" s="112"/>
      <c r="PY6" s="112"/>
      <c r="PZ6" s="112"/>
      <c r="QA6" s="112"/>
      <c r="QB6" s="112"/>
      <c r="QC6" s="112"/>
      <c r="QD6" s="112"/>
      <c r="QE6" s="112"/>
      <c r="QF6" s="112"/>
      <c r="QG6" s="112"/>
      <c r="QH6" s="112"/>
      <c r="QI6" s="112"/>
      <c r="QJ6" s="112"/>
      <c r="QK6" s="112"/>
      <c r="QL6" s="112"/>
      <c r="QM6" s="112"/>
      <c r="QN6" s="112"/>
      <c r="QO6" s="112"/>
      <c r="QP6" s="112"/>
      <c r="QQ6" s="112"/>
      <c r="QR6" s="112"/>
      <c r="QS6" s="112"/>
      <c r="QT6" s="112"/>
      <c r="QU6" s="112"/>
      <c r="QV6" s="112"/>
      <c r="QW6" s="112"/>
      <c r="QX6" s="112"/>
      <c r="QY6" s="112"/>
      <c r="QZ6" s="112"/>
      <c r="RA6" s="112"/>
      <c r="RB6" s="112"/>
      <c r="RC6" s="112"/>
      <c r="RD6" s="112"/>
      <c r="RE6" s="112"/>
      <c r="RF6" s="112"/>
      <c r="RG6" s="112"/>
      <c r="RH6" s="112"/>
      <c r="RI6" s="112"/>
      <c r="RJ6" s="112"/>
      <c r="RK6" s="112"/>
      <c r="RL6" s="112"/>
      <c r="RM6" s="112"/>
      <c r="RN6" s="112"/>
      <c r="RO6" s="112"/>
      <c r="RP6" s="112"/>
      <c r="RQ6" s="112"/>
      <c r="RR6" s="112"/>
      <c r="RS6" s="112"/>
      <c r="RT6" s="112"/>
      <c r="RU6" s="112"/>
      <c r="RV6" s="112"/>
      <c r="RW6" s="112"/>
      <c r="RX6" s="112"/>
      <c r="RY6" s="112"/>
      <c r="RZ6" s="112"/>
      <c r="SA6" s="112"/>
      <c r="SB6" s="112"/>
      <c r="SC6" s="112"/>
      <c r="SD6" s="112"/>
      <c r="SE6" s="112"/>
      <c r="SF6" s="112"/>
      <c r="SG6" s="112"/>
      <c r="SH6" s="112"/>
      <c r="SI6" s="112"/>
      <c r="SJ6" s="112"/>
      <c r="SK6" s="112"/>
      <c r="SL6" s="112"/>
      <c r="SM6" s="112"/>
      <c r="SN6" s="112"/>
      <c r="SO6" s="112"/>
      <c r="SP6" s="112"/>
      <c r="SQ6" s="112"/>
      <c r="SR6" s="112"/>
      <c r="SS6" s="112"/>
      <c r="ST6" s="112"/>
      <c r="SU6" s="112"/>
      <c r="SV6" s="112"/>
      <c r="SW6" s="112"/>
      <c r="SX6" s="112"/>
      <c r="SY6" s="112"/>
      <c r="SZ6" s="112"/>
      <c r="TA6" s="112"/>
      <c r="TB6" s="112"/>
      <c r="TC6" s="112"/>
      <c r="TD6" s="112"/>
      <c r="TE6" s="112"/>
      <c r="TF6" s="112"/>
      <c r="TG6" s="112"/>
      <c r="TH6" s="112"/>
      <c r="TI6" s="112"/>
      <c r="TJ6" s="112"/>
      <c r="TK6" s="112"/>
      <c r="TL6" s="112"/>
      <c r="TM6" s="112"/>
      <c r="TN6" s="112"/>
      <c r="TO6" s="112"/>
      <c r="TP6" s="112"/>
      <c r="TQ6" s="112"/>
      <c r="TR6" s="112"/>
      <c r="TS6" s="112"/>
      <c r="TT6" s="112"/>
      <c r="TU6" s="112"/>
      <c r="TV6" s="112"/>
      <c r="TW6" s="112"/>
      <c r="TX6" s="112"/>
      <c r="TY6" s="112"/>
      <c r="TZ6" s="112"/>
      <c r="UA6" s="112"/>
      <c r="UB6" s="112"/>
      <c r="UC6" s="112"/>
      <c r="UD6" s="112"/>
      <c r="UE6" s="112"/>
      <c r="UF6" s="112"/>
      <c r="UG6" s="112"/>
      <c r="UH6" s="112"/>
      <c r="UI6" s="112"/>
      <c r="UJ6" s="112"/>
      <c r="UK6" s="112"/>
      <c r="UL6" s="112"/>
      <c r="UM6" s="112"/>
      <c r="UN6" s="112"/>
      <c r="UO6" s="112"/>
      <c r="UP6" s="112"/>
      <c r="UQ6" s="112"/>
      <c r="UR6" s="112"/>
      <c r="US6" s="112"/>
      <c r="UT6" s="112"/>
      <c r="UU6" s="112"/>
      <c r="UV6" s="112"/>
      <c r="UW6" s="112"/>
      <c r="UX6" s="112"/>
      <c r="UY6" s="112"/>
      <c r="UZ6" s="112"/>
      <c r="VA6" s="112"/>
      <c r="VB6" s="112"/>
      <c r="VC6" s="112"/>
      <c r="VD6" s="112"/>
      <c r="VE6" s="112"/>
      <c r="VF6" s="112"/>
      <c r="VG6" s="112"/>
      <c r="VH6" s="112"/>
      <c r="VI6" s="112"/>
      <c r="VJ6" s="112"/>
      <c r="VK6" s="112"/>
      <c r="VL6" s="112"/>
      <c r="VM6" s="112"/>
      <c r="VN6" s="112"/>
      <c r="VO6" s="112"/>
      <c r="VP6" s="112"/>
      <c r="VQ6" s="112"/>
      <c r="VR6" s="112"/>
      <c r="VS6" s="112"/>
      <c r="VT6" s="112"/>
      <c r="VU6" s="112"/>
      <c r="VV6" s="112"/>
      <c r="VW6" s="112"/>
      <c r="VX6" s="112"/>
      <c r="VY6" s="112"/>
      <c r="VZ6" s="112"/>
      <c r="WA6" s="112"/>
      <c r="WB6" s="112"/>
      <c r="WC6" s="112"/>
      <c r="WD6" s="112"/>
      <c r="WE6" s="112"/>
      <c r="WF6" s="112"/>
      <c r="WG6" s="112"/>
      <c r="WH6" s="112"/>
      <c r="WI6" s="112"/>
      <c r="WJ6" s="112"/>
      <c r="WK6" s="112"/>
      <c r="WL6" s="112"/>
      <c r="WM6" s="112"/>
      <c r="WN6" s="112"/>
      <c r="WO6" s="112"/>
      <c r="WP6" s="112"/>
      <c r="WQ6" s="112"/>
      <c r="WR6" s="112"/>
      <c r="WS6" s="112"/>
      <c r="WT6" s="112"/>
      <c r="WU6" s="112"/>
      <c r="WV6" s="112"/>
      <c r="WW6" s="112"/>
      <c r="WX6" s="112"/>
      <c r="WY6" s="112"/>
      <c r="WZ6" s="112"/>
      <c r="XA6" s="112"/>
      <c r="XB6" s="112"/>
      <c r="XC6" s="112"/>
      <c r="XD6" s="112"/>
      <c r="XE6" s="112"/>
      <c r="XF6" s="112"/>
      <c r="XG6" s="112"/>
      <c r="XH6" s="112"/>
      <c r="XI6" s="112"/>
      <c r="XJ6" s="112"/>
      <c r="XK6" s="112"/>
      <c r="XL6" s="112"/>
      <c r="XM6" s="112"/>
      <c r="XN6" s="112"/>
      <c r="XO6" s="112"/>
      <c r="XP6" s="112"/>
      <c r="XQ6" s="112"/>
      <c r="XR6" s="112"/>
      <c r="XS6" s="112"/>
      <c r="XT6" s="112"/>
      <c r="XU6" s="112"/>
      <c r="XV6" s="112"/>
      <c r="XW6" s="112"/>
      <c r="XX6" s="112"/>
      <c r="XY6" s="112"/>
      <c r="XZ6" s="112"/>
      <c r="YA6" s="112"/>
      <c r="YB6" s="112"/>
      <c r="YC6" s="112"/>
      <c r="YD6" s="112"/>
      <c r="YE6" s="112"/>
      <c r="YF6" s="112"/>
      <c r="YG6" s="112"/>
      <c r="YH6" s="112"/>
      <c r="YI6" s="112"/>
      <c r="YJ6" s="112"/>
      <c r="YK6" s="112"/>
      <c r="YL6" s="112"/>
      <c r="YM6" s="112"/>
      <c r="YN6" s="112"/>
      <c r="YO6" s="112"/>
      <c r="YP6" s="112"/>
      <c r="YQ6" s="112"/>
      <c r="YR6" s="112"/>
      <c r="YS6" s="112"/>
      <c r="YT6" s="112"/>
      <c r="YU6" s="112"/>
      <c r="YV6" s="112"/>
      <c r="YW6" s="112"/>
      <c r="YX6" s="112"/>
      <c r="YY6" s="112"/>
      <c r="YZ6" s="112"/>
      <c r="ZA6" s="112"/>
      <c r="ZB6" s="112"/>
      <c r="ZC6" s="112"/>
      <c r="ZD6" s="112"/>
      <c r="ZE6" s="112"/>
      <c r="ZF6" s="112"/>
      <c r="ZG6" s="112"/>
      <c r="ZH6" s="112"/>
      <c r="ZI6" s="112"/>
      <c r="ZJ6" s="112"/>
      <c r="ZK6" s="112"/>
      <c r="ZL6" s="112"/>
      <c r="ZM6" s="112"/>
      <c r="ZN6" s="112"/>
      <c r="ZO6" s="112"/>
      <c r="ZP6" s="112"/>
      <c r="ZQ6" s="112"/>
      <c r="ZR6" s="112"/>
      <c r="ZS6" s="112"/>
      <c r="ZT6" s="112"/>
      <c r="ZU6" s="112"/>
      <c r="ZV6" s="112"/>
      <c r="ZW6" s="112"/>
      <c r="ZX6" s="112"/>
      <c r="ZY6" s="112"/>
      <c r="ZZ6" s="112"/>
      <c r="AAA6" s="112"/>
      <c r="AAB6" s="112"/>
      <c r="AAC6" s="112"/>
      <c r="AAD6" s="112"/>
      <c r="AAE6" s="112"/>
      <c r="AAF6" s="112"/>
      <c r="AAG6" s="112"/>
      <c r="AAH6" s="112"/>
      <c r="AAI6" s="112"/>
      <c r="AAJ6" s="112"/>
      <c r="AAK6" s="112"/>
      <c r="AAL6" s="112"/>
      <c r="AAM6" s="112"/>
      <c r="AAN6" s="112"/>
      <c r="AAO6" s="112"/>
      <c r="AAP6" s="112"/>
      <c r="AAQ6" s="112"/>
      <c r="AAR6" s="112"/>
      <c r="AAS6" s="112"/>
      <c r="AAT6" s="112"/>
      <c r="AAU6" s="112"/>
      <c r="AAV6" s="112"/>
      <c r="AAW6" s="112"/>
      <c r="AAX6" s="112"/>
      <c r="AAY6" s="112"/>
      <c r="AAZ6" s="112"/>
      <c r="ABA6" s="112"/>
      <c r="ABB6" s="112"/>
      <c r="ABC6" s="112"/>
      <c r="ABD6" s="112"/>
      <c r="ABE6" s="112"/>
      <c r="ABF6" s="112"/>
      <c r="ABG6" s="112"/>
      <c r="ABH6" s="112"/>
      <c r="ABI6" s="112"/>
      <c r="ABJ6" s="112"/>
      <c r="ABK6" s="112"/>
      <c r="ABL6" s="112"/>
      <c r="ABM6" s="112"/>
      <c r="ABN6" s="112"/>
      <c r="ABO6" s="112"/>
      <c r="ABP6" s="112"/>
      <c r="ABQ6" s="112"/>
      <c r="ABR6" s="112"/>
      <c r="ABS6" s="112"/>
      <c r="ABT6" s="112"/>
      <c r="ABU6" s="112"/>
      <c r="ABV6" s="112"/>
      <c r="ABW6" s="112"/>
      <c r="ABX6" s="112"/>
      <c r="ABY6" s="112"/>
      <c r="ABZ6" s="112"/>
      <c r="ACA6" s="112"/>
      <c r="ACB6" s="112"/>
      <c r="ACC6" s="112"/>
      <c r="ACD6" s="112"/>
      <c r="ACE6" s="112"/>
      <c r="ACF6" s="112"/>
      <c r="ACG6" s="112"/>
      <c r="ACH6" s="112"/>
      <c r="ACI6" s="112"/>
      <c r="ACJ6" s="112"/>
      <c r="ACK6" s="112"/>
      <c r="ACL6" s="112"/>
      <c r="ACM6" s="112"/>
      <c r="ACN6" s="112"/>
      <c r="ACO6" s="112"/>
      <c r="ACP6" s="112"/>
      <c r="ACQ6" s="112"/>
      <c r="ACR6" s="112"/>
      <c r="ACS6" s="112"/>
      <c r="ACT6" s="112"/>
      <c r="ACU6" s="112"/>
      <c r="ACV6" s="112"/>
      <c r="ACW6" s="112"/>
      <c r="ACX6" s="112"/>
      <c r="ACY6" s="112"/>
      <c r="ACZ6" s="112"/>
      <c r="ADA6" s="112"/>
      <c r="ADB6" s="112"/>
      <c r="ADC6" s="112"/>
      <c r="ADD6" s="112"/>
      <c r="ADE6" s="112"/>
      <c r="ADF6" s="112"/>
      <c r="ADG6" s="112"/>
      <c r="ADH6" s="112"/>
      <c r="ADI6" s="112"/>
      <c r="ADJ6" s="112"/>
      <c r="ADK6" s="112"/>
      <c r="ADL6" s="112"/>
      <c r="ADM6" s="112"/>
      <c r="ADN6" s="112"/>
      <c r="ADO6" s="112"/>
      <c r="ADP6" s="112"/>
      <c r="ADQ6" s="112"/>
      <c r="ADR6" s="112"/>
      <c r="ADS6" s="112"/>
      <c r="ADT6" s="112"/>
      <c r="ADU6" s="112"/>
      <c r="ADV6" s="112"/>
      <c r="ADW6" s="112"/>
      <c r="ADX6" s="112"/>
      <c r="ADY6" s="112"/>
      <c r="ADZ6" s="112"/>
      <c r="AEA6" s="112"/>
      <c r="AEB6" s="112"/>
      <c r="AEC6" s="112"/>
      <c r="AED6" s="112"/>
      <c r="AEE6" s="112"/>
      <c r="AEF6" s="112"/>
      <c r="AEG6" s="112"/>
      <c r="AEH6" s="112"/>
      <c r="AEI6" s="112"/>
      <c r="AEJ6" s="112"/>
      <c r="AEK6" s="112"/>
      <c r="AEL6" s="112"/>
      <c r="AEM6" s="112"/>
      <c r="AEN6" s="112"/>
      <c r="AEO6" s="112"/>
      <c r="AEP6" s="112"/>
      <c r="AEQ6" s="112"/>
      <c r="AER6" s="112"/>
      <c r="AES6" s="112"/>
      <c r="AET6" s="112"/>
      <c r="AEU6" s="112"/>
      <c r="AEV6" s="112"/>
      <c r="AEW6" s="112"/>
      <c r="AEX6" s="112"/>
      <c r="AEY6" s="112"/>
      <c r="AEZ6" s="112"/>
      <c r="AFA6" s="112"/>
      <c r="AFB6" s="112"/>
      <c r="AFC6" s="112"/>
      <c r="AFD6" s="112"/>
      <c r="AFE6" s="112"/>
      <c r="AFF6" s="112"/>
      <c r="AFG6" s="112"/>
      <c r="AFH6" s="112"/>
      <c r="AFI6" s="112"/>
      <c r="AFJ6" s="112"/>
      <c r="AFK6" s="112"/>
      <c r="AFL6" s="112"/>
      <c r="AFM6" s="112"/>
      <c r="AFN6" s="112"/>
      <c r="AFO6" s="112"/>
      <c r="AFP6" s="112"/>
      <c r="AFQ6" s="112"/>
      <c r="AFR6" s="112"/>
      <c r="AFS6" s="112"/>
      <c r="AFT6" s="112"/>
      <c r="AFU6" s="112"/>
      <c r="AFV6" s="112"/>
      <c r="AFW6" s="112"/>
      <c r="AFX6" s="112"/>
      <c r="AFY6" s="112"/>
      <c r="AFZ6" s="112"/>
      <c r="AGA6" s="112"/>
      <c r="AGB6" s="112"/>
      <c r="AGC6" s="112"/>
      <c r="AGD6" s="112"/>
      <c r="AGE6" s="112"/>
      <c r="AGF6" s="112"/>
      <c r="AGG6" s="112"/>
      <c r="AGH6" s="112"/>
      <c r="AGI6" s="112"/>
      <c r="AGJ6" s="112"/>
      <c r="AGK6" s="112"/>
      <c r="AGL6" s="112"/>
      <c r="AGM6" s="112"/>
      <c r="AGN6" s="112"/>
      <c r="AGO6" s="112"/>
      <c r="AGP6" s="112"/>
    </row>
    <row r="7" spans="2:874" ht="30" customHeight="1" outlineLevel="1" x14ac:dyDescent="0.2">
      <c r="K7" s="112" t="s">
        <v>402</v>
      </c>
      <c r="DB7" s="267" t="s">
        <v>450</v>
      </c>
    </row>
    <row r="8" spans="2:874" s="259" customFormat="1" ht="30" customHeight="1" x14ac:dyDescent="0.2">
      <c r="B8" s="262">
        <f>SUBTOTAL(3,B6:B6)</f>
        <v>1</v>
      </c>
      <c r="C8" s="263" t="s">
        <v>403</v>
      </c>
      <c r="D8" s="264">
        <f>SUBTOTAL(3,D6:D6)</f>
        <v>1</v>
      </c>
      <c r="E8" s="264">
        <f>SUBTOTAL(3,E6:E6)</f>
        <v>1</v>
      </c>
      <c r="G8" s="264">
        <f>SUBTOTAL(3,G6:G6)</f>
        <v>1</v>
      </c>
      <c r="H8" s="265"/>
      <c r="J8" s="266"/>
      <c r="K8" s="262">
        <f>SUBTOTAL(3,K6:K6)</f>
        <v>1</v>
      </c>
      <c r="L8" s="266"/>
      <c r="M8" s="266"/>
      <c r="O8" s="262">
        <f t="shared" ref="O8:AM8" si="29">SUBTOTAL(9,O6:O6)</f>
        <v>0</v>
      </c>
      <c r="P8" s="262">
        <f t="shared" si="29"/>
        <v>0</v>
      </c>
      <c r="Q8" s="262">
        <f t="shared" si="29"/>
        <v>0</v>
      </c>
      <c r="R8" s="262">
        <f t="shared" si="29"/>
        <v>0</v>
      </c>
      <c r="S8" s="262">
        <f t="shared" si="29"/>
        <v>0</v>
      </c>
      <c r="T8" s="262">
        <f t="shared" si="29"/>
        <v>0</v>
      </c>
      <c r="U8" s="262">
        <f t="shared" si="29"/>
        <v>0</v>
      </c>
      <c r="V8" s="262">
        <f t="shared" si="29"/>
        <v>0</v>
      </c>
      <c r="W8" s="262">
        <f t="shared" si="29"/>
        <v>0</v>
      </c>
      <c r="X8" s="262">
        <f t="shared" si="29"/>
        <v>0</v>
      </c>
      <c r="Y8" s="262">
        <f t="shared" si="29"/>
        <v>0</v>
      </c>
      <c r="Z8" s="262">
        <f t="shared" si="29"/>
        <v>0</v>
      </c>
      <c r="AA8" s="262">
        <f t="shared" si="29"/>
        <v>0</v>
      </c>
      <c r="AB8" s="262">
        <f t="shared" si="29"/>
        <v>0</v>
      </c>
      <c r="AC8" s="262">
        <f t="shared" si="29"/>
        <v>0</v>
      </c>
      <c r="AD8" s="262">
        <f t="shared" si="29"/>
        <v>0</v>
      </c>
      <c r="AE8" s="262">
        <f t="shared" si="29"/>
        <v>0</v>
      </c>
      <c r="AF8" s="262">
        <f t="shared" si="29"/>
        <v>0</v>
      </c>
      <c r="AG8" s="262">
        <f t="shared" si="29"/>
        <v>0</v>
      </c>
      <c r="AH8" s="262">
        <f t="shared" si="29"/>
        <v>0</v>
      </c>
      <c r="AI8" s="262">
        <f t="shared" si="29"/>
        <v>0</v>
      </c>
      <c r="AJ8" s="262">
        <f t="shared" si="29"/>
        <v>0</v>
      </c>
      <c r="AK8" s="262">
        <f t="shared" si="29"/>
        <v>0</v>
      </c>
      <c r="AL8" s="262">
        <f t="shared" si="29"/>
        <v>0</v>
      </c>
      <c r="AM8" s="262">
        <f t="shared" si="29"/>
        <v>0</v>
      </c>
      <c r="AN8" s="262">
        <f t="shared" ref="AN8:AT8" si="30">SUBTOTAL(3,AN6:AN6)</f>
        <v>1</v>
      </c>
      <c r="AO8" s="262">
        <f t="shared" si="30"/>
        <v>1</v>
      </c>
      <c r="AP8" s="262">
        <f t="shared" si="30"/>
        <v>1</v>
      </c>
      <c r="AQ8" s="262">
        <f t="shared" si="30"/>
        <v>1</v>
      </c>
      <c r="AR8" s="262">
        <f t="shared" si="30"/>
        <v>1</v>
      </c>
      <c r="AS8" s="262">
        <f t="shared" si="30"/>
        <v>1</v>
      </c>
      <c r="AT8" s="262">
        <f t="shared" si="30"/>
        <v>1</v>
      </c>
      <c r="AU8" s="262">
        <f>SUBTOTAL(9,AU6:AU6)</f>
        <v>0</v>
      </c>
      <c r="AV8" s="262">
        <f>SUBTOTAL(9,AV6:AV6)</f>
        <v>0</v>
      </c>
      <c r="AW8" s="262">
        <f>SUBTOTAL(3,AW6:AW6)</f>
        <v>0</v>
      </c>
      <c r="AX8" s="262">
        <f>SUBTOTAL(3,AX6:AX6)</f>
        <v>0</v>
      </c>
      <c r="AY8" s="262">
        <f t="shared" ref="AY8:BM8" si="31">SUBTOTAL(9,AY6:AY6)</f>
        <v>0</v>
      </c>
      <c r="AZ8" s="262">
        <f t="shared" si="31"/>
        <v>0</v>
      </c>
      <c r="BA8" s="262">
        <f t="shared" si="31"/>
        <v>0</v>
      </c>
      <c r="BB8" s="262">
        <f t="shared" si="31"/>
        <v>0</v>
      </c>
      <c r="BC8" s="262">
        <f t="shared" si="31"/>
        <v>0</v>
      </c>
      <c r="BD8" s="262">
        <f t="shared" si="31"/>
        <v>0</v>
      </c>
      <c r="BE8" s="262">
        <f t="shared" si="31"/>
        <v>0</v>
      </c>
      <c r="BF8" s="262">
        <f t="shared" si="31"/>
        <v>0</v>
      </c>
      <c r="BG8" s="262" t="e">
        <f t="shared" si="31"/>
        <v>#REF!</v>
      </c>
      <c r="BH8" s="262">
        <f t="shared" si="31"/>
        <v>0</v>
      </c>
      <c r="BI8" s="262">
        <f t="shared" si="31"/>
        <v>0</v>
      </c>
      <c r="BJ8" s="262">
        <f t="shared" si="31"/>
        <v>0</v>
      </c>
      <c r="BK8" s="262">
        <f t="shared" si="31"/>
        <v>0</v>
      </c>
      <c r="BL8" s="262">
        <f t="shared" si="31"/>
        <v>0</v>
      </c>
      <c r="BM8" s="262">
        <f t="shared" si="31"/>
        <v>0</v>
      </c>
      <c r="BN8" s="262">
        <f>SUBTOTAL(3,BN6:BN6)</f>
        <v>0</v>
      </c>
      <c r="BO8" s="262">
        <f>SUBTOTAL(3,BO6:BO6)</f>
        <v>0</v>
      </c>
      <c r="BP8" s="262">
        <f>SUBTOTAL(3,BP6:BP6)</f>
        <v>0</v>
      </c>
      <c r="BQ8" s="262">
        <f>SUBTOTAL(9,BQ6:BQ6)</f>
        <v>0</v>
      </c>
      <c r="BR8" s="262">
        <f>SUBTOTAL(3,BR6:BR6)</f>
        <v>0</v>
      </c>
      <c r="BS8" s="262">
        <f>SUBTOTAL(9,BS6:BS6)</f>
        <v>0</v>
      </c>
      <c r="BT8" s="265"/>
      <c r="BU8" s="265"/>
      <c r="BV8" s="265"/>
      <c r="BW8" s="265"/>
      <c r="BX8" s="265"/>
      <c r="BY8" s="265"/>
      <c r="BZ8" s="265"/>
      <c r="CA8" s="265"/>
      <c r="CB8" s="265"/>
      <c r="CC8" s="265"/>
      <c r="CD8" s="265"/>
      <c r="CE8" s="265"/>
      <c r="CF8" s="265"/>
      <c r="CG8" s="262">
        <f>SUBTOTAL(9,CG6:CG6)</f>
        <v>0</v>
      </c>
      <c r="CH8" s="262">
        <f>SUBTOTAL(3,CH6:CH6)</f>
        <v>1</v>
      </c>
      <c r="CJ8" s="264">
        <f>SUBTOTAL(3,CJ6:CJ6)</f>
        <v>0</v>
      </c>
      <c r="CK8" s="262">
        <f>SUBTOTAL(9,CK6:CK6)</f>
        <v>0</v>
      </c>
      <c r="CL8" s="262">
        <f>SUBTOTAL(9,CL6:CL6)</f>
        <v>0</v>
      </c>
      <c r="CM8" s="266"/>
      <c r="CN8" s="265"/>
      <c r="CQ8" s="265"/>
      <c r="CR8" s="265"/>
      <c r="CU8" s="262">
        <f>SUBTOTAL(3,CU6:CU6)</f>
        <v>0</v>
      </c>
      <c r="DA8" s="264">
        <f>SUBTOTAL(3,DA6:DA6)</f>
        <v>0</v>
      </c>
      <c r="DB8" s="262">
        <f>SUBTOTAL(9,DB6:DB6)</f>
        <v>0</v>
      </c>
      <c r="DC8" s="262">
        <f>SUBTOTAL(9,DC6:DC6)</f>
        <v>0</v>
      </c>
      <c r="DD8" s="262">
        <f>SUBTOTAL(3,DD6:DD6)</f>
        <v>0</v>
      </c>
      <c r="DE8" s="262">
        <f>SUBTOTAL(9,DE6:DE6)</f>
        <v>0</v>
      </c>
      <c r="DF8" s="262">
        <f>SUBTOTAL(9,DF6:DF6)</f>
        <v>0</v>
      </c>
      <c r="DG8" s="262">
        <f>SUBTOTAL(9,DG6:DG6)</f>
        <v>0</v>
      </c>
      <c r="DH8" s="262">
        <f>SUBTOTAL(9,DH6:DH6)</f>
        <v>0</v>
      </c>
      <c r="DI8" s="262">
        <f>SUBTOTAL(3,DI6:DI6)</f>
        <v>0</v>
      </c>
      <c r="DJ8" s="262">
        <f>SUBTOTAL(9,DJ6:DJ6)</f>
        <v>0</v>
      </c>
      <c r="DK8" s="262">
        <f>SUBTOTAL(9,DK6:DK6)</f>
        <v>0</v>
      </c>
      <c r="DL8" s="262">
        <f>SUBTOTAL(9,DL6:DL6)</f>
        <v>0</v>
      </c>
      <c r="DM8" s="262">
        <f>SUBTOTAL(9,DM6:DM6)</f>
        <v>0</v>
      </c>
      <c r="DN8" s="262"/>
      <c r="DO8" s="262"/>
      <c r="DP8" s="262"/>
      <c r="DQ8" s="262"/>
      <c r="DR8" s="262">
        <f>SUBTOTAL(3,DR6:DR6)</f>
        <v>0</v>
      </c>
      <c r="DS8" s="262">
        <f t="shared" ref="DS8:DY8" si="32">SUBTOTAL(9,DS6:DS6)</f>
        <v>0</v>
      </c>
      <c r="DT8" s="262">
        <f t="shared" si="32"/>
        <v>0</v>
      </c>
      <c r="DU8" s="262">
        <f t="shared" si="32"/>
        <v>0</v>
      </c>
      <c r="DV8" s="262">
        <f t="shared" si="32"/>
        <v>0</v>
      </c>
      <c r="DW8" s="262">
        <f t="shared" si="32"/>
        <v>0</v>
      </c>
      <c r="DX8" s="262">
        <f t="shared" si="32"/>
        <v>0</v>
      </c>
      <c r="DY8" s="262">
        <f t="shared" si="32"/>
        <v>0</v>
      </c>
      <c r="DZ8" s="262">
        <f>SUBTOTAL(3,DZ6:DZ6)</f>
        <v>0</v>
      </c>
      <c r="EA8" s="262">
        <f t="shared" ref="EA8:EN8" si="33">SUBTOTAL(9,EA6:EA6)</f>
        <v>0</v>
      </c>
      <c r="EB8" s="262">
        <f t="shared" si="33"/>
        <v>0</v>
      </c>
      <c r="EC8" s="262">
        <f t="shared" si="33"/>
        <v>0</v>
      </c>
      <c r="ED8" s="262">
        <f t="shared" si="33"/>
        <v>0</v>
      </c>
      <c r="EE8" s="262">
        <f t="shared" si="33"/>
        <v>0</v>
      </c>
      <c r="EF8" s="262">
        <f t="shared" si="33"/>
        <v>0</v>
      </c>
      <c r="EG8" s="262">
        <f t="shared" si="33"/>
        <v>0</v>
      </c>
      <c r="EH8" s="262">
        <f t="shared" si="33"/>
        <v>0</v>
      </c>
      <c r="EI8" s="262">
        <f t="shared" si="33"/>
        <v>0</v>
      </c>
      <c r="EJ8" s="262">
        <f t="shared" si="33"/>
        <v>0</v>
      </c>
      <c r="EK8" s="262">
        <f t="shared" si="33"/>
        <v>0</v>
      </c>
      <c r="EL8" s="262">
        <f t="shared" si="33"/>
        <v>0</v>
      </c>
      <c r="EM8" s="262">
        <f t="shared" si="33"/>
        <v>0</v>
      </c>
      <c r="EN8" s="262">
        <f t="shared" si="33"/>
        <v>0</v>
      </c>
      <c r="EO8" s="262">
        <f t="shared" ref="EO8:EU8" si="34">SUBTOTAL(3,EO6:EO6)</f>
        <v>1</v>
      </c>
      <c r="EP8" s="262">
        <f t="shared" si="34"/>
        <v>1</v>
      </c>
      <c r="EQ8" s="262">
        <f t="shared" si="34"/>
        <v>1</v>
      </c>
      <c r="ER8" s="262">
        <f t="shared" si="34"/>
        <v>1</v>
      </c>
      <c r="ES8" s="262">
        <f t="shared" si="34"/>
        <v>1</v>
      </c>
      <c r="ET8" s="262">
        <f t="shared" si="34"/>
        <v>1</v>
      </c>
      <c r="EU8" s="262">
        <f t="shared" si="34"/>
        <v>1</v>
      </c>
      <c r="EV8" s="262">
        <f>SUBTOTAL(9,EV6:EV6)</f>
        <v>0</v>
      </c>
      <c r="EW8" s="262">
        <f>SUBTOTAL(9,EW6:EW6)</f>
        <v>0</v>
      </c>
      <c r="EX8" s="262">
        <f>SUBTOTAL(9,EX6:EX6)</f>
        <v>0</v>
      </c>
      <c r="EY8" s="262">
        <f>SUBTOTAL(3,EY6:EY6)</f>
        <v>1</v>
      </c>
      <c r="EZ8" s="262">
        <f>SUBTOTAL(3,EZ6:EZ6)</f>
        <v>1</v>
      </c>
      <c r="FA8" s="262">
        <f>SUBTOTAL(3,FA6:FA6)</f>
        <v>1</v>
      </c>
      <c r="FB8" s="262">
        <f>SUBTOTAL(3,FB6:FB6)</f>
        <v>0</v>
      </c>
      <c r="FC8" s="262">
        <f>SUBTOTAL(3,FC6:FC6)</f>
        <v>0</v>
      </c>
      <c r="FD8" s="262">
        <f>SUBTOTAL(9,FD6:FD6)</f>
        <v>0</v>
      </c>
      <c r="FE8" s="262">
        <f>SUBTOTAL(9,FE6:FE6)</f>
        <v>0</v>
      </c>
      <c r="FF8" s="262">
        <f>SUBTOTAL(9,FF6:FF6)</f>
        <v>0</v>
      </c>
      <c r="FG8" s="262">
        <f>SUBTOTAL(9,FG6:FG6)</f>
        <v>0</v>
      </c>
      <c r="FH8" s="262">
        <f>SUBTOTAL(3,FH6:FH6)</f>
        <v>0</v>
      </c>
      <c r="FI8" s="262">
        <f>SUBTOTAL(9,FI6:FI6)</f>
        <v>0</v>
      </c>
      <c r="FJ8" s="262">
        <f>SUBTOTAL(3,FJ6:FJ6)</f>
        <v>0</v>
      </c>
      <c r="FK8" s="262">
        <f t="shared" ref="FK8:FX8" si="35">SUBTOTAL(9,FK6:FK6)</f>
        <v>0</v>
      </c>
      <c r="FL8" s="262">
        <f t="shared" si="35"/>
        <v>0</v>
      </c>
      <c r="FM8" s="262">
        <f t="shared" si="35"/>
        <v>0</v>
      </c>
      <c r="FN8" s="262">
        <f t="shared" si="35"/>
        <v>0</v>
      </c>
      <c r="FO8" s="262">
        <f t="shared" si="35"/>
        <v>0</v>
      </c>
      <c r="FP8" s="262">
        <f t="shared" si="35"/>
        <v>0</v>
      </c>
      <c r="FQ8" s="262">
        <f t="shared" si="35"/>
        <v>0</v>
      </c>
      <c r="FR8" s="262">
        <f t="shared" si="35"/>
        <v>0</v>
      </c>
      <c r="FS8" s="262">
        <f t="shared" si="35"/>
        <v>0</v>
      </c>
      <c r="FT8" s="262">
        <f t="shared" si="35"/>
        <v>0</v>
      </c>
      <c r="FU8" s="262">
        <f t="shared" si="35"/>
        <v>0</v>
      </c>
      <c r="FV8" s="262">
        <f t="shared" si="35"/>
        <v>0</v>
      </c>
      <c r="FW8" s="262">
        <f t="shared" si="35"/>
        <v>0</v>
      </c>
      <c r="FX8" s="262">
        <f t="shared" si="35"/>
        <v>0</v>
      </c>
      <c r="FY8" s="262">
        <f>SUBTOTAL(3,FY6:FY6)</f>
        <v>0</v>
      </c>
      <c r="FZ8" s="262">
        <f>SUBTOTAL(3,FZ6:FZ6)</f>
        <v>0</v>
      </c>
      <c r="GA8" s="262">
        <f>SUBTOTAL(3,GA6:GA6)</f>
        <v>0</v>
      </c>
      <c r="GB8" s="262">
        <f>SUBTOTAL(9,GB6:GB6)</f>
        <v>0</v>
      </c>
      <c r="GC8" s="262">
        <f>SUBTOTAL(9,GC6:GC6)</f>
        <v>0</v>
      </c>
      <c r="GD8" s="262">
        <f>SUBTOTAL(3,GD6:GD6)</f>
        <v>0</v>
      </c>
      <c r="GE8" s="262">
        <f>SUBTOTAL(3,GE6:GE6)</f>
        <v>0</v>
      </c>
      <c r="GF8" s="262">
        <f>SUBTOTAL(9,GF6:GF6)</f>
        <v>0</v>
      </c>
      <c r="GG8" s="262">
        <f>SUBTOTAL(9,GG6:GG6)</f>
        <v>0</v>
      </c>
      <c r="GI8" s="265"/>
      <c r="GJ8" s="265"/>
      <c r="GK8" s="265"/>
      <c r="GL8" s="262">
        <f>SUBTOTAL(9,GL6:GL6)</f>
        <v>0</v>
      </c>
      <c r="GM8" s="262">
        <f>SUBTOTAL(9,GM6:GM6)</f>
        <v>0</v>
      </c>
      <c r="GN8" s="262">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012pVVBwsEoQI7yKnsC56KA2j7pYsk8IhyLUcY+Hf7Q7/fgvfnciMwp/eOdWZsbunSa0okLdPaQAwQjowIjv7Q==" saltValue="/2LHcZOjR1YCw4Z6hWk2EA=="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6">
    <cfRule type="expression" dxfId="2" priority="7">
      <formula>($D6="改修")</formula>
    </cfRule>
  </conditionalFormatting>
  <conditionalFormatting sqref="AZ6:BS6 FF6:GG6">
    <cfRule type="expression" dxfId="1" priority="6">
      <formula>OR($D6="新築",$D6="登録")</formula>
    </cfRule>
  </conditionalFormatting>
  <conditionalFormatting sqref="DB6:FE6">
    <cfRule type="expression" dxfId="0" priority="1">
      <formula>OR($D6="改修",$D6="登録")</formula>
    </cfRule>
  </conditionalFormatting>
  <dataValidations count="30">
    <dataValidation operator="greaterThanOrEqual" allowBlank="1" showInputMessage="1" showErrorMessage="1" error="数値以外は入力できません" sqref="CK6:CO6 CS6:CY6" xr:uid="{308D5D9A-CD52-4D88-B7A0-C4AF5ACC28E9}"/>
    <dataValidation operator="greaterThanOrEqual" allowBlank="1" showInputMessage="1" showErrorMessage="1" error="日付以外の内容は入力できません" sqref="BT6:CF6" xr:uid="{D3A8FA69-43A9-489C-A7CF-555AAA4F98DB}"/>
    <dataValidation operator="greaterThanOrEqual" allowBlank="1" showInputMessage="1" showErrorMessage="1" error="10以上の整数値を入力してください。" sqref="O6 DB6:DD6 DH6:DI6 EY6:FC6 DY6:DZ6 DV6 EE6:EF6 EJ6:EK6 EO6:EU6 DM6:DN6 DP6:DR6" xr:uid="{613E62E6-3BFF-4512-980A-072E37D0C77F}"/>
    <dataValidation allowBlank="1" showInputMessage="1" showErrorMessage="1" prompt="自動計算" sqref="DO6 E6 DW6:DX6 DS6:DU6 DJ6:DL6 W6:X6 Z6:AB6 AY6 AH6:AI6 CG6 BS6 BQ6 BL6:BM6 BC6:BD6 AL6:AM6 AU6:AV6 T6:U6 GL6:GN6 Q6:R6 BG6:BH6 B6 AD6:AE6 GB6:GC6 GF6:GG6 FD6:FE6 EA6:ED6 EG6:EI6 DE6:DG6 FK6:FM6 FP6:FR6 FV6:FX6 EL6:EN6 EV6:EX6" xr:uid="{53BBD124-71CD-49C4-AB2E-2F0D2556985F}"/>
    <dataValidation allowBlank="1" showInputMessage="1" showErrorMessage="1" error="実木材使用量より大きな値は入力しないでください。補助対象は10m3以上です（整数値で入力）。" sqref="P6" xr:uid="{2F9F233A-89F6-4D07-91B0-851D6FA9103B}"/>
    <dataValidation operator="lessThanOrEqual" allowBlank="1" showInputMessage="1" showErrorMessage="1" error="県産材の実使用量より大きな値は入力しないでください（整数値入力）。" sqref="S6 V6 AC6 Y6 AF6:AG6 AJ6:AK6 AN6:AT6" xr:uid="{C78EA9F4-1158-4554-941C-779AE53312C7}"/>
    <dataValidation type="list" allowBlank="1" showInputMessage="1" showErrorMessage="1" sqref="DA6 G6" xr:uid="{FA4F9144-DD5D-4154-9E35-91136331B80E}">
      <formula1>"〇"</formula1>
    </dataValidation>
    <dataValidation type="decimal" allowBlank="1" showInputMessage="1" showErrorMessage="1" error="0.3以上が補助対象、実木材使用量以下の数値を入力" sqref="FG6 BA6" xr:uid="{8788BE3B-FE1A-488A-9DE4-7156297435F0}">
      <formula1>0.3</formula1>
      <formula2>AZ6</formula2>
    </dataValidation>
    <dataValidation imeMode="halfAlpha" allowBlank="1" showInputMessage="1" showErrorMessage="1" sqref="J1:J1048576 L1:L1048576" xr:uid="{D10F919F-D363-4F3A-8590-86AF139F14BB}"/>
    <dataValidation type="decimal" operator="greaterThanOrEqual" allowBlank="1" showInputMessage="1" showErrorMessage="1" sqref="FF6 AZ6" xr:uid="{C20AAA02-FADE-443C-A3B5-0B16DB69D828}">
      <formula1>0</formula1>
    </dataValidation>
    <dataValidation type="list" allowBlank="1" showInputMessage="1" showErrorMessage="1" sqref="FS6:FU6 BI6:BK6 BE6:BF6 FN6:FO6" xr:uid="{612DF53E-D308-449D-93C1-656851AE8693}">
      <formula1>"1"</formula1>
    </dataValidation>
    <dataValidation type="list" allowBlank="1" showInputMessage="1" showErrorMessage="1" sqref="CP6" xr:uid="{0120FFE1-02F1-4A31-BDBC-70EC91097099}">
      <formula1>"若年子育て,三世代近居,三世代同居"</formula1>
    </dataValidation>
    <dataValidation type="list" allowBlank="1" showInputMessage="1" showErrorMessage="1" sqref="GH6" xr:uid="{5F14E7B9-571E-45A4-9B75-C31FCEFBF49D}">
      <formula1>"実績,取下,取消"</formula1>
    </dataValidation>
    <dataValidation type="date" operator="greaterThanOrEqual" allowBlank="1" showInputMessage="1" showErrorMessage="1" error="日付以外の値は入力できません" sqref="H6" xr:uid="{DA659C91-4C76-4053-888B-56021F180F0D}">
      <formula1>1</formula1>
    </dataValidation>
    <dataValidation type="date" operator="greaterThanOrEqual" allowBlank="1" showInputMessage="1" showErrorMessage="1" error="日付以外は入力できません" sqref="GI6:GK6 CQ6:CR6" xr:uid="{0E398231-E56B-43E8-9962-05DA1C553FEB}">
      <formula1>1</formula1>
    </dataValidation>
    <dataValidation type="list" allowBlank="1" showInputMessage="1" showErrorMessage="1" sqref="F6" xr:uid="{D03981B9-B9DE-4135-8745-0AF795BC9039}">
      <formula1>"債,支→債,債→支"</formula1>
    </dataValidation>
    <dataValidation type="whole" operator="greaterThanOrEqual" allowBlank="1" showInputMessage="1" showErrorMessage="1" error="整数値で入力" sqref="FI6 BB6" xr:uid="{9B6EB887-AE13-40B1-918C-7D6524BD31C7}">
      <formula1>0</formula1>
    </dataValidation>
    <dataValidation type="whole" operator="greaterThanOrEqual" allowBlank="1" showInputMessage="1" showErrorMessage="1" error="７未満の値は入力しないでください。（補助対象となるのは最低７平方メートル以上です）" sqref="FY6 BN6" xr:uid="{A1568B8D-9644-48C6-BE83-F0A90A553D8A}">
      <formula1>7</formula1>
    </dataValidation>
    <dataValidation type="whole" operator="greaterThanOrEqual" allowBlank="1" showInputMessage="1" showErrorMessage="1" error="３未満の値は入力しないでください。_x000a_（建具は見付３㎡以上が補助対象です）" sqref="BP6" xr:uid="{15C055F1-1E9F-4A55-92A4-8C690883489B}">
      <formula1>3</formula1>
    </dataValidation>
    <dataValidation type="list" allowBlank="1" showInputMessage="1" showErrorMessage="1" sqref="CJ6" xr:uid="{91D1DB63-3777-4910-814B-22AB105236B6}">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75764940-BB74-46B5-8EF6-8F0A4F811560}">
      <formula1>"新築,改修,登録"</formula1>
    </dataValidation>
    <dataValidation type="list" allowBlank="1" showInputMessage="1" showErrorMessage="1" sqref="AW6" xr:uid="{B9DDAB33-26F2-42F9-87A0-50309FAC5E62}">
      <formula1>"平板瓦,和瓦,S瓦"</formula1>
    </dataValidation>
    <dataValidation type="list" allowBlank="1" showInputMessage="1" showErrorMessage="1" sqref="BR6 AX6" xr:uid="{9108668A-8153-4172-9806-983347BFA212}">
      <formula1>"モルタル塗,漆喰塗,土壁塗,そとん壁,じゅらく塗,珪藻土塗,その他"</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6CF7792A-F13D-44E2-B1E6-362A160A74D2}">
      <formula1>7</formula1>
    </dataValidation>
    <dataValidation type="list" allowBlank="1" showErrorMessage="1" sqref="GD6" xr:uid="{F3BF4D4A-2259-4EC8-8543-2BC01061C853}">
      <formula1>"モルタル塗,漆喰塗,土壁塗,そとん壁,じゅらく塗,珪藻土塗,その他"</formula1>
    </dataValidation>
    <dataValidation allowBlank="1" showInputMessage="1" showErrorMessage="1" error="0.3以上が補助対象、実木材使用量以下の数値を入力" sqref="FH6" xr:uid="{4679419E-BE2B-4281-BF07-8873732ED8C1}"/>
    <dataValidation operator="greaterThanOrEqual" allowBlank="1" showInputMessage="1" showErrorMessage="1" error="整数値で入力" sqref="FJ6" xr:uid="{8A9EA7BD-5DE7-4A46-B04B-D9ABA06B91B3}"/>
    <dataValidation allowBlank="1" showErrorMessage="1" sqref="GE6" xr:uid="{E094453E-3D18-424F-86C5-ECCB608B2776}"/>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 xr:uid="{FC7FEB80-11CD-4914-93E3-AB778AD1CC97}">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 xr:uid="{1145058A-1597-4F65-993D-593D69B5E6AD}">
      <formula1>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【様式第６号】（別紙）補助金併用一覧</vt:lpstr>
      <vt:lpstr>要入力　登録決定状況入力シート</vt:lpstr>
      <vt:lpstr>【規則様式第３号】実績報告書鑑（報告書連動）（住まいる）</vt:lpstr>
      <vt:lpstr>【規則様式第３号】実績報告書鑑（報告書連動） (未来型)</vt:lpstr>
      <vt:lpstr>(県用)住まいる台帳コピー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2026-03-17T15:22:35Z</cp:lastPrinted>
  <dcterms:created xsi:type="dcterms:W3CDTF">2017-01-19T07:37:02Z</dcterms:created>
  <dcterms:modified xsi:type="dcterms:W3CDTF">2026-04-05T12:41:10Z</dcterms:modified>
</cp:coreProperties>
</file>