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defaultThemeVersion="124226"/>
  <mc:AlternateContent xmlns:mc="http://schemas.openxmlformats.org/markup-compatibility/2006">
    <mc:Choice Requires="x15">
      <x15ac:absPath xmlns:x15ac="http://schemas.microsoft.com/office/spreadsheetml/2010/11/ac" url="\\10.1.17.158\disk\企画担当\03_とっとり住まいる支援事業\01 交付要綱\R8.4\様式HP用\"/>
    </mc:Choice>
  </mc:AlternateContent>
  <xr:revisionPtr revIDLastSave="0" documentId="13_ncr:1_{8A2177BA-5E96-4DCB-8AD4-8BD1D4AB47F9}" xr6:coauthVersionLast="47" xr6:coauthVersionMax="47" xr10:uidLastSave="{00000000-0000-0000-0000-000000000000}"/>
  <bookViews>
    <workbookView xWindow="29325" yWindow="0" windowWidth="27390" windowHeight="15585" tabRatio="711" xr2:uid="{00000000-000D-0000-FFFF-FFFF00000000}"/>
  </bookViews>
  <sheets>
    <sheet name="【様式第2号】事業計画書兼チェックシート（新築）" sheetId="11" r:id="rId1"/>
    <sheet name="【様式第６号】（別紙）補助金併用一覧" sheetId="15" state="hidden" r:id="rId2"/>
    <sheet name="【様式第1号】登録申請書（計画書連動）（住まいる）" sheetId="12" r:id="rId3"/>
    <sheet name="【様式第1号】登録申請書（計画書連動）（未来型）" sheetId="18" r:id="rId4"/>
    <sheet name="実績報告時入力用" sheetId="19" r:id="rId5"/>
    <sheet name="(県用)住まいる台帳コピー" sheetId="16" r:id="rId6"/>
    <sheet name="(県用)未来型台帳コピー" sheetId="17" r:id="rId7"/>
  </sheets>
  <externalReferences>
    <externalReference r:id="rId8"/>
  </externalReferences>
  <definedNames>
    <definedName name="_xlnm.Print_Area" localSheetId="2">'【様式第1号】登録申請書（計画書連動）（住まいる）'!$A$1:$Z$40</definedName>
    <definedName name="_xlnm.Print_Area" localSheetId="3">'【様式第1号】登録申請書（計画書連動）（未来型）'!$A$1:$Z$40</definedName>
    <definedName name="_xlnm.Print_Area" localSheetId="0">'【様式第2号】事業計画書兼チェックシート（新築）'!$A$6:$AA$261</definedName>
    <definedName name="_xlnm.Print_Area" localSheetId="1">'【様式第６号】（別紙）補助金併用一覧'!$A$1:$E$32</definedName>
  </definedNames>
  <calcPr calcId="181029"/>
</workbook>
</file>

<file path=xl/calcChain.xml><?xml version="1.0" encoding="utf-8"?>
<calcChain xmlns="http://schemas.openxmlformats.org/spreadsheetml/2006/main">
  <c r="AC171" i="11" l="1"/>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Y146" i="11"/>
  <c r="AB155" i="11"/>
  <c r="AB157" i="11"/>
  <c r="AB156" i="11"/>
  <c r="E6" i="16"/>
  <c r="Y105" i="11" l="1"/>
  <c r="Y104" i="11"/>
  <c r="AB231" i="11"/>
  <c r="D61" i="11" l="1"/>
  <c r="D67" i="11"/>
  <c r="AB17" i="11" l="1"/>
  <c r="DA6" i="16" l="1"/>
  <c r="CZ6" i="16"/>
  <c r="T231" i="11"/>
  <c r="AJ108" i="11" l="1"/>
  <c r="AI108" i="11"/>
  <c r="AJ107" i="11"/>
  <c r="AI107" i="11"/>
  <c r="AF6" i="16"/>
  <c r="AC6" i="16"/>
  <c r="Y6" i="16"/>
  <c r="V6" i="16"/>
  <c r="S6" i="16"/>
  <c r="P6" i="16"/>
  <c r="Q6" i="16" s="1"/>
  <c r="T6" i="16" l="1"/>
  <c r="AI109" i="11"/>
  <c r="Y109" i="11" s="1"/>
  <c r="AJ109" i="11"/>
  <c r="U102" i="11"/>
  <c r="X6" i="16" l="1"/>
  <c r="U6" i="16"/>
  <c r="Y111" i="11"/>
  <c r="AB45" i="11" l="1"/>
  <c r="H27" i="12" l="1"/>
  <c r="M22" i="18"/>
  <c r="M23" i="18" l="1"/>
  <c r="O10" i="18" l="1"/>
  <c r="P9" i="18"/>
  <c r="O13" i="18"/>
  <c r="O12" i="18"/>
  <c r="O11" i="18"/>
  <c r="P9" i="12" l="1"/>
  <c r="O13" i="12"/>
  <c r="O12" i="12"/>
  <c r="O11" i="12"/>
  <c r="O10" i="12"/>
  <c r="W4" i="18"/>
  <c r="T4" i="18"/>
  <c r="Q4" i="18"/>
  <c r="H26" i="18"/>
  <c r="B6" i="18"/>
  <c r="Q4" i="12"/>
  <c r="T4" i="12"/>
  <c r="W4" i="12"/>
  <c r="AB19" i="11"/>
  <c r="AB18" i="11"/>
  <c r="AB16" i="11"/>
  <c r="AB15" i="11"/>
  <c r="AB13" i="11"/>
  <c r="H26" i="12"/>
  <c r="B6" i="12"/>
  <c r="BG33" i="11" l="1"/>
  <c r="DK6" i="16" l="1"/>
  <c r="DJ6" i="16"/>
  <c r="DJ8" i="16" s="1"/>
  <c r="DI6" i="16"/>
  <c r="DH6" i="16"/>
  <c r="DH8" i="16" s="1"/>
  <c r="DG6" i="16"/>
  <c r="DF6" i="16"/>
  <c r="DF8" i="16" s="1"/>
  <c r="DE6" i="16"/>
  <c r="DD6" i="16"/>
  <c r="DD8" i="16" s="1"/>
  <c r="DC6" i="16"/>
  <c r="DB6" i="16"/>
  <c r="CO6" i="16"/>
  <c r="BC6" i="16"/>
  <c r="BB6" i="16"/>
  <c r="BB8" i="16" s="1"/>
  <c r="BA6" i="16"/>
  <c r="D55" i="11" l="1"/>
  <c r="AB36" i="11" l="1"/>
  <c r="AB65" i="11"/>
  <c r="AB62" i="11"/>
  <c r="AB59" i="11"/>
  <c r="AT3" i="17" l="1"/>
  <c r="AS3" i="17"/>
  <c r="AR3" i="17"/>
  <c r="AQ3" i="17"/>
  <c r="AP3" i="17"/>
  <c r="AO3" i="17"/>
  <c r="AN3" i="17"/>
  <c r="AJ3" i="17"/>
  <c r="AM3" i="17" s="1"/>
  <c r="AI3" i="17"/>
  <c r="AH3" i="17"/>
  <c r="AG3" i="17"/>
  <c r="Q3" i="17"/>
  <c r="P3" i="17"/>
  <c r="O3" i="17"/>
  <c r="AE3" i="17"/>
  <c r="AC3" i="17"/>
  <c r="AA3" i="17"/>
  <c r="X3" i="17"/>
  <c r="V3" i="17"/>
  <c r="T3" i="17"/>
  <c r="R3" i="17" l="1"/>
  <c r="AK3" i="17"/>
  <c r="AL3" i="17"/>
  <c r="N3" i="17" l="1"/>
  <c r="M3" i="17"/>
  <c r="L3" i="17"/>
  <c r="J3" i="17"/>
  <c r="K3" i="17"/>
  <c r="I3" i="17"/>
  <c r="FB6" i="16" l="1"/>
  <c r="FA6" i="16"/>
  <c r="EZ6" i="16"/>
  <c r="EY6" i="16"/>
  <c r="EX6" i="16"/>
  <c r="EW6" i="16"/>
  <c r="EV6" i="16"/>
  <c r="ER6" i="16"/>
  <c r="EQ6" i="16"/>
  <c r="EM6" i="16"/>
  <c r="EL6" i="16"/>
  <c r="EF6" i="16"/>
  <c r="EE6" i="16" s="1"/>
  <c r="EC6" i="16"/>
  <c r="DX6" i="16"/>
  <c r="DW6" i="16" s="1"/>
  <c r="DS6" i="16"/>
  <c r="DR6" i="16" s="1"/>
  <c r="DN6" i="16"/>
  <c r="DP6" i="16" s="1"/>
  <c r="DM6" i="16"/>
  <c r="EP6" i="16" l="1"/>
  <c r="EK6" i="16"/>
  <c r="EN6" i="16" s="1"/>
  <c r="FC6" i="16"/>
  <c r="EU6" i="16" s="1"/>
  <c r="DZ6" i="16"/>
  <c r="DU6" i="16"/>
  <c r="EH6" i="16"/>
  <c r="ED6" i="16"/>
  <c r="EB6" i="16"/>
  <c r="ES6" i="16" l="1"/>
  <c r="FD6" i="16"/>
  <c r="EI6" i="16"/>
  <c r="CR6" i="16" l="1"/>
  <c r="CQ6" i="16"/>
  <c r="CQ8" i="16" s="1"/>
  <c r="CP6" i="16"/>
  <c r="CP8" i="16" s="1"/>
  <c r="CN6" i="16"/>
  <c r="CM6" i="16"/>
  <c r="CM8" i="16" s="1"/>
  <c r="CI6" i="16"/>
  <c r="CG6" i="16"/>
  <c r="CE6" i="16"/>
  <c r="CC6" i="16"/>
  <c r="CA6" i="16"/>
  <c r="BY6" i="16"/>
  <c r="AD6" i="16"/>
  <c r="AE6" i="16"/>
  <c r="V8" i="16"/>
  <c r="R6" i="16"/>
  <c r="P8" i="16"/>
  <c r="O6" i="16"/>
  <c r="O8" i="16" s="1"/>
  <c r="N6" i="16"/>
  <c r="M6" i="16"/>
  <c r="L6" i="16"/>
  <c r="K6" i="16"/>
  <c r="K8" i="16" s="1"/>
  <c r="J6" i="16"/>
  <c r="I6" i="16"/>
  <c r="B6" i="16"/>
  <c r="EF8" i="16"/>
  <c r="FQ8" i="16"/>
  <c r="GK8" i="16"/>
  <c r="GJ8" i="16"/>
  <c r="GG8" i="16"/>
  <c r="GF8" i="16"/>
  <c r="GE8" i="16"/>
  <c r="GA8" i="16"/>
  <c r="FZ8" i="16"/>
  <c r="FY8" i="16"/>
  <c r="FU8" i="16"/>
  <c r="FT8" i="16"/>
  <c r="FP8" i="16"/>
  <c r="FO8" i="16"/>
  <c r="FN8" i="16"/>
  <c r="FM8" i="16"/>
  <c r="FL8" i="16"/>
  <c r="FI8" i="16"/>
  <c r="FH8" i="16"/>
  <c r="FG8" i="16"/>
  <c r="FF8" i="16"/>
  <c r="FB8" i="16"/>
  <c r="FA8" i="16"/>
  <c r="EZ8" i="16"/>
  <c r="EY8" i="16"/>
  <c r="EX8" i="16"/>
  <c r="EW8" i="16"/>
  <c r="EV8" i="16"/>
  <c r="ER8" i="16"/>
  <c r="EQ8" i="16"/>
  <c r="EM8" i="16"/>
  <c r="EL8" i="16"/>
  <c r="EG8" i="16"/>
  <c r="ED8" i="16"/>
  <c r="EC8" i="16"/>
  <c r="DY8" i="16"/>
  <c r="DX8" i="16"/>
  <c r="DT8" i="16"/>
  <c r="DS8" i="16"/>
  <c r="DO8" i="16"/>
  <c r="DN8" i="16"/>
  <c r="DM8" i="16"/>
  <c r="DB8" i="16"/>
  <c r="CO8" i="16"/>
  <c r="BW8" i="16"/>
  <c r="BU8" i="16"/>
  <c r="BT8" i="16"/>
  <c r="BS8" i="16"/>
  <c r="BP8" i="16"/>
  <c r="BO8" i="16"/>
  <c r="BN8" i="16"/>
  <c r="BK8" i="16"/>
  <c r="BJ8" i="16"/>
  <c r="BG8" i="16"/>
  <c r="BF8" i="16"/>
  <c r="BE8" i="16"/>
  <c r="BC8" i="16"/>
  <c r="BA8" i="16"/>
  <c r="G8" i="16"/>
  <c r="D8" i="16"/>
  <c r="BM8" i="16"/>
  <c r="AB6" i="16" l="1"/>
  <c r="AB8" i="16" s="1"/>
  <c r="AC8" i="16"/>
  <c r="S8" i="16"/>
  <c r="AD8" i="16"/>
  <c r="AF8" i="16"/>
  <c r="U8" i="16"/>
  <c r="EK8" i="16"/>
  <c r="DR8" i="16"/>
  <c r="AE8" i="16"/>
  <c r="R8" i="16"/>
  <c r="GD8" i="16"/>
  <c r="B8" i="16"/>
  <c r="FX8" i="16"/>
  <c r="BI8" i="16"/>
  <c r="DP8" i="16"/>
  <c r="FS8" i="16"/>
  <c r="BH8" i="16"/>
  <c r="E8" i="16"/>
  <c r="BR8" i="16"/>
  <c r="EB8" i="16"/>
  <c r="DW8" i="16"/>
  <c r="EP8" i="16"/>
  <c r="FC8" i="16"/>
  <c r="B99" i="11"/>
  <c r="AB99" i="11" l="1"/>
  <c r="Y112" i="11"/>
  <c r="W6" i="16"/>
  <c r="Z6" i="16"/>
  <c r="AG6" i="16"/>
  <c r="AH6" i="16" s="1"/>
  <c r="DV6" i="16"/>
  <c r="DV8" i="16" s="1"/>
  <c r="DQ6" i="16"/>
  <c r="DQ8" i="16" s="1"/>
  <c r="Q8" i="16"/>
  <c r="DU8" i="16"/>
  <c r="EU8" i="16"/>
  <c r="DZ8" i="16"/>
  <c r="FD8" i="16"/>
  <c r="EH8" i="16"/>
  <c r="BQ8" i="16"/>
  <c r="GB8" i="16"/>
  <c r="EN8" i="16"/>
  <c r="BV8" i="16"/>
  <c r="FV8" i="16"/>
  <c r="EE8" i="16"/>
  <c r="BL8" i="16"/>
  <c r="FW8" i="16"/>
  <c r="ES8" i="16"/>
  <c r="GH8" i="16"/>
  <c r="FR8" i="16"/>
  <c r="Y131" i="11" l="1"/>
  <c r="AA6" i="16"/>
  <c r="EA6" i="16" s="1"/>
  <c r="EA8" i="16" s="1"/>
  <c r="EJ6" i="16"/>
  <c r="EJ8" i="16" s="1"/>
  <c r="AU3" i="17"/>
  <c r="AH8" i="16"/>
  <c r="T8" i="16"/>
  <c r="AG8" i="16"/>
  <c r="GC8" i="16"/>
  <c r="EI8" i="16"/>
  <c r="GL8" i="16"/>
  <c r="BX8" i="16"/>
  <c r="GI8" i="16"/>
  <c r="AA8" i="16" l="1"/>
  <c r="GM8" i="16"/>
  <c r="F173" i="11"/>
  <c r="AR6" i="16" l="1"/>
  <c r="AR8" i="16" s="1"/>
  <c r="D90" i="11"/>
  <c r="AB54" i="11" l="1"/>
  <c r="Y88" i="11" l="1"/>
  <c r="AB255" i="11" l="1"/>
  <c r="AL6" i="16" l="1"/>
  <c r="AB42" i="11"/>
  <c r="AJ6" i="16" l="1"/>
  <c r="AJ8" i="16" s="1"/>
  <c r="AK6" i="16"/>
  <c r="AK8" i="16" s="1"/>
  <c r="EO6" i="16"/>
  <c r="EO8" i="16" s="1"/>
  <c r="AB189" i="11"/>
  <c r="AB186" i="11"/>
  <c r="AB188" i="11"/>
  <c r="AB187" i="11"/>
  <c r="AI6" i="16" l="1"/>
  <c r="AI8" i="16" s="1"/>
  <c r="AL8" i="16"/>
  <c r="B169" i="11"/>
  <c r="AB34" i="11" l="1"/>
  <c r="AB50" i="11" l="1"/>
  <c r="AB259" i="11" l="1"/>
  <c r="AB258" i="11"/>
  <c r="AB257" i="11"/>
  <c r="AB256" i="11"/>
  <c r="AC183" i="11" l="1"/>
  <c r="F185" i="11" s="1"/>
  <c r="AT6" i="16" l="1"/>
  <c r="AT8" i="16" s="1"/>
  <c r="D8" i="15"/>
  <c r="D7" i="15"/>
  <c r="AB44" i="11" l="1"/>
  <c r="AB43" i="11"/>
  <c r="AB40" i="11" l="1"/>
  <c r="AB222" i="11" l="1"/>
  <c r="AC216" i="11"/>
  <c r="AB211" i="11"/>
  <c r="AC209" i="11"/>
  <c r="F211" i="11" s="1"/>
  <c r="AB204" i="11"/>
  <c r="AC199" i="11"/>
  <c r="F201" i="11" s="1"/>
  <c r="AV6" i="16" s="1"/>
  <c r="AV8" i="16" s="1"/>
  <c r="AB194" i="11"/>
  <c r="AC191" i="11"/>
  <c r="F193" i="11" s="1"/>
  <c r="AB180" i="11"/>
  <c r="AB179" i="11"/>
  <c r="AC176" i="11"/>
  <c r="AB95" i="11"/>
  <c r="AB53" i="11"/>
  <c r="AB49" i="11"/>
  <c r="AB48" i="11"/>
  <c r="AB41" i="11"/>
  <c r="AB39" i="11"/>
  <c r="AB38" i="11"/>
  <c r="AB37" i="11"/>
  <c r="AB35" i="11"/>
  <c r="F178" i="11" l="1"/>
  <c r="AU6" i="16"/>
  <c r="AU8" i="16" s="1"/>
  <c r="F218" i="11"/>
  <c r="AB112" i="11"/>
  <c r="Y164" i="11" l="1"/>
  <c r="T230" i="11" s="1"/>
  <c r="H27" i="18" s="1"/>
  <c r="F224" i="11"/>
  <c r="AS6" i="16"/>
  <c r="AS8" i="16" s="1"/>
  <c r="AX6" i="16"/>
  <c r="AX8" i="16" s="1"/>
  <c r="AW6" i="16"/>
  <c r="AP6" i="16"/>
  <c r="ET6" i="16" s="1"/>
  <c r="AN6" i="16"/>
  <c r="AO6" i="16"/>
  <c r="AO8" i="16" s="1"/>
  <c r="K226" i="11" l="1"/>
  <c r="M23" i="12"/>
  <c r="AW8" i="16"/>
  <c r="AY6" i="16"/>
  <c r="AN8" i="16"/>
  <c r="AM6" i="16"/>
  <c r="AB226" i="11"/>
  <c r="M22" i="12" s="1"/>
  <c r="AZ6" i="16" l="1"/>
  <c r="AQ6" i="16"/>
  <c r="AQ8" i="16" s="1"/>
  <c r="AY8" i="16"/>
  <c r="AM8" i="16"/>
  <c r="FE6" i="16" l="1"/>
  <c r="FE8" i="16" s="1"/>
  <c r="AZ8" i="16"/>
  <c r="BD6" i="16"/>
  <c r="GR6" i="16" s="1"/>
  <c r="AP8" i="16"/>
  <c r="ET8" i="16"/>
  <c r="CL6" i="16" l="1"/>
  <c r="FJ6" i="16" s="1"/>
  <c r="BD8" i="16"/>
  <c r="GR8" i="16"/>
  <c r="GS6" i="16" l="1"/>
  <c r="GT6" i="16" s="1"/>
  <c r="FK6" i="16"/>
  <c r="CL8" i="16"/>
  <c r="FJ8" i="16" l="1"/>
  <c r="FK8" i="16"/>
  <c r="GT8" i="16" l="1"/>
  <c r="GS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U102" authorId="0" shapeId="0" xr:uid="{00000000-0006-0000-0000-000001000000}">
      <text>
        <r>
          <rPr>
            <b/>
            <sz val="9"/>
            <color indexed="81"/>
            <rFont val="ＭＳ Ｐゴシック"/>
            <family val="3"/>
            <charset val="128"/>
          </rPr>
          <t>併用住宅を選択すると、ここに入力欄が表示されます。</t>
        </r>
      </text>
    </comment>
    <comment ref="J255" authorId="0" shapeId="0" xr:uid="{00000000-0006-0000-0000-000002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<sst xmlns="http://schemas.openxmlformats.org/spreadsheetml/2006/main" count="762" uniqueCount="505">
  <si>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</si>
  <si>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</si>
  <si>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</si>
  <si>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</si>
  <si>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</si>
  <si>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</si>
  <si>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日</t>
    <rPh sb="0" eb="1">
      <t>ニチ</t>
    </rPh>
    <phoneticPr fontId="1"/>
  </si>
  <si>
    <t>年</t>
    <rPh sb="0" eb="1">
      <t>ネン</t>
    </rPh>
    <phoneticPr fontId="1"/>
  </si>
  <si>
    <t>電話</t>
    <rPh sb="0" eb="2">
      <t>デンワ</t>
    </rPh>
    <phoneticPr fontId="1"/>
  </si>
  <si>
    <t>〒</t>
    <phoneticPr fontId="1"/>
  </si>
  <si>
    <t>住所</t>
    <rPh sb="0" eb="2">
      <t>ジュウショ</t>
    </rPh>
    <phoneticPr fontId="1"/>
  </si>
  <si>
    <t>申請者</t>
    <rPh sb="0" eb="3">
      <t>シンセイシャ</t>
    </rPh>
    <phoneticPr fontId="1"/>
  </si>
  <si>
    <t>記</t>
    <rPh sb="0" eb="1">
      <t>キ</t>
    </rPh>
    <phoneticPr fontId="1"/>
  </si>
  <si>
    <t>補助事業等の名称</t>
    <rPh sb="0" eb="2">
      <t>ホジョ</t>
    </rPh>
    <rPh sb="2" eb="4">
      <t>ジギョウ</t>
    </rPh>
    <rPh sb="4" eb="5">
      <t>トウ</t>
    </rPh>
    <rPh sb="6" eb="8">
      <t>メイショウ</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</si>
  <si>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</si>
  <si>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</si>
  <si>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</si>
  <si>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交付申請額</t>
    <rPh sb="0" eb="2">
      <t>コウフ</t>
    </rPh>
    <rPh sb="2" eb="4">
      <t>シンセイ</t>
    </rPh>
    <rPh sb="4" eb="5">
      <t>ガク</t>
    </rPh>
    <phoneticPr fontId="1"/>
  </si>
  <si>
    <t>添付書類</t>
    <rPh sb="0" eb="2">
      <t>テンプ</t>
    </rPh>
    <rPh sb="2" eb="4">
      <t>ショルイ</t>
    </rPh>
    <phoneticPr fontId="1"/>
  </si>
  <si>
    <t>連絡先電話</t>
    <rPh sb="0" eb="3">
      <t>レンラクサキ</t>
    </rPh>
    <rPh sb="3" eb="5">
      <t>デンワ</t>
    </rPh>
    <phoneticPr fontId="1"/>
  </si>
  <si>
    <t>金</t>
    <rPh sb="0" eb="1">
      <t>キン</t>
    </rPh>
    <phoneticPr fontId="1"/>
  </si>
  <si>
    <t>共通事項</t>
    <rPh sb="0" eb="2">
      <t>キョウツウ</t>
    </rPh>
    <rPh sb="2" eb="4">
      <t>ジコウ</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</si>
  <si>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</si>
  <si>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</si>
  <si>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</si>
  <si>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</si>
  <si>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</si>
  <si>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</si>
  <si>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</si>
  <si>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</si>
  <si>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</si>
  <si>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</si>
  <si>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</si>
  <si>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</si>
  <si>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</si>
  <si>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</si>
  <si>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</si>
  <si>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</si>
  <si>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</si>
  <si>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</si>
  <si>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</si>
  <si>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</si>
  <si>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</si>
  <si>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</si>
  <si>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t>
    <phoneticPr fontId="1"/>
  </si>
  <si>
    <t>＜注意事項＞</t>
    <rPh sb="1" eb="3">
      <t>チュウイ</t>
    </rPh>
    <rPh sb="3" eb="5">
      <t>ジコウ</t>
    </rPh>
    <phoneticPr fontId="1"/>
  </si>
  <si>
    <t>・</t>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</si>
  <si>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</si>
  <si>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</si>
  <si>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</si>
  <si>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</si>
  <si>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</si>
  <si>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</si>
  <si>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</si>
  <si>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</si>
  <si>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次の①②のどちらかに該当すること。</t>
    <phoneticPr fontId="1"/>
  </si>
  <si>
    <t>万円</t>
    <rPh sb="0" eb="2">
      <t>マンエン</t>
    </rPh>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</si>
  <si>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</si>
  <si>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</si>
  <si>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</si>
  <si>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</si>
  <si>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</si>
  <si>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</si>
  <si>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</si>
  <si>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</si>
  <si>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</si>
  <si>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</si>
  <si>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</si>
  <si>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←金額はチェックシートに連動して表示します。</t>
    <rPh sb="1" eb="3">
      <t>キンガク</t>
    </rPh>
    <rPh sb="12" eb="14">
      <t>レンドウ</t>
    </rPh>
    <rPh sb="16" eb="18">
      <t>ヒョウジ</t>
    </rPh>
    <phoneticPr fontId="1"/>
  </si>
  <si>
    <t>←添付書類はチェックシートに連動して表示します。</t>
    <rPh sb="1" eb="3">
      <t>テンプ</t>
    </rPh>
    <rPh sb="3" eb="5">
      <t>ショルイ</t>
    </rPh>
    <rPh sb="14" eb="16">
      <t>レンドウ</t>
    </rPh>
    <rPh sb="18" eb="20">
      <t>ヒョウジ</t>
    </rPh>
    <phoneticPr fontId="1"/>
  </si>
  <si>
    <t>あなたが補助金交付申請で提出する書類は次のとおりです。</t>
    <rPh sb="4" eb="7">
      <t>ホジョキン</t>
    </rPh>
    <rPh sb="7" eb="9">
      <t>コウフ</t>
    </rPh>
    <rPh sb="9" eb="11">
      <t>シンセイ</t>
    </rPh>
    <rPh sb="12" eb="14">
      <t>テイシュツ</t>
    </rPh>
    <rPh sb="16" eb="18">
      <t>ショルイ</t>
    </rPh>
    <rPh sb="19" eb="20">
      <t>ツギ</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</si>
  <si>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</si>
  <si>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</si>
  <si>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</si>
  <si>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</si>
  <si>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</si>
  <si>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</si>
  <si>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</si>
  <si>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</si>
  <si>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</si>
  <si>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</si>
  <si>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</si>
  <si>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</si>
  <si>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</si>
  <si>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</si>
  <si>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台所：</t>
    <rPh sb="0" eb="2">
      <t>ダイドコロ</t>
    </rPh>
    <phoneticPr fontId="1"/>
  </si>
  <si>
    <t>万円</t>
    <rPh sb="0" eb="2">
      <t>マンエン</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</si>
  <si>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</si>
  <si>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</si>
  <si>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</si>
  <si>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</si>
  <si>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</si>
  <si>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</si>
  <si>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</si>
  <si>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</si>
  <si>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</si>
  <si>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</si>
  <si>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</si>
  <si>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</si>
  <si>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</si>
  <si>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</si>
  <si>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</si>
  <si>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</si>
  <si>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</si>
  <si>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</si>
  <si>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</si>
  <si>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</si>
  <si>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</si>
  <si>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</si>
  <si>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</si>
  <si>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</si>
  <si>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</si>
  <si>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</si>
  <si>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</si>
  <si>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</si>
  <si>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</si>
  <si>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</si>
  <si>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鳥取市</t>
    <rPh sb="0" eb="3">
      <t>トットリシ</t>
    </rPh>
    <phoneticPr fontId="1"/>
  </si>
  <si>
    <t>米子市</t>
    <rPh sb="0" eb="3">
      <t>ヨナゴシ</t>
    </rPh>
    <phoneticPr fontId="1"/>
  </si>
  <si>
    <t>倉吉市</t>
    <rPh sb="0" eb="3">
      <t>クラヨシシ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</si>
  <si>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</si>
  <si>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</si>
  <si>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</si>
  <si>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</si>
  <si>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</si>
  <si>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</si>
  <si>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</si>
  <si>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</si>
  <si>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</si>
  <si>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</si>
  <si>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</si>
  <si>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</si>
  <si>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</si>
  <si>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</si>
  <si>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</si>
  <si>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</si>
  <si>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</si>
  <si>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</si>
  <si>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</si>
  <si>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</si>
  <si>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</si>
  <si>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</si>
  <si>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</si>
  <si>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</si>
  <si>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</si>
  <si>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様式第１号（第５条関係）</t>
    <rPh sb="0" eb="2">
      <t>ヨウシキ</t>
    </rPh>
    <rPh sb="2" eb="3">
      <t>ダイ</t>
    </rPh>
    <rPh sb="4" eb="5">
      <t>ゴウ</t>
    </rPh>
    <rPh sb="6" eb="7">
      <t>ダイ</t>
    </rPh>
    <rPh sb="8" eb="9">
      <t>ジョウ</t>
    </rPh>
    <rPh sb="9" eb="11">
      <t>カンケイ</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</si>
  <si>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</si>
  <si>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</si>
  <si>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</si>
  <si>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m2</t>
  </si>
  <si>
    <t>県産材を１０m3以上使用すること。</t>
    <rPh sb="0" eb="2">
      <t>ケンサン</t>
    </rPh>
    <rPh sb="2" eb="3">
      <t>ザイ</t>
    </rPh>
    <rPh sb="8" eb="10">
      <t>イジョウ</t>
    </rPh>
    <rPh sb="10" eb="12">
      <t>シヨウ</t>
    </rPh>
    <phoneticPr fontId="1"/>
  </si>
  <si>
    <t>・県産材を10m3以上使用する場合、定額15万円が交付されます。</t>
    <rPh sb="1" eb="3">
      <t>ケンサン</t>
    </rPh>
    <rPh sb="3" eb="4">
      <t>ザイ</t>
    </rPh>
    <rPh sb="9" eb="11">
      <t>イジョウ</t>
    </rPh>
    <rPh sb="11" eb="13">
      <t>シヨウ</t>
    </rPh>
    <rPh sb="15" eb="17">
      <t>バアイ</t>
    </rPh>
    <rPh sb="18" eb="20">
      <t>テイガク</t>
    </rPh>
    <rPh sb="22" eb="24">
      <t>マンエン</t>
    </rPh>
    <rPh sb="25" eb="27">
      <t>コウフ</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</si>
  <si>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</si>
  <si>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</si>
  <si>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</si>
  <si>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</si>
  <si>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</si>
  <si>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</si>
  <si>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</si>
  <si>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</si>
  <si>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</si>
  <si>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</si>
  <si>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</si>
  <si>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</si>
  <si>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</si>
  <si>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</si>
  <si>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</si>
  <si>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</si>
  <si>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青色の欄の必要部分に入力してください。</t>
    <rPh sb="0" eb="2">
      <t>アオイロ</t>
    </rPh>
    <rPh sb="3" eb="4">
      <t>ラン</t>
    </rPh>
    <rPh sb="5" eb="7">
      <t>ヒツヨウ</t>
    </rPh>
    <rPh sb="7" eb="9">
      <t>ブブン</t>
    </rPh>
    <rPh sb="10" eb="12">
      <t>ニュウリョク</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</si>
  <si>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</si>
  <si>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</si>
  <si>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</si>
  <si>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</si>
  <si>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</si>
  <si>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</si>
  <si>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</si>
  <si>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</si>
  <si>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</si>
  <si>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</si>
  <si>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</si>
  <si>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</si>
  <si>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</si>
  <si>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</si>
  <si>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</si>
  <si>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</si>
  <si>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</si>
  <si>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</si>
  <si>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</si>
  <si>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</si>
  <si>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</si>
  <si>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</si>
  <si>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</si>
  <si>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</si>
  <si>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</si>
  <si>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</si>
  <si>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</si>
  <si>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r>
      <t>・補助対象住宅に転居後の世帯全員の住民票
　</t>
    </r>
    <r>
      <rPr>
        <sz val="9"/>
        <color rgb="FFFF0000"/>
        <rFont val="ＭＳ Ｐ明朝"/>
        <family val="1"/>
        <charset val="128"/>
      </rPr>
      <t>（続柄及び転居前の住所が記載されたもの）</t>
    </r>
    <rPh sb="1" eb="3">
      <t>ホジョ</t>
    </rPh>
    <rPh sb="3" eb="5">
      <t>タイショウ</t>
    </rPh>
    <rPh sb="5" eb="7">
      <t>ジュウタク</t>
    </rPh>
    <rPh sb="8" eb="11">
      <t>テンキョゴ</t>
    </rPh>
    <rPh sb="12" eb="14">
      <t>セタイ</t>
    </rPh>
    <rPh sb="14" eb="16">
      <t>ゼンイン</t>
    </rPh>
    <rPh sb="17" eb="20">
      <t>ジュウミンヒョウ</t>
    </rPh>
    <rPh sb="23" eb="25">
      <t>ツヅキガラ</t>
    </rPh>
    <rPh sb="25" eb="26">
      <t>オヨ</t>
    </rPh>
    <rPh sb="27" eb="30">
      <t>テンキョマエ</t>
    </rPh>
    <rPh sb="31" eb="33">
      <t>ジュウショ</t>
    </rPh>
    <rPh sb="34" eb="36">
      <t>キサイ</t>
    </rPh>
    <phoneticPr fontId="1"/>
  </si>
  <si>
    <t>＜実績報告時の提出書類＞瓦の留め付け状況がわかる写真（建築主名記載の工事看板入り）及び棟に使用された補強金物及び屋根下地への緊結状況がわかる写真（建築主名記載の工事看板入り）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シタ</t>
    </rPh>
    <rPh sb="59" eb="60">
      <t>チ</t>
    </rPh>
    <rPh sb="62" eb="64">
      <t>キンケツ</t>
    </rPh>
    <rPh sb="64" eb="66">
      <t>ジョウキョウ</t>
    </rPh>
    <rPh sb="70" eb="72">
      <t>シャシン</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</si>
  <si>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</si>
  <si>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</si>
  <si>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</si>
  <si>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</si>
  <si>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② 婚姻後10年以内の夫婦を含む世帯</t>
    <rPh sb="2" eb="4">
      <t>コンイン</t>
    </rPh>
    <rPh sb="4" eb="5">
      <t>ゴ</t>
    </rPh>
    <rPh sb="7" eb="8">
      <t>ネン</t>
    </rPh>
    <rPh sb="8" eb="10">
      <t>イナイ</t>
    </rPh>
    <rPh sb="11" eb="13">
      <t>フウフ</t>
    </rPh>
    <rPh sb="14" eb="15">
      <t>フク</t>
    </rPh>
    <rPh sb="16" eb="18">
      <t>セタイ</t>
    </rPh>
    <phoneticPr fontId="1"/>
  </si>
  <si>
    <t>各階平面図、配置図</t>
    <phoneticPr fontId="1"/>
  </si>
  <si>
    <t>同居、近居対象の
直系尊属の世帯</t>
    <rPh sb="0" eb="2">
      <t>ドウキョ</t>
    </rPh>
    <rPh sb="3" eb="5">
      <t>キンキョ</t>
    </rPh>
    <rPh sb="5" eb="7">
      <t>タイショウ</t>
    </rPh>
    <rPh sb="9" eb="11">
      <t>チョッケイ</t>
    </rPh>
    <rPh sb="11" eb="13">
      <t>ソンゾク</t>
    </rPh>
    <rPh sb="14" eb="16">
      <t>セタイ</t>
    </rPh>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</si>
  <si>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</si>
  <si>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・申請者の戸籍抄本又は戸籍謄本</t>
    <rPh sb="1" eb="4">
      <t>シンセイシャ</t>
    </rPh>
    <rPh sb="5" eb="7">
      <t>コセキ</t>
    </rPh>
    <rPh sb="7" eb="9">
      <t>ショウホン</t>
    </rPh>
    <rPh sb="9" eb="10">
      <t>マタ</t>
    </rPh>
    <rPh sb="11" eb="13">
      <t>コセキ</t>
    </rPh>
    <rPh sb="13" eb="15">
      <t>トウホン</t>
    </rPh>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</si>
  <si>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</si>
  <si>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</si>
  <si>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</si>
  <si>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</si>
  <si>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</si>
  <si>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</si>
  <si>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</si>
  <si>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</si>
  <si>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月</t>
    <rPh sb="0" eb="1">
      <t>ガツ</t>
    </rPh>
    <phoneticPr fontId="1"/>
  </si>
  <si>
    <t>令和</t>
    <rPh sb="0" eb="2">
      <t>レイワ</t>
    </rPh>
    <phoneticPr fontId="1"/>
  </si>
  <si>
    <t>←日付はチェックシートから引用します</t>
    <rPh sb="1" eb="3">
      <t>ヒヅケ</t>
    </rPh>
    <rPh sb="13" eb="15">
      <t>インヨウ</t>
    </rPh>
    <phoneticPr fontId="1"/>
  </si>
  <si>
    <t>補助金の名称</t>
    <rPh sb="0" eb="3">
      <t>ホジョキン</t>
    </rPh>
    <rPh sb="4" eb="6">
      <t>メイショウ</t>
    </rPh>
    <phoneticPr fontId="1"/>
  </si>
  <si>
    <t>性能区分</t>
    <rPh sb="0" eb="2">
      <t>セイノウ</t>
    </rPh>
    <rPh sb="2" eb="4">
      <t>クブン</t>
    </rPh>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</si>
  <si>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</si>
  <si>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当該住宅は【ZEH】である。</t>
    <rPh sb="0" eb="4">
      <t>トウガイジュウタク</t>
    </rPh>
    <phoneticPr fontId="1"/>
  </si>
  <si>
    <t>設備</t>
    <rPh sb="0" eb="2">
      <t>セツビ</t>
    </rPh>
    <phoneticPr fontId="1"/>
  </si>
  <si>
    <t>区分</t>
    <rPh sb="0" eb="2">
      <t>クブン</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</si>
  <si>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</si>
  <si>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</si>
  <si>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t>とっとり未来型省エネ住宅特別促進事業補助金</t>
    <rPh sb="4" eb="7">
      <t>ミライガタ</t>
    </rPh>
    <rPh sb="7" eb="8">
      <t>ショウ</t>
    </rPh>
    <rPh sb="10" eb="12">
      <t>ジュウタク</t>
    </rPh>
    <rPh sb="12" eb="16">
      <t>トクベツソクシン</t>
    </rPh>
    <rPh sb="18" eb="21">
      <t>ホジョキン</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</si>
  <si>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</si>
  <si>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</si>
  <si>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</si>
  <si>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万円</t>
    <rPh sb="0" eb="2">
      <t>マンエン</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</si>
  <si>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</si>
  <si>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</si>
  <si>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</si>
  <si>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1"/>
  </si>
  <si>
    <t>通し番号</t>
    <rPh sb="0" eb="1">
      <t>トオ</t>
    </rPh>
    <rPh sb="2" eb="4">
      <t>バンゴウ</t>
    </rPh>
    <phoneticPr fontId="16"/>
  </si>
  <si>
    <t>区分</t>
    <rPh sb="0" eb="2">
      <t>クブン</t>
    </rPh>
    <phoneticPr fontId="16"/>
  </si>
  <si>
    <t>債務負担行為</t>
    <rPh sb="0" eb="2">
      <t>サイム</t>
    </rPh>
    <rPh sb="2" eb="4">
      <t>フタン</t>
    </rPh>
    <rPh sb="4" eb="6">
      <t>コウイ</t>
    </rPh>
    <phoneticPr fontId="31"/>
  </si>
  <si>
    <t>電子申請利用
（交付申請）</t>
    <rPh sb="0" eb="4">
      <t>デンシシンセイ</t>
    </rPh>
    <rPh sb="4" eb="6">
      <t>リヨウ</t>
    </rPh>
    <rPh sb="8" eb="12">
      <t>コウフシンセイ</t>
    </rPh>
    <phoneticPr fontId="1"/>
  </si>
  <si>
    <t>交付申請日
（登録の場合は、登録申請日）</t>
    <phoneticPr fontId="1"/>
  </si>
  <si>
    <t>申請者</t>
    <rPh sb="0" eb="3">
      <t>シンセイシャ</t>
    </rPh>
    <phoneticPr fontId="16"/>
  </si>
  <si>
    <t>建設地</t>
    <rPh sb="0" eb="3">
      <t>ケンセツチ</t>
    </rPh>
    <phoneticPr fontId="16"/>
  </si>
  <si>
    <t>新築助成（予定）</t>
    <rPh sb="0" eb="2">
      <t>シンチク</t>
    </rPh>
    <rPh sb="2" eb="4">
      <t>ジョセイ</t>
    </rPh>
    <rPh sb="5" eb="7">
      <t>ヨテイ</t>
    </rPh>
    <phoneticPr fontId="16"/>
  </si>
  <si>
    <t>交付決定額
（新築）</t>
    <rPh sb="0" eb="2">
      <t>コウフ</t>
    </rPh>
    <rPh sb="2" eb="4">
      <t>ケッテイ</t>
    </rPh>
    <rPh sb="4" eb="5">
      <t>ガク</t>
    </rPh>
    <rPh sb="7" eb="9">
      <t>シンチク</t>
    </rPh>
    <phoneticPr fontId="31"/>
  </si>
  <si>
    <t>改修助成（予定）</t>
    <rPh sb="0" eb="2">
      <t>カイシュウ</t>
    </rPh>
    <rPh sb="2" eb="4">
      <t>ジョセイ</t>
    </rPh>
    <rPh sb="5" eb="7">
      <t>ヨテイ</t>
    </rPh>
    <phoneticPr fontId="31"/>
  </si>
  <si>
    <t>予定工期</t>
    <rPh sb="0" eb="2">
      <t>ヨテイ</t>
    </rPh>
    <rPh sb="2" eb="4">
      <t>コウキ</t>
    </rPh>
    <phoneticPr fontId="16"/>
  </si>
  <si>
    <t>交付（登録）決定</t>
    <rPh sb="0" eb="2">
      <t>コウフ</t>
    </rPh>
    <rPh sb="3" eb="5">
      <t>トウロク</t>
    </rPh>
    <rPh sb="6" eb="8">
      <t>ケッテイ</t>
    </rPh>
    <phoneticPr fontId="16"/>
  </si>
  <si>
    <t>業者名</t>
    <rPh sb="0" eb="2">
      <t>ギョウシャ</t>
    </rPh>
    <rPh sb="2" eb="3">
      <t>メイ</t>
    </rPh>
    <phoneticPr fontId="16"/>
  </si>
  <si>
    <t>プレカット事業者名</t>
    <rPh sb="5" eb="8">
      <t>ジギョウシャ</t>
    </rPh>
    <rPh sb="8" eb="9">
      <t>メイ</t>
    </rPh>
    <phoneticPr fontId="1"/>
  </si>
  <si>
    <t>延面積</t>
    <rPh sb="0" eb="1">
      <t>ノ</t>
    </rPh>
    <rPh sb="1" eb="3">
      <t>メンセキ</t>
    </rPh>
    <phoneticPr fontId="31"/>
  </si>
  <si>
    <t>工事費</t>
    <rPh sb="0" eb="3">
      <t>コウジヒ</t>
    </rPh>
    <phoneticPr fontId="31"/>
  </si>
  <si>
    <t>建築確認</t>
    <rPh sb="0" eb="2">
      <t>ケンチク</t>
    </rPh>
    <rPh sb="2" eb="4">
      <t>カクニン</t>
    </rPh>
    <phoneticPr fontId="31"/>
  </si>
  <si>
    <t>変更承認</t>
    <rPh sb="0" eb="2">
      <t>ヘンコウ</t>
    </rPh>
    <rPh sb="2" eb="4">
      <t>ショウニン</t>
    </rPh>
    <phoneticPr fontId="31"/>
  </si>
  <si>
    <t>フラット35子育て支援型利用</t>
    <rPh sb="6" eb="8">
      <t>コソダ</t>
    </rPh>
    <rPh sb="9" eb="12">
      <t>シエンガタ</t>
    </rPh>
    <rPh sb="12" eb="14">
      <t>リヨウ</t>
    </rPh>
    <phoneticPr fontId="31"/>
  </si>
  <si>
    <t>新築助成（実績）</t>
    <rPh sb="0" eb="2">
      <t>シンチク</t>
    </rPh>
    <rPh sb="2" eb="4">
      <t>ジョセイ</t>
    </rPh>
    <rPh sb="5" eb="7">
      <t>ジッセキ</t>
    </rPh>
    <phoneticPr fontId="16"/>
  </si>
  <si>
    <t>改修助成（実績）</t>
    <rPh sb="0" eb="2">
      <t>カイシュウ</t>
    </rPh>
    <rPh sb="2" eb="4">
      <t>ジョセイ</t>
    </rPh>
    <rPh sb="5" eb="7">
      <t>ジッセキ</t>
    </rPh>
    <phoneticPr fontId="31"/>
  </si>
  <si>
    <t>額の確定</t>
    <rPh sb="0" eb="1">
      <t>ガク</t>
    </rPh>
    <rPh sb="2" eb="4">
      <t>カクテイ</t>
    </rPh>
    <phoneticPr fontId="31"/>
  </si>
  <si>
    <t>氏名</t>
    <rPh sb="0" eb="2">
      <t>シメイ</t>
    </rPh>
    <phoneticPr fontId="16"/>
  </si>
  <si>
    <t>郵便番号</t>
    <rPh sb="0" eb="4">
      <t>ユウビンバンゴウ</t>
    </rPh>
    <phoneticPr fontId="31"/>
  </si>
  <si>
    <t>住所</t>
    <rPh sb="0" eb="2">
      <t>ジュウショ</t>
    </rPh>
    <phoneticPr fontId="31"/>
  </si>
  <si>
    <t>電話</t>
    <rPh sb="0" eb="2">
      <t>デンワ</t>
    </rPh>
    <phoneticPr fontId="16"/>
  </si>
  <si>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</si>
  <si>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16"/>
  </si>
  <si>
    <t>機械等級区分構造材</t>
    <rPh sb="0" eb="2">
      <t>キカイ</t>
    </rPh>
    <rPh sb="2" eb="4">
      <t>トウキュウ</t>
    </rPh>
    <rPh sb="4" eb="6">
      <t>クブン</t>
    </rPh>
    <rPh sb="6" eb="9">
      <t>コウゾウザイ</t>
    </rPh>
    <phoneticPr fontId="16"/>
  </si>
  <si>
    <t>県産内外装材</t>
    <rPh sb="0" eb="2">
      <t>ケンサン</t>
    </rPh>
    <rPh sb="2" eb="5">
      <t>ナイガイソウ</t>
    </rPh>
    <rPh sb="5" eb="6">
      <t>ザイ</t>
    </rPh>
    <phoneticPr fontId="16"/>
  </si>
  <si>
    <t>県産ＣＬＴ材</t>
    <rPh sb="0" eb="2">
      <t>ケンサン</t>
    </rPh>
    <rPh sb="5" eb="6">
      <t>ザイ</t>
    </rPh>
    <phoneticPr fontId="16"/>
  </si>
  <si>
    <t>子育て世帯等</t>
    <rPh sb="0" eb="2">
      <t>コソダ</t>
    </rPh>
    <rPh sb="3" eb="5">
      <t>セタイ</t>
    </rPh>
    <rPh sb="5" eb="6">
      <t>トウ</t>
    </rPh>
    <phoneticPr fontId="31"/>
  </si>
  <si>
    <t>三世代同居等</t>
    <rPh sb="0" eb="1">
      <t>サン</t>
    </rPh>
    <rPh sb="1" eb="3">
      <t>セダイ</t>
    </rPh>
    <rPh sb="3" eb="5">
      <t>ドウキョ</t>
    </rPh>
    <rPh sb="5" eb="6">
      <t>トウ</t>
    </rPh>
    <phoneticPr fontId="31"/>
  </si>
  <si>
    <t>伝統技能活用（４ポイント以上該当）</t>
    <rPh sb="0" eb="2">
      <t>デントウ</t>
    </rPh>
    <rPh sb="2" eb="4">
      <t>ギノウ</t>
    </rPh>
    <rPh sb="4" eb="6">
      <t>カツヨウ</t>
    </rPh>
    <rPh sb="12" eb="14">
      <t>イジョウ</t>
    </rPh>
    <rPh sb="14" eb="16">
      <t>ガイトウ</t>
    </rPh>
    <phoneticPr fontId="16"/>
  </si>
  <si>
    <t>県産材</t>
    <rPh sb="0" eb="3">
      <t>ケンサンザイ</t>
    </rPh>
    <phoneticPr fontId="31"/>
  </si>
  <si>
    <t>伝統</t>
    <rPh sb="0" eb="2">
      <t>デントウ</t>
    </rPh>
    <phoneticPr fontId="1"/>
  </si>
  <si>
    <t>交付決定額
（改修）</t>
    <rPh sb="0" eb="2">
      <t>コウフ</t>
    </rPh>
    <rPh sb="2" eb="4">
      <t>ケッテイ</t>
    </rPh>
    <rPh sb="4" eb="5">
      <t>ガク</t>
    </rPh>
    <rPh sb="7" eb="9">
      <t>カイシュウ</t>
    </rPh>
    <phoneticPr fontId="31"/>
  </si>
  <si>
    <t>県産規格材</t>
    <rPh sb="0" eb="2">
      <t>ケンサン</t>
    </rPh>
    <rPh sb="2" eb="4">
      <t>キカク</t>
    </rPh>
    <rPh sb="4" eb="5">
      <t>ザイ</t>
    </rPh>
    <phoneticPr fontId="16"/>
  </si>
  <si>
    <t>確定額
(千円)</t>
    <rPh sb="0" eb="2">
      <t>カクテイ</t>
    </rPh>
    <rPh sb="2" eb="3">
      <t>ガク</t>
    </rPh>
    <rPh sb="3" eb="4">
      <t>キンガク</t>
    </rPh>
    <rPh sb="5" eb="7">
      <t>センエン</t>
    </rPh>
    <phoneticPr fontId="31"/>
  </si>
  <si>
    <t>実績減</t>
    <rPh sb="0" eb="2">
      <t>ジッセキ</t>
    </rPh>
    <rPh sb="2" eb="3">
      <t>ゲン</t>
    </rPh>
    <phoneticPr fontId="1"/>
  </si>
  <si>
    <t>交付確定額
（改修）</t>
    <rPh sb="0" eb="2">
      <t>コウフ</t>
    </rPh>
    <rPh sb="2" eb="4">
      <t>カクテイ</t>
    </rPh>
    <rPh sb="4" eb="5">
      <t>ガク</t>
    </rPh>
    <rPh sb="7" eb="9">
      <t>カイシュウ</t>
    </rPh>
    <phoneticPr fontId="31"/>
  </si>
  <si>
    <t>自動表示</t>
    <rPh sb="0" eb="2">
      <t>ジドウ</t>
    </rPh>
    <rPh sb="2" eb="4">
      <t>ヒョウジ</t>
    </rPh>
    <phoneticPr fontId="1"/>
  </si>
  <si>
    <t>自動表示</t>
    <rPh sb="0" eb="2">
      <t>ジドウ</t>
    </rPh>
    <rPh sb="2" eb="4">
      <t>ヒョウジ</t>
    </rPh>
    <phoneticPr fontId="16"/>
  </si>
  <si>
    <t>支払済取下取消判定</t>
    <rPh sb="0" eb="2">
      <t>シハライ</t>
    </rPh>
    <rPh sb="2" eb="3">
      <t>ズ</t>
    </rPh>
    <rPh sb="3" eb="4">
      <t>ト</t>
    </rPh>
    <rPh sb="4" eb="5">
      <t>サ</t>
    </rPh>
    <rPh sb="5" eb="6">
      <t>ト</t>
    </rPh>
    <rPh sb="6" eb="7">
      <t>ケ</t>
    </rPh>
    <rPh sb="7" eb="9">
      <t>ハンテイ</t>
    </rPh>
    <phoneticPr fontId="1"/>
  </si>
  <si>
    <t>選択式</t>
    <rPh sb="0" eb="2">
      <t>センタク</t>
    </rPh>
    <rPh sb="2" eb="3">
      <t>シキ</t>
    </rPh>
    <phoneticPr fontId="1"/>
  </si>
  <si>
    <t>建売住宅の申請判定</t>
    <rPh sb="0" eb="2">
      <t>タテウリ</t>
    </rPh>
    <rPh sb="2" eb="4">
      <t>ジュウタク</t>
    </rPh>
    <rPh sb="5" eb="7">
      <t>シンセイ</t>
    </rPh>
    <rPh sb="7" eb="9">
      <t>ハンテイ</t>
    </rPh>
    <phoneticPr fontId="1"/>
  </si>
  <si>
    <t>大字名、丁目、地番等</t>
    <rPh sb="4" eb="6">
      <t>チョウメ</t>
    </rPh>
    <rPh sb="7" eb="9">
      <t>チバン</t>
    </rPh>
    <rPh sb="9" eb="10">
      <t>トウ</t>
    </rPh>
    <phoneticPr fontId="31"/>
  </si>
  <si>
    <r>
      <t xml:space="preserve">実木材
使用量
</t>
    </r>
    <r>
      <rPr>
        <sz val="10"/>
        <color indexed="10"/>
        <rFont val="ＭＳ Ｐゴシック"/>
        <family val="3"/>
        <charset val="128"/>
      </rPr>
      <t>(m3)</t>
    </r>
    <rPh sb="0" eb="1">
      <t>ジツ</t>
    </rPh>
    <rPh sb="1" eb="3">
      <t>モクザイ</t>
    </rPh>
    <rPh sb="4" eb="7">
      <t>シヨウリョウ</t>
    </rPh>
    <phoneticPr fontId="31"/>
  </si>
  <si>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1"/>
  </si>
  <si>
    <t>補助金額
(千円)</t>
    <rPh sb="0" eb="3">
      <t>ホジョキン</t>
    </rPh>
    <rPh sb="3" eb="4">
      <t>ガク</t>
    </rPh>
    <rPh sb="6" eb="8">
      <t>センエン</t>
    </rPh>
    <phoneticPr fontId="31"/>
  </si>
  <si>
    <t xml:space="preserve">有
</t>
    <rPh sb="0" eb="1">
      <t>ア</t>
    </rPh>
    <phoneticPr fontId="31"/>
  </si>
  <si>
    <t>内外装材使用量
(m3)</t>
    <rPh sb="0" eb="3">
      <t>ナイガイソウ</t>
    </rPh>
    <rPh sb="3" eb="4">
      <t>ザイ</t>
    </rPh>
    <rPh sb="4" eb="7">
      <t>シヨウリョウ</t>
    </rPh>
    <phoneticPr fontId="31"/>
  </si>
  <si>
    <t>算出値
(千円)</t>
    <rPh sb="0" eb="2">
      <t>サンシュツ</t>
    </rPh>
    <rPh sb="2" eb="3">
      <t>チ</t>
    </rPh>
    <rPh sb="5" eb="7">
      <t>センエン</t>
    </rPh>
    <phoneticPr fontId="31"/>
  </si>
  <si>
    <t>CLT使用量
(m3)</t>
    <rPh sb="3" eb="6">
      <t>シヨウリョウ</t>
    </rPh>
    <phoneticPr fontId="31"/>
  </si>
  <si>
    <t>補助金額</t>
    <rPh sb="0" eb="3">
      <t>ホジョキン</t>
    </rPh>
    <rPh sb="3" eb="4">
      <t>ガク</t>
    </rPh>
    <phoneticPr fontId="1"/>
  </si>
  <si>
    <r>
      <t>18歳以下</t>
    </r>
    <r>
      <rPr>
        <sz val="10"/>
        <color rgb="FFFF0000"/>
        <rFont val="ＭＳ Ｐゴシック"/>
        <family val="3"/>
        <charset val="128"/>
        <scheme val="minor"/>
      </rPr>
      <t>（選択式）</t>
    </r>
    <rPh sb="2" eb="3">
      <t>サイ</t>
    </rPh>
    <rPh sb="3" eb="5">
      <t>イカ</t>
    </rPh>
    <phoneticPr fontId="31"/>
  </si>
  <si>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1"/>
  </si>
  <si>
    <t xml:space="preserve">有
</t>
    <rPh sb="0" eb="1">
      <t>ア</t>
    </rPh>
    <phoneticPr fontId="31"/>
  </si>
  <si>
    <t>ポイント数</t>
    <rPh sb="4" eb="5">
      <t>スウ</t>
    </rPh>
    <phoneticPr fontId="31"/>
  </si>
  <si>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</si>
  <si>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</si>
  <si>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</si>
  <si>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1"/>
  </si>
  <si>
    <t>内外装使用面積m2</t>
    <rPh sb="0" eb="3">
      <t>ナイガイソウ</t>
    </rPh>
    <rPh sb="3" eb="5">
      <t>シヨウ</t>
    </rPh>
    <rPh sb="5" eb="7">
      <t>メンセキ</t>
    </rPh>
    <phoneticPr fontId="31"/>
  </si>
  <si>
    <t>補助金額
（千円）</t>
    <rPh sb="0" eb="2">
      <t>ホジョ</t>
    </rPh>
    <rPh sb="2" eb="4">
      <t>キンガク</t>
    </rPh>
    <rPh sb="6" eb="8">
      <t>センエン</t>
    </rPh>
    <phoneticPr fontId="31"/>
  </si>
  <si>
    <r>
      <t>近居（子育て世帯）</t>
    </r>
    <r>
      <rPr>
        <sz val="10"/>
        <color rgb="FFFF0000"/>
        <rFont val="ＭＳ Ｐゴシック"/>
        <family val="3"/>
        <charset val="128"/>
        <scheme val="minor"/>
      </rPr>
      <t>（選択式）</t>
    </r>
    <rPh sb="0" eb="2">
      <t>キンキョ</t>
    </rPh>
    <phoneticPr fontId="31"/>
  </si>
  <si>
    <r>
      <t>同居（子育て世帯）</t>
    </r>
    <r>
      <rPr>
        <sz val="10"/>
        <color rgb="FFFF0000"/>
        <rFont val="ＭＳ Ｐゴシック"/>
        <family val="3"/>
        <charset val="128"/>
        <scheme val="minor"/>
      </rPr>
      <t>（選択式）</t>
    </r>
    <rPh sb="0" eb="2">
      <t>ドウキョ</t>
    </rPh>
    <rPh sb="3" eb="5">
      <t>コソダ</t>
    </rPh>
    <rPh sb="6" eb="8">
      <t>セタイ</t>
    </rPh>
    <phoneticPr fontId="31"/>
  </si>
  <si>
    <r>
      <t>同居（親世帯）</t>
    </r>
    <r>
      <rPr>
        <sz val="10"/>
        <color rgb="FFFF0000"/>
        <rFont val="ＭＳ Ｐゴシック"/>
        <family val="3"/>
        <charset val="128"/>
        <scheme val="minor"/>
      </rPr>
      <t>（選択式）</t>
    </r>
    <rPh sb="0" eb="2">
      <t>ドウキョ</t>
    </rPh>
    <rPh sb="3" eb="4">
      <t>オヤ</t>
    </rPh>
    <rPh sb="4" eb="6">
      <t>セタイ</t>
    </rPh>
    <phoneticPr fontId="31"/>
  </si>
  <si>
    <t>大工
面積</t>
    <rPh sb="0" eb="2">
      <t>ダイク</t>
    </rPh>
    <rPh sb="3" eb="5">
      <t>メンセキ</t>
    </rPh>
    <phoneticPr fontId="31"/>
  </si>
  <si>
    <t>左官
面積</t>
    <rPh sb="0" eb="2">
      <t>サカン</t>
    </rPh>
    <rPh sb="3" eb="5">
      <t>メンセキ</t>
    </rPh>
    <phoneticPr fontId="31"/>
  </si>
  <si>
    <t>建具
面積</t>
    <rPh sb="0" eb="2">
      <t>タテグ</t>
    </rPh>
    <rPh sb="3" eb="5">
      <t>メンセキ</t>
    </rPh>
    <phoneticPr fontId="31"/>
  </si>
  <si>
    <t>補助金額計
（千円）</t>
    <rPh sb="0" eb="2">
      <t>ホジョ</t>
    </rPh>
    <rPh sb="2" eb="4">
      <t>キンガク</t>
    </rPh>
    <rPh sb="4" eb="5">
      <t>ケイ</t>
    </rPh>
    <rPh sb="7" eb="9">
      <t>センエン</t>
    </rPh>
    <phoneticPr fontId="31"/>
  </si>
  <si>
    <t>(千円）</t>
    <rPh sb="1" eb="3">
      <t>センエン</t>
    </rPh>
    <phoneticPr fontId="16"/>
  </si>
  <si>
    <t>着工</t>
    <rPh sb="0" eb="2">
      <t>チャッコウ</t>
    </rPh>
    <phoneticPr fontId="16"/>
  </si>
  <si>
    <t>完成</t>
    <rPh sb="0" eb="2">
      <t>カンセイ</t>
    </rPh>
    <phoneticPr fontId="16"/>
  </si>
  <si>
    <t>日付</t>
    <rPh sb="0" eb="2">
      <t>ヒヅケ</t>
    </rPh>
    <phoneticPr fontId="16"/>
  </si>
  <si>
    <t>金額</t>
    <rPh sb="0" eb="2">
      <t>キンガク</t>
    </rPh>
    <phoneticPr fontId="16"/>
  </si>
  <si>
    <t>社名等</t>
    <rPh sb="0" eb="2">
      <t>シャメイ</t>
    </rPh>
    <rPh sb="2" eb="3">
      <t>トウ</t>
    </rPh>
    <phoneticPr fontId="31"/>
  </si>
  <si>
    <t>所在地</t>
    <rPh sb="0" eb="3">
      <t>ショザイチ</t>
    </rPh>
    <phoneticPr fontId="31"/>
  </si>
  <si>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</si>
  <si>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</si>
  <si>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1"/>
  </si>
  <si>
    <r>
      <t xml:space="preserve">要・不要
</t>
    </r>
    <r>
      <rPr>
        <sz val="10"/>
        <color rgb="FFFF0000"/>
        <rFont val="ＭＳ Ｐゴシック"/>
        <family val="3"/>
        <charset val="128"/>
        <scheme val="minor"/>
      </rPr>
      <t>（選択式）</t>
    </r>
    <rPh sb="0" eb="1">
      <t>ヨウ</t>
    </rPh>
    <rPh sb="2" eb="4">
      <t>フヨウ</t>
    </rPh>
    <phoneticPr fontId="31"/>
  </si>
  <si>
    <t>承認日</t>
    <rPh sb="0" eb="2">
      <t>ショウニン</t>
    </rPh>
    <phoneticPr fontId="31"/>
  </si>
  <si>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</si>
  <si>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</si>
  <si>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</si>
  <si>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</si>
  <si>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</si>
  <si>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</si>
  <si>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交付主体</t>
    <phoneticPr fontId="1"/>
  </si>
  <si>
    <t>補助金名</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</si>
  <si>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</si>
  <si>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1"/>
  </si>
  <si>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</si>
  <si>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</si>
  <si>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機械等級区分を行った事業者名</t>
    <rPh sb="0" eb="2">
      <t>キカイ</t>
    </rPh>
    <rPh sb="2" eb="4">
      <t>トウキュウ</t>
    </rPh>
    <rPh sb="4" eb="6">
      <t>クブン</t>
    </rPh>
    <rPh sb="7" eb="8">
      <t>オコナ</t>
    </rPh>
    <rPh sb="10" eb="13">
      <t>ジギョウシャ</t>
    </rPh>
    <rPh sb="13" eb="14">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</si>
  <si>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</si>
  <si>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</si>
  <si>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</si>
  <si>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</si>
  <si>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1"/>
  </si>
  <si>
    <t>婚姻後10年以内</t>
    <rPh sb="0" eb="3">
      <t>コンインゴ</t>
    </rPh>
    <rPh sb="5" eb="6">
      <t>ネン</t>
    </rPh>
    <rPh sb="6" eb="8">
      <t>イナイ</t>
    </rPh>
    <phoneticPr fontId="31"/>
  </si>
  <si>
    <t>有
有なら1を選択</t>
    <rPh sb="0" eb="1">
      <t>ア</t>
    </rPh>
    <rPh sb="3" eb="4">
      <t>ア</t>
    </rPh>
    <rPh sb="8" eb="10">
      <t>センタク</t>
    </rPh>
    <phoneticPr fontId="31"/>
  </si>
  <si>
    <t>近居（子育て世帯）</t>
    <rPh sb="0" eb="2">
      <t>キンキョ</t>
    </rPh>
    <phoneticPr fontId="31"/>
  </si>
  <si>
    <t>同居（子育て世帯）</t>
    <rPh sb="0" eb="2">
      <t>ドウキョ</t>
    </rPh>
    <rPh sb="3" eb="5">
      <t>コソダ</t>
    </rPh>
    <rPh sb="6" eb="8">
      <t>セタイ</t>
    </rPh>
    <phoneticPr fontId="31"/>
  </si>
  <si>
    <t>同居（親世帯）</t>
    <rPh sb="0" eb="2">
      <t>ドウキョ</t>
    </rPh>
    <rPh sb="3" eb="4">
      <t>オヤ</t>
    </rPh>
    <rPh sb="4" eb="6">
      <t>セタイ</t>
    </rPh>
    <phoneticPr fontId="31"/>
  </si>
  <si>
    <t>(区分）
実績・取消・取下</t>
    <rPh sb="1" eb="3">
      <t>クブン</t>
    </rPh>
    <rPh sb="5" eb="7">
      <t>ジッセキ</t>
    </rPh>
    <rPh sb="8" eb="10">
      <t>トリケシ</t>
    </rPh>
    <rPh sb="11" eb="13">
      <t>トリサ</t>
    </rPh>
    <phoneticPr fontId="31"/>
  </si>
  <si>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1"/>
  </si>
  <si>
    <t>額の
確定日</t>
    <rPh sb="0" eb="1">
      <t>ガク</t>
    </rPh>
    <rPh sb="3" eb="5">
      <t>カクテイ</t>
    </rPh>
    <rPh sb="5" eb="6">
      <t>ビ</t>
    </rPh>
    <phoneticPr fontId="16"/>
  </si>
  <si>
    <t>支払日</t>
    <rPh sb="0" eb="3">
      <t>シハライビ</t>
    </rPh>
    <phoneticPr fontId="31"/>
  </si>
  <si>
    <t>交付決定額</t>
    <rPh sb="0" eb="2">
      <t>コウフ</t>
    </rPh>
    <rPh sb="2" eb="4">
      <t>ケッテイ</t>
    </rPh>
    <rPh sb="4" eb="5">
      <t>ガク</t>
    </rPh>
    <phoneticPr fontId="31"/>
  </si>
  <si>
    <t>確定・支払金額
（千円）</t>
    <rPh sb="0" eb="2">
      <t>カクテイ</t>
    </rPh>
    <rPh sb="3" eb="5">
      <t>シハライ</t>
    </rPh>
    <rPh sb="5" eb="7">
      <t>キンガク</t>
    </rPh>
    <rPh sb="9" eb="11">
      <t>センエン</t>
    </rPh>
    <phoneticPr fontId="16"/>
  </si>
  <si>
    <t>実績減
（千円）</t>
    <rPh sb="0" eb="2">
      <t>ジッセキ</t>
    </rPh>
    <rPh sb="2" eb="3">
      <t>ゲン</t>
    </rPh>
    <rPh sb="5" eb="7">
      <t>センエン</t>
    </rPh>
    <phoneticPr fontId="16"/>
  </si>
  <si>
    <t>新築</t>
  </si>
  <si>
    <t>合計</t>
    <rPh sb="0" eb="2">
      <t>ゴウケイ</t>
    </rPh>
    <phoneticPr fontId="1"/>
  </si>
  <si>
    <t>18歳以下</t>
    <rPh sb="2" eb="3">
      <t>サイ</t>
    </rPh>
    <rPh sb="3" eb="5">
      <t>イカ</t>
    </rPh>
    <phoneticPr fontId="31"/>
  </si>
  <si>
    <t>18歳以下なしかつ婚姻10年</t>
    <rPh sb="2" eb="3">
      <t>サイ</t>
    </rPh>
    <rPh sb="3" eb="5">
      <t>イカ</t>
    </rPh>
    <rPh sb="9" eb="11">
      <t>コンイン</t>
    </rPh>
    <rPh sb="13" eb="14">
      <t>ネン</t>
    </rPh>
    <phoneticPr fontId="31"/>
  </si>
  <si>
    <t>近居（同居除く）</t>
    <rPh sb="0" eb="2">
      <t>キンキョ</t>
    </rPh>
    <rPh sb="3" eb="5">
      <t>ドウキョ</t>
    </rPh>
    <rPh sb="5" eb="6">
      <t>ノゾ</t>
    </rPh>
    <phoneticPr fontId="31"/>
  </si>
  <si>
    <t>同居</t>
    <rPh sb="0" eb="2">
      <t>ドウキョ</t>
    </rPh>
    <phoneticPr fontId="31"/>
  </si>
  <si>
    <t>手刻み</t>
    <rPh sb="0" eb="1">
      <t>テ</t>
    </rPh>
    <rPh sb="1" eb="2">
      <t>キザ</t>
    </rPh>
    <phoneticPr fontId="31"/>
  </si>
  <si>
    <t>下見板張り</t>
    <rPh sb="0" eb="2">
      <t>シタミ</t>
    </rPh>
    <rPh sb="2" eb="3">
      <t>イタ</t>
    </rPh>
    <rPh sb="3" eb="4">
      <t>バ</t>
    </rPh>
    <phoneticPr fontId="31"/>
  </si>
  <si>
    <t>左官仕上げ</t>
    <rPh sb="0" eb="2">
      <t>サカン</t>
    </rPh>
    <rPh sb="2" eb="4">
      <t>シア</t>
    </rPh>
    <phoneticPr fontId="31"/>
  </si>
  <si>
    <t>国産瓦</t>
    <rPh sb="0" eb="2">
      <t>コクサン</t>
    </rPh>
    <rPh sb="2" eb="3">
      <t>ガワラ</t>
    </rPh>
    <phoneticPr fontId="31"/>
  </si>
  <si>
    <t>木製建具</t>
    <rPh sb="0" eb="2">
      <t>モクセイ</t>
    </rPh>
    <rPh sb="2" eb="4">
      <t>タテグ</t>
    </rPh>
    <phoneticPr fontId="31"/>
  </si>
  <si>
    <t>畳</t>
    <rPh sb="0" eb="1">
      <t>タタミ</t>
    </rPh>
    <phoneticPr fontId="31"/>
  </si>
  <si>
    <t>構造材現し</t>
    <rPh sb="0" eb="2">
      <t>コウゾウ</t>
    </rPh>
    <rPh sb="2" eb="3">
      <t>ザイ</t>
    </rPh>
    <rPh sb="3" eb="4">
      <t>アラワ</t>
    </rPh>
    <phoneticPr fontId="31"/>
  </si>
  <si>
    <t>→DA列から範囲選択でコピぺ（列全体をコピペしないこと！）</t>
    <rPh sb="3" eb="4">
      <t>レツ</t>
    </rPh>
    <rPh sb="6" eb="10">
      <t>ハンイセンタク</t>
    </rPh>
    <rPh sb="15" eb="18">
      <t>レツゼンタイ</t>
    </rPh>
    <phoneticPr fontId="1"/>
  </si>
  <si>
    <t>入力行</t>
    <rPh sb="0" eb="2">
      <t>ニュウリョク</t>
    </rPh>
    <rPh sb="2" eb="3">
      <t>ギョウ</t>
    </rPh>
    <phoneticPr fontId="1"/>
  </si>
  <si>
    <t>整理　　　　　　番号</t>
    <rPh sb="0" eb="2">
      <t>セイリ</t>
    </rPh>
    <rPh sb="8" eb="10">
      <t>バンゴウ</t>
    </rPh>
    <phoneticPr fontId="49"/>
  </si>
  <si>
    <t>申請受付年月日</t>
    <rPh sb="0" eb="2">
      <t>シンセイ</t>
    </rPh>
    <rPh sb="2" eb="4">
      <t>ウケツケ</t>
    </rPh>
    <rPh sb="4" eb="7">
      <t>ネンガッピ</t>
    </rPh>
    <phoneticPr fontId="49"/>
  </si>
  <si>
    <t>申請者</t>
    <rPh sb="0" eb="3">
      <t>シンセイシャ</t>
    </rPh>
    <phoneticPr fontId="49"/>
  </si>
  <si>
    <t>交付決定日</t>
    <rPh sb="0" eb="4">
      <t>コウフケッテイ</t>
    </rPh>
    <rPh sb="4" eb="5">
      <t>ヒ</t>
    </rPh>
    <phoneticPr fontId="49"/>
  </si>
  <si>
    <t>実績報告日</t>
    <rPh sb="0" eb="2">
      <t>ジッセキ</t>
    </rPh>
    <rPh sb="2" eb="4">
      <t>ホウコク</t>
    </rPh>
    <rPh sb="4" eb="5">
      <t>ビ</t>
    </rPh>
    <phoneticPr fontId="49"/>
  </si>
  <si>
    <t>額の確定日</t>
    <rPh sb="0" eb="1">
      <t>ガク</t>
    </rPh>
    <rPh sb="2" eb="4">
      <t>カクテイ</t>
    </rPh>
    <rPh sb="4" eb="5">
      <t>ヒ</t>
    </rPh>
    <phoneticPr fontId="49"/>
  </si>
  <si>
    <t>支払日</t>
    <rPh sb="0" eb="2">
      <t>シハラ</t>
    </rPh>
    <rPh sb="2" eb="3">
      <t>ヒ</t>
    </rPh>
    <phoneticPr fontId="49"/>
  </si>
  <si>
    <t>郵便番号</t>
    <rPh sb="0" eb="2">
      <t>ユウビン</t>
    </rPh>
    <rPh sb="2" eb="4">
      <t>バンゴウ</t>
    </rPh>
    <phoneticPr fontId="1"/>
  </si>
  <si>
    <t>申請者情報</t>
    <rPh sb="0" eb="3">
      <t>シンセイシャ</t>
    </rPh>
    <rPh sb="3" eb="5">
      <t>ジョウホウ</t>
    </rPh>
    <phoneticPr fontId="49"/>
  </si>
  <si>
    <t>電話番号</t>
    <rPh sb="0" eb="4">
      <t>デンワバンゴウ</t>
    </rPh>
    <phoneticPr fontId="1"/>
  </si>
  <si>
    <t>市町村名</t>
    <rPh sb="0" eb="4">
      <t>シチョウソンメイ</t>
    </rPh>
    <phoneticPr fontId="31"/>
  </si>
  <si>
    <t>市町村</t>
    <rPh sb="0" eb="3">
      <t>シチョウソン</t>
    </rPh>
    <phoneticPr fontId="1"/>
  </si>
  <si>
    <t>大字名、丁目、地番等</t>
    <rPh sb="0" eb="2">
      <t>オオアザ</t>
    </rPh>
    <rPh sb="2" eb="3">
      <t>メイ</t>
    </rPh>
    <rPh sb="4" eb="6">
      <t>チョウメ</t>
    </rPh>
    <rPh sb="7" eb="9">
      <t>チバン</t>
    </rPh>
    <rPh sb="9" eb="10">
      <t>トウ</t>
    </rPh>
    <phoneticPr fontId="1"/>
  </si>
  <si>
    <t>（万円）</t>
    <rPh sb="1" eb="3">
      <t>マンエン</t>
    </rPh>
    <phoneticPr fontId="1"/>
  </si>
  <si>
    <t>（㎡）</t>
    <phoneticPr fontId="1"/>
  </si>
  <si>
    <t>面積単価</t>
    <rPh sb="0" eb="2">
      <t>メンセキ</t>
    </rPh>
    <rPh sb="2" eb="4">
      <t>タンカ</t>
    </rPh>
    <phoneticPr fontId="1"/>
  </si>
  <si>
    <t>（万円/㎡)</t>
    <rPh sb="1" eb="3">
      <t>マンエン</t>
    </rPh>
    <phoneticPr fontId="1"/>
  </si>
  <si>
    <t>完成（予定）年月日</t>
    <rPh sb="0" eb="2">
      <t>カンセイ</t>
    </rPh>
    <rPh sb="3" eb="5">
      <t>ヨテイ</t>
    </rPh>
    <rPh sb="6" eb="9">
      <t>ネンガッピ</t>
    </rPh>
    <phoneticPr fontId="49"/>
  </si>
  <si>
    <t>着工（予定）年月日</t>
    <rPh sb="0" eb="2">
      <t>チャッコウ</t>
    </rPh>
    <rPh sb="3" eb="5">
      <t>ヨテイ</t>
    </rPh>
    <rPh sb="6" eb="9">
      <t>ネンガッピ</t>
    </rPh>
    <phoneticPr fontId="49"/>
  </si>
  <si>
    <t>事業者情報</t>
    <rPh sb="0" eb="3">
      <t>ジギョウシャ</t>
    </rPh>
    <rPh sb="3" eb="5">
      <t>ジョウホウ</t>
    </rPh>
    <phoneticPr fontId="1"/>
  </si>
  <si>
    <t>再生可能値ルギー設備</t>
    <rPh sb="0" eb="2">
      <t>サイセイ</t>
    </rPh>
    <rPh sb="2" eb="4">
      <t>カノウ</t>
    </rPh>
    <rPh sb="4" eb="5">
      <t>ネ</t>
    </rPh>
    <rPh sb="8" eb="10">
      <t>セツビ</t>
    </rPh>
    <phoneticPr fontId="1"/>
  </si>
  <si>
    <t>設置</t>
    <rPh sb="0" eb="2">
      <t>セッチ</t>
    </rPh>
    <phoneticPr fontId="1"/>
  </si>
  <si>
    <t>内容</t>
    <rPh sb="0" eb="2">
      <t>ナイヨウ</t>
    </rPh>
    <phoneticPr fontId="1"/>
  </si>
  <si>
    <t>ZEH</t>
    <phoneticPr fontId="1"/>
  </si>
  <si>
    <t>認証</t>
    <rPh sb="0" eb="2">
      <t>ニンショウ</t>
    </rPh>
    <phoneticPr fontId="1"/>
  </si>
  <si>
    <t>国補助利用</t>
    <rPh sb="0" eb="3">
      <t>クニホジョ</t>
    </rPh>
    <rPh sb="3" eb="5">
      <t>リヨウ</t>
    </rPh>
    <phoneticPr fontId="1"/>
  </si>
  <si>
    <t>（有:1　無:0）</t>
    <rPh sb="1" eb="2">
      <t>アリ</t>
    </rPh>
    <rPh sb="5" eb="6">
      <t>ナシ</t>
    </rPh>
    <phoneticPr fontId="1"/>
  </si>
  <si>
    <t>県産材利用</t>
    <rPh sb="0" eb="3">
      <t>ケンサンザイ</t>
    </rPh>
    <rPh sb="3" eb="5">
      <t>リヨウ</t>
    </rPh>
    <phoneticPr fontId="1"/>
  </si>
  <si>
    <t>10m3以上</t>
    <rPh sb="4" eb="6">
      <t>イジョウ</t>
    </rPh>
    <phoneticPr fontId="1"/>
  </si>
  <si>
    <t>内外装材20m2以上</t>
    <rPh sb="0" eb="4">
      <t>ナイガイソウザイ</t>
    </rPh>
    <rPh sb="8" eb="10">
      <t>イジョウ</t>
    </rPh>
    <phoneticPr fontId="1"/>
  </si>
  <si>
    <t>内外装材に県産材を20㎡以上使用する。</t>
    <rPh sb="0" eb="4">
      <t>ナイガイソウザイ</t>
    </rPh>
    <rPh sb="5" eb="8">
      <t>ケンサンザイ</t>
    </rPh>
    <rPh sb="12" eb="14">
      <t>イジョウ</t>
    </rPh>
    <rPh sb="14" eb="16">
      <t>シヨウ</t>
    </rPh>
    <phoneticPr fontId="1"/>
  </si>
  <si>
    <t>交付決定額</t>
    <rPh sb="0" eb="4">
      <t>コウフケッテイ</t>
    </rPh>
    <rPh sb="4" eb="5">
      <t>ガク</t>
    </rPh>
    <phoneticPr fontId="49"/>
  </si>
  <si>
    <t>額確定額</t>
    <rPh sb="0" eb="3">
      <t>ガクカクテイ</t>
    </rPh>
    <rPh sb="3" eb="4">
      <t>ガク</t>
    </rPh>
    <phoneticPr fontId="49"/>
  </si>
  <si>
    <t>変更承認額</t>
    <rPh sb="0" eb="4">
      <t>ヘンコウショウニン</t>
    </rPh>
    <rPh sb="4" eb="5">
      <t>ガク</t>
    </rPh>
    <phoneticPr fontId="49"/>
  </si>
  <si>
    <t>変更承認日</t>
    <rPh sb="0" eb="2">
      <t>ヘンコウ</t>
    </rPh>
    <rPh sb="2" eb="4">
      <t>ショウニン</t>
    </rPh>
    <rPh sb="4" eb="5">
      <t>ヒ</t>
    </rPh>
    <phoneticPr fontId="49"/>
  </si>
  <si>
    <t>T-G1</t>
    <phoneticPr fontId="1"/>
  </si>
  <si>
    <t>T-G2</t>
    <phoneticPr fontId="1"/>
  </si>
  <si>
    <t>T-G3</t>
    <phoneticPr fontId="1"/>
  </si>
  <si>
    <t>→行全体を台帳へコピぺ</t>
    <rPh sb="1" eb="2">
      <t>ギョウ</t>
    </rPh>
    <rPh sb="2" eb="4">
      <t>ゼンタイ</t>
    </rPh>
    <rPh sb="5" eb="7">
      <t>ダイチョウ</t>
    </rPh>
    <phoneticPr fontId="1"/>
  </si>
  <si>
    <t>　　　　　とっとり住まいる支援事業兼</t>
    <rPh sb="9" eb="10">
      <t>ス</t>
    </rPh>
    <rPh sb="13" eb="17">
      <t>シエンジギョウ</t>
    </rPh>
    <rPh sb="17" eb="18">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</si>
  <si>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23" eb="24">
      <t>オヨ</t>
    </rPh>
    <rPh sb="29" eb="32">
      <t>ミライガタ</t>
    </rPh>
    <rPh sb="32" eb="33">
      <t>ショウ</t>
    </rPh>
    <rPh sb="35" eb="37">
      <t>ジュウタク</t>
    </rPh>
    <rPh sb="37" eb="43">
      <t>トクベツソクシンジギョウ</t>
    </rPh>
    <rPh sb="43" eb="46">
      <t>ホジョキン</t>
    </rPh>
    <rPh sb="46" eb="50">
      <t>コウフヨウコウ</t>
    </rPh>
    <rPh sb="51" eb="53">
      <t>ジュクドク</t>
    </rPh>
    <rPh sb="55" eb="57">
      <t>コウフ</t>
    </rPh>
    <rPh sb="57" eb="59">
      <t>シンセイ</t>
    </rPh>
    <rPh sb="60" eb="62">
      <t>ジッセキ</t>
    </rPh>
    <rPh sb="62" eb="64">
      <t>ホウコク</t>
    </rPh>
    <rPh sb="65" eb="67">
      <t>ナイヨウ</t>
    </rPh>
    <phoneticPr fontId="1"/>
  </si>
  <si>
    <t>※とっとり住まいる支援事業を利用しない方は２ページ及び３ページの入力は不要です。</t>
    <rPh sb="5" eb="6">
      <t>ス</t>
    </rPh>
    <rPh sb="9" eb="13">
      <t>シエンジギョウ</t>
    </rPh>
    <rPh sb="14" eb="16">
      <t>リヨウ</t>
    </rPh>
    <rPh sb="19" eb="20">
      <t>カタ</t>
    </rPh>
    <rPh sb="25" eb="26">
      <t>オヨ</t>
    </rPh>
    <rPh sb="32" eb="34">
      <t>ニュウリョク</t>
    </rPh>
    <rPh sb="35" eb="37">
      <t>フヨウ</t>
    </rPh>
    <phoneticPr fontId="1"/>
  </si>
  <si>
    <t>住居表示</t>
    <rPh sb="0" eb="2">
      <t>ジュウキョ</t>
    </rPh>
    <rPh sb="2" eb="4">
      <t>ヒョウジ</t>
    </rPh>
    <phoneticPr fontId="1"/>
  </si>
  <si>
    <t>　私は、とっとり住まいる支援事業補助金交付要綱及びとっとり未来型省エネ住宅特別促進事業補助金交付要綱を熟読し、交付申請内容について上記のとおり確認しました。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59" eb="61">
      <t>ナイヨウ</t>
    </rPh>
    <rPh sb="65" eb="66">
      <t>ウエ</t>
    </rPh>
    <phoneticPr fontId="1"/>
  </si>
  <si>
    <t>利用の有無</t>
    <rPh sb="0" eb="2">
      <t>リヨウ</t>
    </rPh>
    <rPh sb="3" eb="5">
      <t>ウム</t>
    </rPh>
    <phoneticPr fontId="1"/>
  </si>
  <si>
    <t>境港市</t>
    <rPh sb="0" eb="2">
      <t>サカイミナト</t>
    </rPh>
    <rPh sb="2" eb="3">
      <t>シ</t>
    </rPh>
    <phoneticPr fontId="1"/>
  </si>
  <si>
    <t>鳥取県西部総合事務所長</t>
    <rPh sb="0" eb="3">
      <t>トットリケン</t>
    </rPh>
    <rPh sb="3" eb="5">
      <t>セイブ</t>
    </rPh>
    <rPh sb="5" eb="7">
      <t>ソウゴウ</t>
    </rPh>
    <rPh sb="7" eb="10">
      <t>ジムショ</t>
    </rPh>
    <rPh sb="10" eb="11">
      <t>チョウ</t>
    </rPh>
    <phoneticPr fontId="1"/>
  </si>
  <si>
    <t>③県産JAS製材の使用材積</t>
    <rPh sb="1" eb="3">
      <t>ケンサン</t>
    </rPh>
    <rPh sb="6" eb="7">
      <t>セイ</t>
    </rPh>
    <rPh sb="7" eb="8">
      <t>ザイ</t>
    </rPh>
    <rPh sb="9" eb="11">
      <t>シヨウ</t>
    </rPh>
    <rPh sb="11" eb="13">
      <t>ザイセキ</t>
    </rPh>
    <phoneticPr fontId="1"/>
  </si>
  <si>
    <t>とっとり住まいる支援事業補助対象住宅登録申請書</t>
    <phoneticPr fontId="1"/>
  </si>
  <si>
    <t>代表者職氏名</t>
    <rPh sb="0" eb="2">
      <t>ダイヒョウ</t>
    </rPh>
    <rPh sb="2" eb="3">
      <t>シャ</t>
    </rPh>
    <rPh sb="3" eb="4">
      <t>ショク</t>
    </rPh>
    <rPh sb="4" eb="6">
      <t>シメイ</t>
    </rPh>
    <phoneticPr fontId="1"/>
  </si>
  <si>
    <t>・様式第２号</t>
    <rPh sb="1" eb="3">
      <t>ヨウシキ</t>
    </rPh>
    <rPh sb="3" eb="4">
      <t>ダイ</t>
    </rPh>
    <rPh sb="5" eb="6">
      <t>ゴウ</t>
    </rPh>
    <phoneticPr fontId="1"/>
  </si>
  <si>
    <t>様式第２号（第５条関係）</t>
    <rPh sb="0" eb="2">
      <t>ヨウシキ</t>
    </rPh>
    <rPh sb="2" eb="3">
      <t>ダイ</t>
    </rPh>
    <rPh sb="4" eb="5">
      <t>ゴウ</t>
    </rPh>
    <rPh sb="6" eb="7">
      <t>ダイ</t>
    </rPh>
    <rPh sb="8" eb="9">
      <t>ジョウ</t>
    </rPh>
    <rPh sb="9" eb="11">
      <t>カンケイ</t>
    </rPh>
    <phoneticPr fontId="1"/>
  </si>
  <si>
    <t>代表者職氏名</t>
    <rPh sb="0" eb="3">
      <t>ダイヒョウシャ</t>
    </rPh>
    <rPh sb="3" eb="4">
      <t>ショク</t>
    </rPh>
    <rPh sb="4" eb="6">
      <t>シメイ</t>
    </rPh>
    <phoneticPr fontId="1"/>
  </si>
  <si>
    <t>とっとり未来型省エネ住宅特別促進事業補助対象住宅登録申請書</t>
    <phoneticPr fontId="1"/>
  </si>
  <si>
    <t>　</t>
  </si>
  <si>
    <t>販売開始予定年月日</t>
    <rPh sb="0" eb="2">
      <t>ハンバイ</t>
    </rPh>
    <rPh sb="2" eb="4">
      <t>カイシ</t>
    </rPh>
    <rPh sb="4" eb="6">
      <t>ヨテイ</t>
    </rPh>
    <rPh sb="6" eb="9">
      <t>ネンガッピ</t>
    </rPh>
    <phoneticPr fontId="1"/>
  </si>
  <si>
    <t>・県産CLT材、県産内外装材、県産木塀の上限額は20万円になります。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</si>
  <si>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１m2につき３千円が交付されます。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</si>
  <si>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＜実績報告時の提出書類＞鳥取県産材活用協議会が発行する県産材の産地証明書の写し</t>
    <rPh sb="1" eb="3">
      <t>ジッセキ</t>
    </rPh>
    <rPh sb="3" eb="5">
      <t>ホウコク</t>
    </rPh>
    <rPh sb="5" eb="6">
      <t>ジ</t>
    </rPh>
    <rPh sb="7" eb="9">
      <t>テイシュツ</t>
    </rPh>
    <rPh sb="9" eb="11">
      <t>ショルイ</t>
    </rPh>
    <phoneticPr fontId="1"/>
  </si>
  <si>
    <t>＜実績報告時の提出書類＞鳥取県木材協同組合連合会が発行する日本農林規格県産材</t>
    <rPh sb="1" eb="3">
      <t>ジッセキ</t>
    </rPh>
    <rPh sb="3" eb="5">
      <t>ホウコク</t>
    </rPh>
    <rPh sb="5" eb="6">
      <t>ジ</t>
    </rPh>
    <rPh sb="7" eb="9">
      <t>テイシュツ</t>
    </rPh>
    <rPh sb="9" eb="11">
      <t>ショルイ</t>
    </rPh>
    <phoneticPr fontId="1"/>
  </si>
  <si>
    <t>（ＪＡＳ格付及び含水率20%以下）であることを証明する書類等</t>
    <rPh sb="4" eb="6">
      <t>カクヅケ</t>
    </rPh>
    <rPh sb="6" eb="7">
      <t>オヨ</t>
    </rPh>
    <rPh sb="8" eb="11">
      <t>ガンスイリツ</t>
    </rPh>
    <rPh sb="14" eb="16">
      <t>イカ</t>
    </rPh>
    <rPh sb="23" eb="25">
      <t>ショウメイ</t>
    </rPh>
    <rPh sb="27" eb="29">
      <t>ショルイ</t>
    </rPh>
    <rPh sb="29" eb="30">
      <t>ナド</t>
    </rPh>
    <phoneticPr fontId="1"/>
  </si>
  <si>
    <t>横架材</t>
    <rPh sb="0" eb="3">
      <t>オウカザイ</t>
    </rPh>
    <phoneticPr fontId="1"/>
  </si>
  <si>
    <t>横架材以外</t>
    <rPh sb="0" eb="3">
      <t>オウカザイ</t>
    </rPh>
    <rPh sb="3" eb="5">
      <t>イガイ</t>
    </rPh>
    <phoneticPr fontId="1"/>
  </si>
  <si>
    <t>横架材
使用量
(m3)</t>
    <rPh sb="0" eb="3">
      <t>オウカザイ</t>
    </rPh>
    <rPh sb="4" eb="7">
      <t>シヨウリョウ</t>
    </rPh>
    <phoneticPr fontId="31"/>
  </si>
  <si>
    <t>横架材以外
使用量
(m3)</t>
    <rPh sb="0" eb="5">
      <t>オウカザイイガイ</t>
    </rPh>
    <rPh sb="6" eb="9">
      <t>シヨウリョウ</t>
    </rPh>
    <phoneticPr fontId="31"/>
  </si>
  <si>
    <t>（別途提出する鳥取県産材活用協議会が発行する県産材の産地証明書で証明できる場合を除く。）</t>
    <rPh sb="1" eb="3">
      <t>ベット</t>
    </rPh>
    <rPh sb="3" eb="5">
      <t>テイシュツ</t>
    </rPh>
    <rPh sb="22" eb="25">
      <t>ケンサンザイ</t>
    </rPh>
    <rPh sb="26" eb="28">
      <t>サンチ</t>
    </rPh>
    <rPh sb="28" eb="31">
      <t>ショウメイショ</t>
    </rPh>
    <rPh sb="32" eb="34">
      <t>ショウメイ</t>
    </rPh>
    <rPh sb="37" eb="39">
      <t>バアイ</t>
    </rPh>
    <rPh sb="40" eb="41">
      <t>ノゾ</t>
    </rPh>
    <phoneticPr fontId="1"/>
  </si>
  <si>
    <r>
      <rPr>
        <sz val="9"/>
        <color rgb="FFFF0000"/>
        <rFont val="ＭＳ 明朝"/>
        <family val="1"/>
        <charset val="128"/>
      </rPr>
      <t>含水率の測定結果写真</t>
    </r>
    <r>
      <rPr>
        <sz val="9"/>
        <color rgb="FF0066FF"/>
        <rFont val="ＭＳ 明朝"/>
        <family val="1"/>
        <charset val="128"/>
      </rPr>
      <t>又は</t>
    </r>
    <r>
      <rPr>
        <sz val="9"/>
        <color rgb="FFFF0000"/>
        <rFont val="ＭＳ 明朝"/>
        <family val="1"/>
        <charset val="128"/>
      </rPr>
      <t>鳥取県産材活用協議会が発行する日本農林規格県産材</t>
    </r>
    <rPh sb="10" eb="11">
      <t>マタ</t>
    </rPh>
    <phoneticPr fontId="1"/>
  </si>
  <si>
    <t>（ＪＡＳ格付及び含水率20%以下）であることを証明する書類</t>
  </si>
  <si>
    <t>＜実績報告時の提出書類＞施工後の写真（建築主名記載の工事看板入り）並びに全ての梁、桁及び母屋を記載した伏図（小屋伏図及び床伏図をいう。）に、居室で構造材現しになっているものを色分けした資料</t>
    <rPh sb="33" eb="34">
      <t>ナラ</t>
    </rPh>
    <rPh sb="39" eb="40">
      <t>ハリ</t>
    </rPh>
    <phoneticPr fontId="1"/>
  </si>
  <si>
    <t>居室において、小屋組又は床組みに使用した主要な横架材及び母屋の下端が見える場合（壁の部分を除く。）で、当該居室（収納を除く。）の見上げ面積が10平方メートル以上の状態のこと。（１ポイント、20m2以上の場合にあっては２ポイント）</t>
    <rPh sb="20" eb="22">
      <t>シュヨウ</t>
    </rPh>
    <rPh sb="23" eb="26">
      <t>オウカザイ</t>
    </rPh>
    <phoneticPr fontId="1"/>
  </si>
  <si>
    <t>・県産JAS製材（含水率20%以下のJAS格付材）を1m3以上使用する場合、１m3につき１万円が交付されます。（上限25万円)</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rPh sb="56" eb="58">
      <t>ジョウゲン</t>
    </rPh>
    <rPh sb="60" eb="62">
      <t>マンエン</t>
    </rPh>
    <phoneticPr fontId="1"/>
  </si>
  <si>
    <t>県産ヤング係数確認構造材</t>
    <rPh sb="0" eb="2">
      <t>ケンサン</t>
    </rPh>
    <rPh sb="5" eb="7">
      <t>ケイスウ</t>
    </rPh>
    <rPh sb="7" eb="9">
      <t>カクニン</t>
    </rPh>
    <rPh sb="9" eb="12">
      <t>コウゾウザイ</t>
    </rPh>
    <phoneticPr fontId="16"/>
  </si>
  <si>
    <t>地域建築技能活用（４ポイント以上該当）</t>
    <rPh sb="0" eb="4">
      <t>チイキケンチク</t>
    </rPh>
    <rPh sb="4" eb="6">
      <t>ギノウ</t>
    </rPh>
    <rPh sb="6" eb="8">
      <t>カツヨウ</t>
    </rPh>
    <rPh sb="14" eb="16">
      <t>イジョウ</t>
    </rPh>
    <rPh sb="16" eb="18">
      <t>ガイトウ</t>
    </rPh>
    <phoneticPr fontId="16"/>
  </si>
  <si>
    <t>地域建築技能活用</t>
    <rPh sb="0" eb="6">
      <t>チイキケンチクギノウ</t>
    </rPh>
    <rPh sb="6" eb="8">
      <t>カツヨウ</t>
    </rPh>
    <phoneticPr fontId="1"/>
  </si>
  <si>
    <t>GX志向型以外
（国子育て支援補助金）</t>
    <rPh sb="2" eb="4">
      <t>シコウ</t>
    </rPh>
    <rPh sb="4" eb="5">
      <t>ガタ</t>
    </rPh>
    <rPh sb="5" eb="7">
      <t>イガイ</t>
    </rPh>
    <rPh sb="9" eb="10">
      <t>クニ</t>
    </rPh>
    <rPh sb="10" eb="12">
      <t>コソダ</t>
    </rPh>
    <rPh sb="13" eb="15">
      <t>シエン</t>
    </rPh>
    <rPh sb="15" eb="18">
      <t>ホジョキン</t>
    </rPh>
    <phoneticPr fontId="1"/>
  </si>
  <si>
    <t>GX志向型</t>
    <rPh sb="2" eb="5">
      <t>シコウガタ</t>
    </rPh>
    <phoneticPr fontId="1"/>
  </si>
  <si>
    <t>建築主（登録住宅の場合は購入者）自らの居住の本拠として鳥取県内に新たに建設する住宅であること。</t>
    <rPh sb="0" eb="2">
      <t>ケンチク</t>
    </rPh>
    <rPh sb="2" eb="3">
      <t>シュ</t>
    </rPh>
    <rPh sb="4" eb="6">
      <t>トウロク</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</si>
  <si>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補助対象住宅登録申請書（様式第１号）</t>
    <rPh sb="12" eb="14">
      <t>ヨウシキ</t>
    </rPh>
    <rPh sb="14" eb="15">
      <t>ダイ</t>
    </rPh>
    <rPh sb="16" eb="17">
      <t>ゴウ</t>
    </rPh>
    <phoneticPr fontId="1"/>
  </si>
  <si>
    <t>登録住宅建設等計画書（様式第２号）</t>
    <rPh sb="0" eb="2">
      <t>トウロク</t>
    </rPh>
    <rPh sb="11" eb="13">
      <t>ヨウシキ</t>
    </rPh>
    <rPh sb="13" eb="14">
      <t>ダイ</t>
    </rPh>
    <rPh sb="15" eb="16">
      <t>ゴウ</t>
    </rPh>
    <phoneticPr fontId="1"/>
  </si>
  <si>
    <t>その他の補助金併用</t>
    <rPh sb="2" eb="3">
      <t>タ</t>
    </rPh>
    <rPh sb="4" eb="7">
      <t>ホジョキン</t>
    </rPh>
    <rPh sb="7" eb="9">
      <t>ヘイヨウ</t>
    </rPh>
    <phoneticPr fontId="31"/>
  </si>
  <si>
    <t>　　　　　とっとり未来型省エネ住宅特別促進事業登録住宅建設等計画書（登録申請時チェックシート）</t>
    <rPh sb="9" eb="12">
      <t>ミライガタ</t>
    </rPh>
    <rPh sb="12" eb="13">
      <t>ショウ</t>
    </rPh>
    <rPh sb="15" eb="17">
      <t>ジュウタク</t>
    </rPh>
    <rPh sb="17" eb="19">
      <t>トクベツ</t>
    </rPh>
    <rPh sb="19" eb="23">
      <t>ソクシンジギョウ</t>
    </rPh>
    <rPh sb="23" eb="25">
      <t>トウロク</t>
    </rPh>
    <rPh sb="25" eb="27">
      <t>ジュウタク</t>
    </rPh>
    <rPh sb="27" eb="29">
      <t>ケンセツ</t>
    </rPh>
    <rPh sb="29" eb="30">
      <t>トウ</t>
    </rPh>
    <rPh sb="30" eb="32">
      <t>ケイカク</t>
    </rPh>
    <rPh sb="32" eb="33">
      <t>ショ</t>
    </rPh>
    <rPh sb="34" eb="36">
      <t>トウロク</t>
    </rPh>
    <rPh sb="36" eb="39">
      <t>シンセイジ</t>
    </rPh>
    <phoneticPr fontId="1"/>
  </si>
  <si>
    <t>販売事業者名</t>
    <rPh sb="0" eb="2">
      <t>ハンバイ</t>
    </rPh>
    <phoneticPr fontId="1"/>
  </si>
  <si>
    <t>④県産ヤング係数確認構造材の使用材積</t>
    <phoneticPr fontId="1"/>
  </si>
  <si>
    <t>・県産ヤング係数確認構造材を１m3以上使用する場合、横架材１m3につき３万円、横架材以外1ｍ3につき2万円の合計が交付されます。（上限30万円）</t>
    <rPh sb="1" eb="3">
      <t>ケンサン</t>
    </rPh>
    <rPh sb="6" eb="8">
      <t>ケイスウ</t>
    </rPh>
    <rPh sb="8" eb="10">
      <t>カクニン</t>
    </rPh>
    <rPh sb="10" eb="13">
      <t>コウゾウザイ</t>
    </rPh>
    <rPh sb="17" eb="19">
      <t>イジョウ</t>
    </rPh>
    <rPh sb="19" eb="21">
      <t>シヨウ</t>
    </rPh>
    <rPh sb="23" eb="25">
      <t>バアイ</t>
    </rPh>
    <rPh sb="26" eb="29">
      <t>オウカザイ</t>
    </rPh>
    <rPh sb="36" eb="38">
      <t>マンエン</t>
    </rPh>
    <rPh sb="39" eb="42">
      <t>オウカザイ</t>
    </rPh>
    <rPh sb="42" eb="44">
      <t>イガイ</t>
    </rPh>
    <rPh sb="51" eb="53">
      <t>マンエン</t>
    </rPh>
    <rPh sb="54" eb="56">
      <t>ゴウケイ</t>
    </rPh>
    <rPh sb="57" eb="59">
      <t>コウフ</t>
    </rPh>
    <phoneticPr fontId="1"/>
  </si>
  <si>
    <t>＜実績報告時の提出書類＞県産ヤング係数確認構造材一覧表（様式第８号）</t>
    <rPh sb="1" eb="3">
      <t>ジッセキ</t>
    </rPh>
    <rPh sb="3" eb="5">
      <t>ホウコク</t>
    </rPh>
    <rPh sb="5" eb="6">
      <t>ジ</t>
    </rPh>
    <rPh sb="7" eb="9">
      <t>テイシュツ</t>
    </rPh>
    <rPh sb="9" eb="11">
      <t>ショルイ</t>
    </rPh>
    <rPh sb="12" eb="14">
      <t>ケンサン</t>
    </rPh>
    <rPh sb="17" eb="19">
      <t>ケイスウ</t>
    </rPh>
    <rPh sb="19" eb="21">
      <t>カクニン</t>
    </rPh>
    <phoneticPr fontId="1"/>
  </si>
  <si>
    <r>
      <t>※</t>
    </r>
    <r>
      <rPr>
        <sz val="10.5"/>
        <rFont val="ＭＳ Ｐ明朝"/>
        <family val="1"/>
        <charset val="128"/>
      </rPr>
      <t>国の子育て世帯等支援補助金</t>
    </r>
    <r>
      <rPr>
        <sz val="10.5"/>
        <color rgb="FFFF0000"/>
        <rFont val="ＭＳ Ｐ明朝"/>
        <family val="1"/>
        <charset val="128"/>
      </rPr>
      <t>（GX志向型を除く）</t>
    </r>
    <r>
      <rPr>
        <sz val="10.5"/>
        <rFont val="ＭＳ Ｐ明朝"/>
        <family val="1"/>
        <charset val="128"/>
      </rPr>
      <t>利用者に</t>
    </r>
    <r>
      <rPr>
        <sz val="10.5"/>
        <color theme="1"/>
        <rFont val="ＭＳ Ｐ明朝"/>
        <family val="1"/>
        <charset val="128"/>
      </rPr>
      <t>あっては補助額は０円となります。</t>
    </r>
    <rPh sb="17" eb="20">
      <t>シコウガタ</t>
    </rPh>
    <rPh sb="21" eb="22">
      <t>ノゾ</t>
    </rPh>
    <rPh sb="24" eb="27">
      <t>リヨウシャ</t>
    </rPh>
    <rPh sb="32" eb="35">
      <t>ホジョガク</t>
    </rPh>
    <rPh sb="37" eb="38">
      <t>エン</t>
    </rPh>
    <phoneticPr fontId="1"/>
  </si>
  <si>
    <t>次のア、イ、ウのいずれかに該当すること。</t>
    <rPh sb="0" eb="1">
      <t>ツギ</t>
    </rPh>
    <rPh sb="13" eb="15">
      <t>ガイトウ</t>
    </rPh>
    <phoneticPr fontId="1"/>
  </si>
  <si>
    <t>５　地域建築技能活用住宅　（補助金額：20万円）</t>
    <rPh sb="2" eb="6">
      <t>チイキケンチク</t>
    </rPh>
    <rPh sb="6" eb="8">
      <t>ギノウ</t>
    </rPh>
    <rPh sb="8" eb="10">
      <t>カツヨウ</t>
    </rPh>
    <rPh sb="10" eb="12">
      <t>ジュウタク</t>
    </rPh>
    <phoneticPr fontId="1"/>
  </si>
  <si>
    <t>次の①～⑦の地域建築技能を活用し、ポイント数の合計が４ポイント以上の場合に定額20万円を支援（黄色のポイント数は自動計算されます。）</t>
    <rPh sb="0" eb="1">
      <t>ツギ</t>
    </rPh>
    <rPh sb="6" eb="8">
      <t>チイキ</t>
    </rPh>
    <rPh sb="8" eb="10">
      <t>ケンチク</t>
    </rPh>
    <rPh sb="10" eb="12">
      <t>ギノウ</t>
    </rPh>
    <rPh sb="13" eb="15">
      <t>カツヨウ</t>
    </rPh>
    <rPh sb="34" eb="36">
      <t>バアイ</t>
    </rPh>
    <rPh sb="37" eb="39">
      <t>テイガク</t>
    </rPh>
    <rPh sb="41" eb="43">
      <t>マンエン</t>
    </rPh>
    <rPh sb="44" eb="46">
      <t>シエン</t>
    </rPh>
    <rPh sb="47" eb="49">
      <t>キイロ</t>
    </rPh>
    <rPh sb="54" eb="55">
      <t>スウ</t>
    </rPh>
    <rPh sb="56" eb="58">
      <t>ジドウ</t>
    </rPh>
    <rPh sb="58" eb="60">
      <t>ケイサン</t>
    </rPh>
    <phoneticPr fontId="1"/>
  </si>
  <si>
    <t>＜実績報告時の提出書類＞手刻み加工を除く各地域建築技能に係る面積等の算出過程、施工面積及び施工箇所を図示した立面図、展開図等並びに地域建築技能ごとに次の書類</t>
    <rPh sb="21" eb="25">
      <t>チイキケンチク</t>
    </rPh>
    <rPh sb="62" eb="63">
      <t>ナラ</t>
    </rPh>
    <rPh sb="65" eb="67">
      <t>チイキ</t>
    </rPh>
    <rPh sb="67" eb="69">
      <t>ケンチク</t>
    </rPh>
    <rPh sb="69" eb="71">
      <t>ギノウ</t>
    </rPh>
    <rPh sb="74" eb="75">
      <t>ツギ</t>
    </rPh>
    <rPh sb="76" eb="78">
      <t>ショルイ</t>
    </rPh>
    <phoneticPr fontId="1"/>
  </si>
  <si>
    <t>販売事業者名</t>
    <rPh sb="0" eb="2">
      <t>ハンバイ</t>
    </rPh>
    <rPh sb="2" eb="4">
      <t>ジギョウ</t>
    </rPh>
    <rPh sb="4" eb="5">
      <t>シャ</t>
    </rPh>
    <rPh sb="5" eb="6">
      <t>メイ</t>
    </rPh>
    <phoneticPr fontId="1"/>
  </si>
  <si>
    <t>　とっとり未来型省エネ住宅特別促進事業交付要綱第５条第１項に基づく補助の対象となる販売住宅の登録をしたいので、下記のとおり申請します。</t>
  </si>
  <si>
    <t>　とっとり住まいる支援事業補助金交付要綱第５条第１項に基づく補助の対象となる販売住宅の登録をしたいので、下記のとおり申請します。</t>
    <rPh sb="38" eb="40">
      <t>ハンバイ</t>
    </rPh>
    <phoneticPr fontId="1"/>
  </si>
  <si>
    <t>国補助事業の補助利用者である。</t>
    <rPh sb="0" eb="5">
      <t>クニホジョジギョウ</t>
    </rPh>
    <rPh sb="6" eb="8">
      <t>ホジョ</t>
    </rPh>
    <rPh sb="8" eb="10">
      <t>リヨウ</t>
    </rPh>
    <rPh sb="10" eb="11">
      <t>シャ</t>
    </rPh>
    <phoneticPr fontId="1"/>
  </si>
  <si>
    <t>併用する補助金全てについて以下に記載してください。（「とっとり住まいる支援事業」以外）</t>
    <rPh sb="7" eb="8">
      <t>スベ</t>
    </rPh>
    <rPh sb="31" eb="32">
      <t>ス</t>
    </rPh>
    <rPh sb="35" eb="37">
      <t>シエン</t>
    </rPh>
    <rPh sb="37" eb="39">
      <t>ジギョウ</t>
    </rPh>
    <rPh sb="40" eb="42">
      <t>イガイ</t>
    </rPh>
    <phoneticPr fontId="1"/>
  </si>
  <si>
    <t>国補助のうち、子育て世帯等支援補助金を利用。（みらいエコ住宅2026事業（長期、ZEH）など）</t>
    <rPh sb="28" eb="30">
      <t>ジュウタク</t>
    </rPh>
    <rPh sb="34" eb="36">
      <t>ジギョウ</t>
    </rPh>
    <rPh sb="37" eb="39">
      <t>チョウキ</t>
    </rPh>
    <phoneticPr fontId="1"/>
  </si>
  <si>
    <t>国補助のうち、断熱等性能等級６以上を対象とする補助金を利用。（GX志向型など）</t>
    <phoneticPr fontId="1"/>
  </si>
  <si>
    <t>令和8年4月1日改正</t>
    <rPh sb="0" eb="2">
      <t>レイワ</t>
    </rPh>
    <rPh sb="3" eb="4">
      <t>ネン</t>
    </rPh>
    <rPh sb="5" eb="6">
      <t>ガツ</t>
    </rPh>
    <rPh sb="7" eb="8">
      <t>ニチ</t>
    </rPh>
    <rPh sb="8" eb="10">
      <t>カイセイ</t>
    </rPh>
    <phoneticPr fontId="1"/>
  </si>
  <si>
    <t>Ver.1.0</t>
    <phoneticPr fontId="1"/>
  </si>
  <si>
    <t>※以前から同居、近居している場合も対象となります。</t>
    <rPh sb="1" eb="3">
      <t>イゼン</t>
    </rPh>
    <rPh sb="5" eb="7">
      <t>ドウキョ</t>
    </rPh>
    <rPh sb="8" eb="10">
      <t>キンキョ</t>
    </rPh>
    <rPh sb="14" eb="16">
      <t>バアイ</t>
    </rPh>
    <rPh sb="17" eb="19">
      <t>タイショウ</t>
    </rPh>
    <phoneticPr fontId="1"/>
  </si>
  <si>
    <t>申請者世帯</t>
    <phoneticPr fontId="1"/>
  </si>
  <si>
    <t>ア　 直系尊属の世帯と近居する子育て世帯等（親と近居）</t>
    <rPh sb="3" eb="5">
      <t>チョッケイ</t>
    </rPh>
    <rPh sb="5" eb="7">
      <t>ソンゾク</t>
    </rPh>
    <rPh sb="8" eb="10">
      <t>セタイ</t>
    </rPh>
    <rPh sb="11" eb="13">
      <t>キンキョ</t>
    </rPh>
    <rPh sb="15" eb="17">
      <t>コソダ</t>
    </rPh>
    <rPh sb="18" eb="20">
      <t>セタイ</t>
    </rPh>
    <rPh sb="20" eb="21">
      <t>トウ</t>
    </rPh>
    <rPh sb="22" eb="23">
      <t>オヤ</t>
    </rPh>
    <rPh sb="24" eb="26">
      <t>キンキョ</t>
    </rPh>
    <phoneticPr fontId="1"/>
  </si>
  <si>
    <t>イ　 直系尊属の世帯と同居する子育て世帯等（親と同居）</t>
    <rPh sb="24" eb="26">
      <t>ドウキョ</t>
    </rPh>
    <phoneticPr fontId="1"/>
  </si>
  <si>
    <t>ウ　 直系卑属の子育て世帯等と同居する世帯（子と同居）</t>
    <rPh sb="22" eb="23">
      <t>コ</t>
    </rPh>
    <rPh sb="24" eb="26">
      <t>ドウキョ</t>
    </rPh>
    <phoneticPr fontId="1"/>
  </si>
  <si>
    <t>令和８年度とっとり住まいる支援事業台帳</t>
    <rPh sb="0" eb="2">
      <t>レイワ</t>
    </rPh>
    <rPh sb="17" eb="19">
      <t>ダイチョウ</t>
    </rPh>
    <phoneticPr fontId="1"/>
  </si>
  <si>
    <t>実績報告時に以下を実績報告用ファイルにコピー＆ペーストすることで入力が省略できます。</t>
    <rPh sb="0" eb="2">
      <t>ジッセキ</t>
    </rPh>
    <rPh sb="2" eb="4">
      <t>ホウコク</t>
    </rPh>
    <rPh sb="4" eb="5">
      <t>ジ</t>
    </rPh>
    <rPh sb="6" eb="8">
      <t>イカ</t>
    </rPh>
    <rPh sb="9" eb="11">
      <t>ジッセキ</t>
    </rPh>
    <rPh sb="11" eb="13">
      <t>ホウコク</t>
    </rPh>
    <rPh sb="13" eb="14">
      <t>ヨウ</t>
    </rPh>
    <rPh sb="32" eb="34">
      <t>ニュウリョク</t>
    </rPh>
    <rPh sb="35" eb="37">
      <t>ショウリャク</t>
    </rPh>
    <phoneticPr fontId="1"/>
  </si>
  <si>
    <r>
      <rPr>
        <b/>
        <u/>
        <sz val="11"/>
        <rFont val="ＭＳ 明朝"/>
        <family val="1"/>
        <charset val="128"/>
      </rPr>
      <t>赤枠内を選択・コピー</t>
    </r>
    <r>
      <rPr>
        <sz val="11"/>
        <rFont val="ＭＳ 明朝"/>
        <family val="1"/>
        <charset val="128"/>
      </rPr>
      <t>して、実績報告用ファイルの「交付決定状況入力シート」に</t>
    </r>
    <r>
      <rPr>
        <b/>
        <u/>
        <sz val="11"/>
        <rFont val="ＭＳ 明朝"/>
        <family val="1"/>
        <charset val="128"/>
      </rPr>
      <t>値で貼り付け</t>
    </r>
    <r>
      <rPr>
        <sz val="11"/>
        <rFont val="ＭＳ 明朝"/>
        <family val="1"/>
        <charset val="128"/>
      </rPr>
      <t>してください。</t>
    </r>
    <rPh sb="0" eb="1">
      <t>アカ</t>
    </rPh>
    <rPh sb="1" eb="2">
      <t>ワク</t>
    </rPh>
    <rPh sb="2" eb="3">
      <t>ナイ</t>
    </rPh>
    <rPh sb="4" eb="6">
      <t>センタク</t>
    </rPh>
    <rPh sb="13" eb="15">
      <t>ジッセキ</t>
    </rPh>
    <rPh sb="15" eb="18">
      <t>ホウコクヨウ</t>
    </rPh>
    <rPh sb="24" eb="26">
      <t>コウフ</t>
    </rPh>
    <rPh sb="26" eb="28">
      <t>ケッテイ</t>
    </rPh>
    <rPh sb="28" eb="30">
      <t>ジョウキョウ</t>
    </rPh>
    <rPh sb="30" eb="32">
      <t>ニュウリョク</t>
    </rPh>
    <rPh sb="37" eb="38">
      <t>アタイ</t>
    </rPh>
    <rPh sb="39" eb="40">
      <t>ハ</t>
    </rPh>
    <rPh sb="41" eb="42">
      <t>ツ</t>
    </rPh>
    <phoneticPr fontId="1"/>
  </si>
  <si>
    <t>建設地市町村名</t>
    <rPh sb="0" eb="2">
      <t>ケンセツ</t>
    </rPh>
    <rPh sb="2" eb="3">
      <t>チ</t>
    </rPh>
    <rPh sb="3" eb="7">
      <t>シチョウソンメイ</t>
    </rPh>
    <phoneticPr fontId="1"/>
  </si>
  <si>
    <t>建設地住所</t>
    <rPh sb="0" eb="2">
      <t>ケンセツ</t>
    </rPh>
    <rPh sb="2" eb="3">
      <t>チ</t>
    </rPh>
    <rPh sb="3" eb="5">
      <t>ジュウショ</t>
    </rPh>
    <phoneticPr fontId="1"/>
  </si>
  <si>
    <t>併用住宅住宅部分</t>
    <rPh sb="0" eb="2">
      <t>ヘイヨウ</t>
    </rPh>
    <rPh sb="2" eb="4">
      <t>ジュウタク</t>
    </rPh>
    <phoneticPr fontId="1"/>
  </si>
  <si>
    <t>併用住宅住宅以外</t>
    <rPh sb="0" eb="2">
      <t>ヘイヨウ</t>
    </rPh>
    <rPh sb="2" eb="4">
      <t>ジュウタク</t>
    </rPh>
    <phoneticPr fontId="1"/>
  </si>
  <si>
    <t>着手（予定）年</t>
    <rPh sb="0" eb="2">
      <t>チャクシュ</t>
    </rPh>
    <rPh sb="3" eb="5">
      <t>ヨテイ</t>
    </rPh>
    <rPh sb="6" eb="7">
      <t>ネン</t>
    </rPh>
    <phoneticPr fontId="1"/>
  </si>
  <si>
    <t>着手（予定）月</t>
    <rPh sb="0" eb="2">
      <t>チャクシュ</t>
    </rPh>
    <rPh sb="3" eb="5">
      <t>ヨテイ</t>
    </rPh>
    <rPh sb="6" eb="7">
      <t>ツキ</t>
    </rPh>
    <phoneticPr fontId="1"/>
  </si>
  <si>
    <t>着手（予定）日</t>
    <rPh sb="0" eb="2">
      <t>チャクシュ</t>
    </rPh>
    <rPh sb="3" eb="5">
      <t>ヨテイ</t>
    </rPh>
    <rPh sb="6" eb="7">
      <t>ヒ</t>
    </rPh>
    <phoneticPr fontId="1"/>
  </si>
  <si>
    <t>完了（予定）年</t>
    <rPh sb="0" eb="2">
      <t>カンリョウ</t>
    </rPh>
    <rPh sb="3" eb="5">
      <t>ヨテイ</t>
    </rPh>
    <rPh sb="6" eb="7">
      <t>ネン</t>
    </rPh>
    <phoneticPr fontId="1"/>
  </si>
  <si>
    <t>完了（予定）月</t>
    <rPh sb="0" eb="2">
      <t>カンリョウ</t>
    </rPh>
    <rPh sb="3" eb="5">
      <t>ヨテイ</t>
    </rPh>
    <rPh sb="6" eb="7">
      <t>ツキ</t>
    </rPh>
    <phoneticPr fontId="1"/>
  </si>
  <si>
    <t>完了（予定）日</t>
    <rPh sb="0" eb="2">
      <t>カンリョウ</t>
    </rPh>
    <rPh sb="3" eb="5">
      <t>ヨテイ</t>
    </rPh>
    <rPh sb="6" eb="7">
      <t>ヒ</t>
    </rPh>
    <phoneticPr fontId="1"/>
  </si>
  <si>
    <t>建築確認申請年</t>
    <rPh sb="0" eb="2">
      <t>ケンチク</t>
    </rPh>
    <rPh sb="2" eb="4">
      <t>カクニン</t>
    </rPh>
    <rPh sb="4" eb="6">
      <t>シンセイ</t>
    </rPh>
    <rPh sb="6" eb="7">
      <t>ドシ</t>
    </rPh>
    <phoneticPr fontId="1"/>
  </si>
  <si>
    <t>建築確認申請月</t>
    <rPh sb="0" eb="2">
      <t>ケンチク</t>
    </rPh>
    <rPh sb="2" eb="4">
      <t>カクニン</t>
    </rPh>
    <rPh sb="4" eb="6">
      <t>シンセイ</t>
    </rPh>
    <rPh sb="6" eb="7">
      <t>ツキ</t>
    </rPh>
    <phoneticPr fontId="1"/>
  </si>
  <si>
    <t>建築確認申請日</t>
    <rPh sb="0" eb="2">
      <t>ケンチク</t>
    </rPh>
    <rPh sb="2" eb="4">
      <t>カクニン</t>
    </rPh>
    <rPh sb="4" eb="6">
      <t>シンセイ</t>
    </rPh>
    <rPh sb="6" eb="7">
      <t>ビ</t>
    </rPh>
    <phoneticPr fontId="1"/>
  </si>
  <si>
    <t>1補助金の名称</t>
    <rPh sb="1" eb="4">
      <t>ホジョキン</t>
    </rPh>
    <rPh sb="5" eb="7">
      <t>メイショウ</t>
    </rPh>
    <phoneticPr fontId="1"/>
  </si>
  <si>
    <t>1所管団体</t>
    <rPh sb="1" eb="3">
      <t>ショカン</t>
    </rPh>
    <rPh sb="3" eb="5">
      <t>ダンタイ</t>
    </rPh>
    <phoneticPr fontId="1"/>
  </si>
  <si>
    <t>1連絡先電話</t>
    <rPh sb="1" eb="4">
      <t>レンラクサキ</t>
    </rPh>
    <rPh sb="4" eb="6">
      <t>デンワ</t>
    </rPh>
    <phoneticPr fontId="1"/>
  </si>
  <si>
    <t>2補助金の名称</t>
    <rPh sb="1" eb="4">
      <t>ホジョキン</t>
    </rPh>
    <rPh sb="5" eb="7">
      <t>メイショウ</t>
    </rPh>
    <phoneticPr fontId="1"/>
  </si>
  <si>
    <t>2所管団体</t>
    <rPh sb="1" eb="3">
      <t>ショカン</t>
    </rPh>
    <rPh sb="3" eb="5">
      <t>ダンタイ</t>
    </rPh>
    <phoneticPr fontId="1"/>
  </si>
  <si>
    <t>2連絡先電話</t>
    <rPh sb="1" eb="4">
      <t>レンラクサキ</t>
    </rPh>
    <rPh sb="4" eb="6">
      <t>デンワ</t>
    </rPh>
    <phoneticPr fontId="1"/>
  </si>
  <si>
    <t>3補助金の名称</t>
    <rPh sb="1" eb="4">
      <t>ホジョキン</t>
    </rPh>
    <rPh sb="5" eb="7">
      <t>メイショウ</t>
    </rPh>
    <phoneticPr fontId="1"/>
  </si>
  <si>
    <t>3所管団体</t>
    <rPh sb="1" eb="3">
      <t>ショカン</t>
    </rPh>
    <rPh sb="3" eb="5">
      <t>ダンタイ</t>
    </rPh>
    <phoneticPr fontId="1"/>
  </si>
  <si>
    <t>3連絡先電話</t>
    <rPh sb="1" eb="4">
      <t>レンラクサキ</t>
    </rPh>
    <rPh sb="4" eb="6">
      <t>デンワ</t>
    </rPh>
    <phoneticPr fontId="1"/>
  </si>
  <si>
    <t>4補助金の名称</t>
    <rPh sb="1" eb="4">
      <t>ホジョキン</t>
    </rPh>
    <rPh sb="5" eb="7">
      <t>メイショウ</t>
    </rPh>
    <phoneticPr fontId="1"/>
  </si>
  <si>
    <t>4所管団体</t>
    <rPh sb="1" eb="3">
      <t>ショカン</t>
    </rPh>
    <rPh sb="3" eb="5">
      <t>ダンタイ</t>
    </rPh>
    <phoneticPr fontId="1"/>
  </si>
  <si>
    <t>4連絡先電話</t>
    <rPh sb="1" eb="4">
      <t>レンラクサキ</t>
    </rPh>
    <rPh sb="4" eb="6">
      <t>デンワ</t>
    </rPh>
    <phoneticPr fontId="1"/>
  </si>
  <si>
    <t>5補助金の名称</t>
    <rPh sb="1" eb="4">
      <t>ホジョキン</t>
    </rPh>
    <rPh sb="5" eb="7">
      <t>メイショウ</t>
    </rPh>
    <phoneticPr fontId="1"/>
  </si>
  <si>
    <t>5所管団体</t>
    <rPh sb="1" eb="3">
      <t>ショカン</t>
    </rPh>
    <rPh sb="3" eb="5">
      <t>ダンタイ</t>
    </rPh>
    <phoneticPr fontId="1"/>
  </si>
  <si>
    <t>5連絡先電話</t>
    <rPh sb="1" eb="4">
      <t>レンラクサキ</t>
    </rPh>
    <rPh sb="4" eb="6">
      <t>デンワ</t>
    </rPh>
    <phoneticPr fontId="1"/>
  </si>
  <si>
    <t>近居直系尊属住所</t>
    <rPh sb="0" eb="2">
      <t>キンキョ</t>
    </rPh>
    <rPh sb="2" eb="4">
      <t>チョッケイ</t>
    </rPh>
    <rPh sb="4" eb="6">
      <t>ソンゾク</t>
    </rPh>
    <rPh sb="6" eb="8">
      <t>ジュウショ</t>
    </rPh>
    <phoneticPr fontId="1"/>
  </si>
  <si>
    <t>近居直系尊属小学校区</t>
    <rPh sb="6" eb="9">
      <t>ショウガッコウ</t>
    </rPh>
    <rPh sb="9" eb="10">
      <t>ク</t>
    </rPh>
    <phoneticPr fontId="1"/>
  </si>
  <si>
    <t>建築士事務所区分</t>
    <rPh sb="0" eb="3">
      <t>ケンチクシ</t>
    </rPh>
    <rPh sb="3" eb="5">
      <t>ジム</t>
    </rPh>
    <rPh sb="5" eb="6">
      <t>ショ</t>
    </rPh>
    <rPh sb="6" eb="8">
      <t>クブン</t>
    </rPh>
    <phoneticPr fontId="1"/>
  </si>
  <si>
    <t>補助対象を同一とする国費又は県費を財源とする他の補助事業を利用していないこと。</t>
    <rPh sb="10" eb="12">
      <t>コクヒ</t>
    </rPh>
    <rPh sb="12" eb="13">
      <t>マタ</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</si>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</sst>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411]ge\.m\.d;@"/>
    <numFmt numFmtId="185" formatCode="#,##0_ "/>
    <numFmt numFmtId="186" formatCode="0.000"/>
    <numFmt numFmtId="187" formatCode="0.00_ "/>
    <numFmt numFmtId="188" formatCode="0_);[Red]\(0\)"/>
    <numFmt numFmtId="189" formatCode="[$-411]ggge&quot;年&quot;m&quot;月&quot;d&quot;日&quot;;@"/>
    <numFmt numFmtId="190" formatCode="#,##0_);[Red]\(#,##0\)"/>
  </numFmts>
  <fonts count="61"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0.5"/>
      <color theme="1"/>
      <name val="ＭＳ 明朝"/>
      <family val="1"/>
      <charset val="128"/>
    </font>
    <font>
      <sz val="8"/>
      <color theme="1"/>
      <name val="ＭＳ 明朝"/>
      <family val="1"/>
      <charset val="128"/>
    </font>
    <font>
      <sz val="10"/>
      <color rgb="FFFF0000"/>
      <name val="ＭＳ 明朝"/>
      <family val="1"/>
      <charset val="128"/>
    </font>
    <font>
      <sz val="11"/>
      <color rgb="FF0000FF"/>
      <name val="ＭＳ Ｐ明朝"/>
      <family val="1"/>
      <charset val="128"/>
    </font>
    <font>
      <sz val="11"/>
      <color theme="1"/>
      <name val="ＭＳ ゴシック"/>
      <family val="3"/>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sz val="8"/>
      <color rgb="FFFF0000"/>
      <name val="ＭＳ Ｐゴシック"/>
      <family val="3"/>
      <charset val="128"/>
      <scheme val="minor"/>
    </font>
    <font>
      <b/>
      <sz val="10"/>
      <color indexed="8"/>
      <name val="ＭＳ Ｐゴシック"/>
      <family val="3"/>
      <charset val="128"/>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sz val="11"/>
      <name val="ＭＳ Ｐゴシック"/>
      <family val="2"/>
      <charset val="128"/>
      <scheme val="minor"/>
    </font>
    <font>
      <b/>
      <sz val="10"/>
      <color rgb="FFFF0000"/>
      <name val="ＭＳ Ｐゴシック"/>
      <family val="3"/>
      <charset val="128"/>
      <scheme val="minor"/>
    </font>
    <font>
      <sz val="11"/>
      <color theme="1"/>
      <name val="ＭＳ Ｐゴシック"/>
      <family val="2"/>
      <scheme val="minor"/>
    </font>
    <font>
      <sz val="10"/>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8"/>
      <color rgb="FFFF0000"/>
      <name val="ＭＳ Ｐ明朝"/>
      <family val="1"/>
      <charset val="128"/>
    </font>
    <font>
      <sz val="9"/>
      <color rgb="FFFF0000"/>
      <name val="ＭＳ 明朝"/>
      <family val="1"/>
      <charset val="128"/>
    </font>
    <font>
      <sz val="10.5"/>
      <color theme="1"/>
      <name val="ＭＳ Ｐ明朝"/>
      <family val="1"/>
      <charset val="128"/>
    </font>
    <font>
      <sz val="10.5"/>
      <name val="ＭＳ Ｐ明朝"/>
      <family val="1"/>
      <charset val="128"/>
    </font>
    <font>
      <sz val="9"/>
      <name val="ＭＳ Ｐ明朝"/>
      <family val="1"/>
      <charset val="128"/>
    </font>
    <font>
      <sz val="10.5"/>
      <color rgb="FFFF0000"/>
      <name val="ＭＳ Ｐ明朝"/>
      <family val="1"/>
      <charset val="128"/>
    </font>
    <font>
      <sz val="10.5"/>
      <name val="ＭＳ 明朝"/>
      <family val="1"/>
      <charset val="128"/>
    </font>
    <font>
      <sz val="11"/>
      <name val="ＭＳ 明朝"/>
      <family val="1"/>
      <charset val="128"/>
    </font>
    <font>
      <b/>
      <u/>
      <sz val="11"/>
      <name val="ＭＳ 明朝"/>
      <family val="1"/>
      <charset val="128"/>
    </font>
  </fonts>
  <fills count="1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right/>
      <top style="medium">
        <color auto="1"/>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s>
  <cellStyleXfs count="5">
    <xf numFmtId="0" fontId="0" fillId="0" borderId="0">
      <alignment vertical="center"/>
    </xf>
    <xf numFmtId="38" fontId="16" fillId="0" borderId="0" applyFont="0" applyFill="0" applyBorder="0" applyAlignment="0" applyProtection="0">
      <alignment vertical="center"/>
    </xf>
    <xf numFmtId="0" fontId="47" fillId="0" borderId="0"/>
    <xf numFmtId="38" fontId="47" fillId="0" borderId="0" applyFont="0" applyFill="0" applyBorder="0" applyAlignment="0" applyProtection="0">
      <alignment vertical="center"/>
    </xf>
    <xf numFmtId="9" fontId="47" fillId="0" borderId="0" applyFont="0" applyFill="0" applyBorder="0" applyAlignment="0" applyProtection="0">
      <alignment vertical="center"/>
    </xf>
  </cellStyleXfs>
  <cellXfs count="536">
    <xf numFmtId="0" fontId="0" fillId="0" borderId="0" xfId="0">
      <alignment vertical="center"/>
    </xf>
    <xf numFmtId="0" fontId="4" fillId="0" borderId="0" xfId="0" applyFont="1">
      <alignment vertical="center"/>
    </xf>
    <xf numFmtId="0" fontId="5" fillId="0" borderId="0" xfId="0" applyFont="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3" xfId="0" applyFont="1" applyBorder="1">
      <alignment vertical="center"/>
    </xf>
    <xf numFmtId="0" fontId="7" fillId="0" borderId="0" xfId="0" applyFont="1" applyAlignment="1">
      <alignment horizontal="center" vertical="center"/>
    </xf>
    <xf numFmtId="0" fontId="7" fillId="0" borderId="0" xfId="0" applyFont="1">
      <alignment vertical="center"/>
    </xf>
    <xf numFmtId="0" fontId="3" fillId="0" borderId="0" xfId="0" applyFont="1">
      <alignment vertical="center"/>
    </xf>
    <xf numFmtId="0" fontId="6" fillId="0" borderId="19" xfId="0" applyFont="1" applyBorder="1">
      <alignment vertical="center"/>
    </xf>
    <xf numFmtId="0" fontId="8" fillId="3" borderId="0" xfId="0" applyFont="1" applyFill="1">
      <alignment vertical="center"/>
    </xf>
    <xf numFmtId="0" fontId="4" fillId="0" borderId="10" xfId="0" applyFont="1" applyBorder="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lignment vertical="center"/>
    </xf>
    <xf numFmtId="0" fontId="10" fillId="0" borderId="3" xfId="0" applyFont="1" applyBorder="1">
      <alignment vertical="center"/>
    </xf>
    <xf numFmtId="0" fontId="4" fillId="0" borderId="8" xfId="0" applyFont="1" applyBorder="1" applyAlignment="1">
      <alignment vertical="center" wrapText="1"/>
    </xf>
    <xf numFmtId="0" fontId="4" fillId="0" borderId="14" xfId="0" applyFont="1" applyBorder="1" applyAlignment="1">
      <alignment vertical="center" shrinkToFit="1"/>
    </xf>
    <xf numFmtId="0" fontId="4" fillId="0" borderId="9" xfId="0" applyFont="1" applyBorder="1" applyAlignment="1">
      <alignment vertical="center" wrapText="1"/>
    </xf>
    <xf numFmtId="0" fontId="7"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13" fillId="0" borderId="0" xfId="0" applyFont="1" applyAlignment="1">
      <alignment horizontal="left" vertical="center"/>
    </xf>
    <xf numFmtId="0" fontId="12" fillId="0" borderId="0" xfId="0" applyFont="1">
      <alignmen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3" fillId="0" borderId="0" xfId="0" applyFont="1" applyAlignment="1">
      <alignment vertical="top"/>
    </xf>
    <xf numFmtId="0" fontId="12" fillId="0" borderId="0" xfId="0" applyFont="1" applyAlignment="1">
      <alignment horizontal="left" vertical="center" wrapText="1"/>
    </xf>
    <xf numFmtId="0" fontId="12" fillId="0" borderId="0" xfId="0" applyFont="1" applyAlignment="1">
      <alignment vertical="center" wrapText="1"/>
    </xf>
    <xf numFmtId="0" fontId="6" fillId="0" borderId="0" xfId="0" applyFont="1" applyAlignment="1">
      <alignment horizontal="right" vertical="center"/>
    </xf>
    <xf numFmtId="0" fontId="14" fillId="0" borderId="0" xfId="0" applyFont="1" applyAlignment="1">
      <alignment vertical="top"/>
    </xf>
    <xf numFmtId="0" fontId="4" fillId="2" borderId="12" xfId="0" applyFont="1" applyFill="1" applyBorder="1">
      <alignment vertical="center"/>
    </xf>
    <xf numFmtId="0" fontId="11" fillId="2" borderId="12" xfId="0" applyFont="1" applyFill="1" applyBorder="1" applyAlignment="1">
      <alignment vertical="center" wrapText="1"/>
    </xf>
    <xf numFmtId="0" fontId="15" fillId="0" borderId="0" xfId="0" applyFont="1">
      <alignment vertical="center"/>
    </xf>
    <xf numFmtId="0" fontId="17" fillId="0" borderId="0" xfId="0" applyFont="1">
      <alignment vertical="center"/>
    </xf>
    <xf numFmtId="0" fontId="18" fillId="0" borderId="0" xfId="0" applyFont="1">
      <alignment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4" fillId="0" borderId="0" xfId="0" applyFont="1" applyAlignment="1">
      <alignment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1" fillId="0" borderId="0" xfId="0" applyFont="1">
      <alignment vertical="center"/>
    </xf>
    <xf numFmtId="0" fontId="22" fillId="0" borderId="0" xfId="0" applyFont="1">
      <alignment vertical="center"/>
    </xf>
    <xf numFmtId="49" fontId="21" fillId="0" borderId="0" xfId="0" applyNumberFormat="1" applyFont="1" applyAlignment="1">
      <alignment horizontal="right" vertical="center"/>
    </xf>
    <xf numFmtId="0" fontId="21" fillId="0" borderId="1" xfId="0" applyFont="1" applyBorder="1">
      <alignment vertical="center"/>
    </xf>
    <xf numFmtId="0" fontId="21" fillId="0" borderId="2" xfId="0" applyFont="1" applyBorder="1">
      <alignment vertical="center"/>
    </xf>
    <xf numFmtId="0" fontId="21" fillId="0" borderId="3" xfId="0" applyFont="1" applyBorder="1">
      <alignment vertical="center"/>
    </xf>
    <xf numFmtId="176" fontId="21" fillId="0" borderId="1" xfId="0" applyNumberFormat="1" applyFont="1" applyBorder="1">
      <alignment vertical="center"/>
    </xf>
    <xf numFmtId="176" fontId="21" fillId="0" borderId="2" xfId="0" applyNumberFormat="1" applyFont="1" applyBorder="1">
      <alignment vertical="center"/>
    </xf>
    <xf numFmtId="176" fontId="21" fillId="0" borderId="3" xfId="0" applyNumberFormat="1" applyFont="1" applyBorder="1">
      <alignment vertical="center"/>
    </xf>
    <xf numFmtId="176" fontId="21" fillId="0" borderId="9" xfId="0" applyNumberFormat="1" applyFont="1" applyBorder="1">
      <alignment vertical="center"/>
    </xf>
    <xf numFmtId="176" fontId="21" fillId="0" borderId="10" xfId="0" applyNumberFormat="1" applyFont="1" applyBorder="1">
      <alignment vertical="center"/>
    </xf>
    <xf numFmtId="176" fontId="21" fillId="0" borderId="10" xfId="0" applyNumberFormat="1" applyFont="1" applyBorder="1" applyAlignment="1">
      <alignment horizontal="right" vertical="center"/>
    </xf>
    <xf numFmtId="176" fontId="21" fillId="0" borderId="11" xfId="0" applyNumberFormat="1" applyFont="1" applyBorder="1">
      <alignment vertical="center"/>
    </xf>
    <xf numFmtId="0" fontId="21" fillId="0" borderId="6" xfId="0" applyFont="1" applyBorder="1">
      <alignment vertical="center"/>
    </xf>
    <xf numFmtId="0" fontId="21" fillId="0" borderId="5" xfId="0" applyFont="1" applyBorder="1">
      <alignment vertical="center"/>
    </xf>
    <xf numFmtId="0" fontId="21" fillId="0" borderId="7" xfId="0" applyFont="1" applyBorder="1">
      <alignment vertical="center"/>
    </xf>
    <xf numFmtId="0" fontId="23" fillId="0" borderId="6" xfId="0" applyFont="1" applyBorder="1">
      <alignment vertical="center"/>
    </xf>
    <xf numFmtId="0" fontId="23" fillId="0" borderId="5" xfId="0" applyFont="1" applyBorder="1">
      <alignment vertical="center"/>
    </xf>
    <xf numFmtId="0" fontId="21" fillId="0" borderId="8" xfId="0" applyFont="1" applyBorder="1">
      <alignment vertical="center"/>
    </xf>
    <xf numFmtId="0" fontId="21" fillId="0" borderId="4" xfId="0" applyFont="1" applyBorder="1">
      <alignment vertical="center"/>
    </xf>
    <xf numFmtId="0" fontId="23" fillId="0" borderId="8" xfId="0" applyFont="1" applyBorder="1">
      <alignment vertical="center"/>
    </xf>
    <xf numFmtId="0" fontId="23" fillId="0" borderId="0" xfId="0" applyFont="1">
      <alignment vertical="center"/>
    </xf>
    <xf numFmtId="0" fontId="21" fillId="0" borderId="9" xfId="0" applyFont="1" applyBorder="1">
      <alignment vertical="center"/>
    </xf>
    <xf numFmtId="0" fontId="21" fillId="0" borderId="10" xfId="0" applyFont="1" applyBorder="1">
      <alignment vertical="center"/>
    </xf>
    <xf numFmtId="0" fontId="21" fillId="0" borderId="11" xfId="0" applyFont="1" applyBorder="1">
      <alignment vertical="center"/>
    </xf>
    <xf numFmtId="0" fontId="23" fillId="0" borderId="9" xfId="0" applyFont="1" applyBorder="1">
      <alignment vertical="center"/>
    </xf>
    <xf numFmtId="0" fontId="23" fillId="0" borderId="10" xfId="0" applyFont="1" applyBorder="1">
      <alignment vertical="center"/>
    </xf>
    <xf numFmtId="0" fontId="18" fillId="0" borderId="0" xfId="0" applyFont="1" applyAlignment="1"/>
    <xf numFmtId="0" fontId="18" fillId="0" borderId="0" xfId="0" applyFont="1" applyAlignment="1">
      <alignment vertical="center" wrapText="1"/>
    </xf>
    <xf numFmtId="0" fontId="24" fillId="0" borderId="0" xfId="0" applyFont="1">
      <alignment vertical="center"/>
    </xf>
    <xf numFmtId="0" fontId="25" fillId="0" borderId="0" xfId="0" applyFont="1">
      <alignment vertical="center"/>
    </xf>
    <xf numFmtId="0" fontId="25" fillId="4" borderId="12" xfId="0" applyFont="1" applyFill="1" applyBorder="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4" fillId="0" borderId="2" xfId="0" applyFont="1" applyBorder="1">
      <alignment vertical="center"/>
    </xf>
    <xf numFmtId="0" fontId="11" fillId="0" borderId="0" xfId="0" applyFont="1">
      <alignment vertical="center"/>
    </xf>
    <xf numFmtId="0" fontId="26" fillId="0" borderId="0" xfId="0" applyFont="1">
      <alignment vertical="center"/>
    </xf>
    <xf numFmtId="1" fontId="4" fillId="3" borderId="0" xfId="0" applyNumberFormat="1" applyFont="1" applyFill="1">
      <alignment vertical="center"/>
    </xf>
    <xf numFmtId="0" fontId="10" fillId="0" borderId="0" xfId="0" applyFont="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49" fontId="27" fillId="0" borderId="0" xfId="0" applyNumberFormat="1" applyFont="1" applyProtection="1">
      <alignment vertical="center"/>
      <protection locked="0"/>
    </xf>
    <xf numFmtId="0" fontId="27" fillId="0" borderId="0" xfId="0" applyFont="1" applyProtection="1">
      <alignment vertical="center"/>
      <protection locked="0"/>
    </xf>
    <xf numFmtId="0" fontId="13" fillId="0" borderId="0" xfId="0" applyFont="1">
      <alignment vertical="center"/>
    </xf>
    <xf numFmtId="0" fontId="4" fillId="0" borderId="0" xfId="0" applyFont="1" applyProtection="1">
      <alignment vertical="center"/>
      <protection locked="0"/>
    </xf>
    <xf numFmtId="0" fontId="28" fillId="0" borderId="0" xfId="0" applyFont="1">
      <alignment vertical="center"/>
    </xf>
    <xf numFmtId="0" fontId="29" fillId="0" borderId="0" xfId="0" applyFont="1" applyAlignment="1">
      <alignment horizontal="center" vertical="center"/>
    </xf>
    <xf numFmtId="0" fontId="29" fillId="0" borderId="0" xfId="0" applyFont="1">
      <alignment vertical="center"/>
    </xf>
    <xf numFmtId="184" fontId="29" fillId="0" borderId="0" xfId="0" applyNumberFormat="1" applyFont="1">
      <alignment vertical="center"/>
    </xf>
    <xf numFmtId="0" fontId="30" fillId="0" borderId="0" xfId="0" applyFont="1">
      <alignment vertical="center"/>
    </xf>
    <xf numFmtId="178" fontId="29" fillId="0" borderId="0" xfId="0" applyNumberFormat="1" applyFont="1">
      <alignment vertical="center"/>
    </xf>
    <xf numFmtId="185" fontId="29" fillId="0" borderId="0" xfId="0" applyNumberFormat="1" applyFont="1">
      <alignment vertical="center"/>
    </xf>
    <xf numFmtId="184" fontId="29" fillId="6" borderId="0" xfId="0" applyNumberFormat="1" applyFont="1" applyFill="1">
      <alignment vertical="center"/>
    </xf>
    <xf numFmtId="0" fontId="29" fillId="6" borderId="0" xfId="0" applyFont="1" applyFill="1">
      <alignment vertical="center"/>
    </xf>
    <xf numFmtId="0" fontId="29" fillId="6" borderId="0" xfId="0" applyFont="1" applyFill="1" applyAlignment="1">
      <alignment horizontal="center" vertical="center"/>
    </xf>
    <xf numFmtId="178" fontId="29" fillId="6" borderId="0" xfId="0" applyNumberFormat="1" applyFont="1" applyFill="1">
      <alignment vertical="center"/>
    </xf>
    <xf numFmtId="185" fontId="29" fillId="6" borderId="0" xfId="0" applyNumberFormat="1" applyFont="1" applyFill="1">
      <alignment vertical="center"/>
    </xf>
    <xf numFmtId="178" fontId="29" fillId="7" borderId="10" xfId="0" applyNumberFormat="1" applyFont="1" applyFill="1" applyBorder="1">
      <alignment vertical="center"/>
    </xf>
    <xf numFmtId="0" fontId="28" fillId="0" borderId="13" xfId="0" applyFont="1" applyBorder="1" applyAlignment="1">
      <alignment vertical="top" wrapText="1"/>
    </xf>
    <xf numFmtId="0" fontId="32" fillId="0" borderId="13" xfId="0" applyFont="1" applyBorder="1" applyAlignment="1">
      <alignment vertical="top" wrapText="1"/>
    </xf>
    <xf numFmtId="0" fontId="29" fillId="0" borderId="13" xfId="0" applyFont="1" applyBorder="1" applyAlignment="1">
      <alignment horizontal="center" vertical="top" wrapText="1"/>
    </xf>
    <xf numFmtId="0" fontId="29" fillId="0" borderId="13" xfId="0" applyFont="1" applyBorder="1" applyAlignment="1">
      <alignment vertical="top" wrapText="1"/>
    </xf>
    <xf numFmtId="0" fontId="33" fillId="0" borderId="13" xfId="0" applyFont="1" applyBorder="1" applyAlignment="1">
      <alignment vertical="top" wrapText="1"/>
    </xf>
    <xf numFmtId="184" fontId="29" fillId="0" borderId="13" xfId="0" applyNumberFormat="1" applyFont="1" applyBorder="1" applyAlignment="1">
      <alignment vertical="top" wrapText="1"/>
    </xf>
    <xf numFmtId="0" fontId="29" fillId="0" borderId="1" xfId="0" applyFont="1" applyBorder="1" applyAlignment="1">
      <alignment vertical="top" wrapText="1"/>
    </xf>
    <xf numFmtId="0" fontId="29" fillId="0" borderId="2" xfId="0" applyFont="1" applyBorder="1" applyAlignment="1">
      <alignment horizontal="center" vertical="top" wrapText="1"/>
    </xf>
    <xf numFmtId="0" fontId="29" fillId="0" borderId="2" xfId="0" applyFont="1" applyBorder="1" applyAlignment="1">
      <alignment vertical="top" wrapText="1"/>
    </xf>
    <xf numFmtId="0" fontId="29" fillId="0" borderId="3" xfId="0" applyFont="1" applyBorder="1" applyAlignment="1">
      <alignment horizontal="center" vertical="top" wrapText="1"/>
    </xf>
    <xf numFmtId="0" fontId="29" fillId="0" borderId="1" xfId="0" applyFont="1" applyBorder="1" applyAlignment="1">
      <alignment horizontal="center" vertical="top" wrapText="1"/>
    </xf>
    <xf numFmtId="0" fontId="29" fillId="0" borderId="3" xfId="0" applyFont="1" applyBorder="1" applyAlignment="1">
      <alignment vertical="top"/>
    </xf>
    <xf numFmtId="178" fontId="29" fillId="8" borderId="0" xfId="0" applyNumberFormat="1" applyFont="1" applyFill="1" applyAlignment="1">
      <alignment vertical="top"/>
    </xf>
    <xf numFmtId="178" fontId="29" fillId="8" borderId="0" xfId="0" applyNumberFormat="1" applyFont="1" applyFill="1" applyAlignment="1">
      <alignment vertical="top" wrapText="1"/>
    </xf>
    <xf numFmtId="178" fontId="29" fillId="9" borderId="0" xfId="0" applyNumberFormat="1" applyFont="1" applyFill="1" applyAlignment="1">
      <alignment vertical="top" wrapText="1"/>
    </xf>
    <xf numFmtId="184" fontId="29" fillId="0" borderId="6" xfId="0" applyNumberFormat="1" applyFont="1" applyBorder="1" applyAlignment="1">
      <alignment vertical="top" wrapText="1"/>
    </xf>
    <xf numFmtId="184" fontId="29" fillId="0" borderId="6" xfId="0" applyNumberFormat="1" applyFont="1" applyBorder="1" applyAlignment="1">
      <alignment vertical="top"/>
    </xf>
    <xf numFmtId="185" fontId="29" fillId="0" borderId="7" xfId="0" applyNumberFormat="1" applyFont="1" applyBorder="1" applyAlignment="1">
      <alignment vertical="top"/>
    </xf>
    <xf numFmtId="0" fontId="29" fillId="0" borderId="6" xfId="0" applyFont="1" applyBorder="1" applyAlignment="1">
      <alignment vertical="top" wrapText="1"/>
    </xf>
    <xf numFmtId="0" fontId="29" fillId="0" borderId="7" xfId="0" applyFont="1" applyBorder="1" applyAlignment="1">
      <alignment vertical="top" wrapText="1"/>
    </xf>
    <xf numFmtId="0" fontId="29" fillId="0" borderId="7" xfId="0" applyFont="1" applyBorder="1" applyAlignment="1">
      <alignment horizontal="center" vertical="top" wrapText="1"/>
    </xf>
    <xf numFmtId="0" fontId="29" fillId="0" borderId="6" xfId="0" applyFont="1" applyBorder="1" applyAlignment="1">
      <alignment vertical="top"/>
    </xf>
    <xf numFmtId="184" fontId="29" fillId="0" borderId="5" xfId="0" applyNumberFormat="1" applyFont="1" applyBorder="1" applyAlignment="1">
      <alignment vertical="top" wrapText="1"/>
    </xf>
    <xf numFmtId="0" fontId="29" fillId="0" borderId="5" xfId="0" applyFont="1" applyBorder="1" applyAlignment="1">
      <alignment vertical="top" wrapText="1"/>
    </xf>
    <xf numFmtId="0" fontId="29" fillId="0" borderId="0" xfId="0" applyFont="1" applyAlignment="1">
      <alignment vertical="top" wrapText="1"/>
    </xf>
    <xf numFmtId="178" fontId="29" fillId="8" borderId="0" xfId="0" applyNumberFormat="1" applyFont="1" applyFill="1" applyAlignment="1">
      <alignment horizontal="center" vertical="top" wrapText="1"/>
    </xf>
    <xf numFmtId="178" fontId="29" fillId="9" borderId="1" xfId="0" applyNumberFormat="1" applyFont="1" applyFill="1" applyBorder="1" applyAlignment="1">
      <alignment vertical="top" wrapText="1"/>
    </xf>
    <xf numFmtId="178" fontId="29" fillId="9" borderId="2" xfId="0" applyNumberFormat="1" applyFont="1" applyFill="1" applyBorder="1" applyAlignment="1">
      <alignment vertical="top" wrapText="1"/>
    </xf>
    <xf numFmtId="184" fontId="29" fillId="0" borderId="5" xfId="0" applyNumberFormat="1" applyFont="1" applyBorder="1" applyAlignment="1">
      <alignment vertical="top"/>
    </xf>
    <xf numFmtId="185" fontId="29" fillId="0" borderId="5" xfId="0" applyNumberFormat="1" applyFont="1" applyBorder="1" applyAlignment="1">
      <alignment vertical="top"/>
    </xf>
    <xf numFmtId="0" fontId="34" fillId="0" borderId="29" xfId="0" applyFont="1" applyBorder="1">
      <alignment vertical="center"/>
    </xf>
    <xf numFmtId="0" fontId="32" fillId="0" borderId="29" xfId="0" applyFont="1" applyBorder="1">
      <alignment vertical="center"/>
    </xf>
    <xf numFmtId="0" fontId="29" fillId="0" borderId="29" xfId="0" applyFont="1" applyBorder="1" applyAlignment="1">
      <alignment horizontal="center" vertical="center"/>
    </xf>
    <xf numFmtId="0" fontId="29" fillId="0" borderId="29" xfId="0" applyFont="1" applyBorder="1">
      <alignment vertical="center"/>
    </xf>
    <xf numFmtId="184" fontId="29" fillId="0" borderId="29" xfId="0" applyNumberFormat="1" applyFont="1" applyBorder="1">
      <alignment vertical="center"/>
    </xf>
    <xf numFmtId="0" fontId="29" fillId="0" borderId="13" xfId="0" applyFont="1" applyBorder="1">
      <alignment vertical="center"/>
    </xf>
    <xf numFmtId="0" fontId="29" fillId="0" borderId="13" xfId="0" applyFont="1" applyBorder="1" applyAlignment="1">
      <alignment horizontal="center" vertical="center"/>
    </xf>
    <xf numFmtId="0" fontId="29" fillId="0" borderId="1" xfId="0" applyFont="1" applyBorder="1">
      <alignment vertical="center"/>
    </xf>
    <xf numFmtId="178" fontId="29" fillId="0" borderId="13" xfId="0" applyNumberFormat="1" applyFont="1" applyBorder="1">
      <alignment vertical="center"/>
    </xf>
    <xf numFmtId="178" fontId="29" fillId="4" borderId="1" xfId="0" applyNumberFormat="1" applyFont="1" applyFill="1" applyBorder="1">
      <alignment vertical="center"/>
    </xf>
    <xf numFmtId="178" fontId="29" fillId="4" borderId="3" xfId="0" applyNumberFormat="1" applyFont="1" applyFill="1" applyBorder="1">
      <alignment vertical="center"/>
    </xf>
    <xf numFmtId="178" fontId="29" fillId="2" borderId="1" xfId="0" applyNumberFormat="1" applyFont="1" applyFill="1" applyBorder="1">
      <alignment vertical="center"/>
    </xf>
    <xf numFmtId="178" fontId="29" fillId="2" borderId="2" xfId="0" applyNumberFormat="1" applyFont="1" applyFill="1" applyBorder="1">
      <alignment vertical="center"/>
    </xf>
    <xf numFmtId="178" fontId="29" fillId="2" borderId="3" xfId="0" applyNumberFormat="1" applyFont="1" applyFill="1" applyBorder="1">
      <alignment vertical="center"/>
    </xf>
    <xf numFmtId="178" fontId="29" fillId="10" borderId="1" xfId="0" applyNumberFormat="1" applyFont="1" applyFill="1" applyBorder="1">
      <alignment vertical="center"/>
    </xf>
    <xf numFmtId="178" fontId="29" fillId="10" borderId="2" xfId="0" applyNumberFormat="1" applyFont="1" applyFill="1" applyBorder="1">
      <alignment vertical="center"/>
    </xf>
    <xf numFmtId="178" fontId="29" fillId="10" borderId="3" xfId="0" applyNumberFormat="1" applyFont="1" applyFill="1" applyBorder="1">
      <alignment vertical="center"/>
    </xf>
    <xf numFmtId="178" fontId="35" fillId="6" borderId="3" xfId="0" applyNumberFormat="1" applyFont="1" applyFill="1" applyBorder="1">
      <alignment vertical="center"/>
    </xf>
    <xf numFmtId="178" fontId="29" fillId="7" borderId="1" xfId="0" applyNumberFormat="1" applyFont="1" applyFill="1" applyBorder="1">
      <alignment vertical="center"/>
    </xf>
    <xf numFmtId="178" fontId="29" fillId="7" borderId="2" xfId="0" applyNumberFormat="1" applyFont="1" applyFill="1" applyBorder="1">
      <alignment vertical="center"/>
    </xf>
    <xf numFmtId="178" fontId="29" fillId="7" borderId="3" xfId="0" applyNumberFormat="1" applyFont="1" applyFill="1" applyBorder="1">
      <alignment vertical="center"/>
    </xf>
    <xf numFmtId="178" fontId="29" fillId="11" borderId="1" xfId="0" applyNumberFormat="1" applyFont="1" applyFill="1" applyBorder="1">
      <alignment vertical="center"/>
    </xf>
    <xf numFmtId="178" fontId="29" fillId="11" borderId="2" xfId="0" applyNumberFormat="1" applyFont="1" applyFill="1" applyBorder="1">
      <alignment vertical="center"/>
    </xf>
    <xf numFmtId="178" fontId="29" fillId="11" borderId="3" xfId="0" applyNumberFormat="1" applyFont="1" applyFill="1" applyBorder="1">
      <alignment vertical="center"/>
    </xf>
    <xf numFmtId="178" fontId="29" fillId="3" borderId="1" xfId="0" applyNumberFormat="1" applyFont="1" applyFill="1" applyBorder="1">
      <alignment vertical="center"/>
    </xf>
    <xf numFmtId="178" fontId="29" fillId="3" borderId="2" xfId="0" applyNumberFormat="1" applyFont="1" applyFill="1" applyBorder="1">
      <alignment vertical="center"/>
    </xf>
    <xf numFmtId="178" fontId="29" fillId="3" borderId="3" xfId="0" applyNumberFormat="1" applyFont="1" applyFill="1" applyBorder="1">
      <alignment vertical="center"/>
    </xf>
    <xf numFmtId="178" fontId="29" fillId="4" borderId="2" xfId="0" applyNumberFormat="1" applyFont="1" applyFill="1" applyBorder="1" applyAlignment="1">
      <alignment vertical="center" wrapText="1"/>
    </xf>
    <xf numFmtId="178" fontId="29" fillId="4" borderId="3" xfId="0" applyNumberFormat="1" applyFont="1" applyFill="1" applyBorder="1" applyAlignment="1">
      <alignment vertical="center" wrapText="1"/>
    </xf>
    <xf numFmtId="178" fontId="29" fillId="9" borderId="0" xfId="0" applyNumberFormat="1" applyFont="1" applyFill="1" applyAlignment="1">
      <alignment vertical="center" wrapText="1"/>
    </xf>
    <xf numFmtId="184" fontId="29" fillId="0" borderId="8" xfId="0" applyNumberFormat="1" applyFont="1" applyBorder="1" applyAlignment="1">
      <alignment vertical="top"/>
    </xf>
    <xf numFmtId="185" fontId="29" fillId="0" borderId="4" xfId="0" applyNumberFormat="1" applyFont="1" applyBorder="1" applyAlignment="1">
      <alignment vertical="top"/>
    </xf>
    <xf numFmtId="0" fontId="29" fillId="0" borderId="8" xfId="0" applyFont="1" applyBorder="1">
      <alignment vertical="center"/>
    </xf>
    <xf numFmtId="0" fontId="29" fillId="0" borderId="4" xfId="0" applyFont="1" applyBorder="1">
      <alignment vertical="center"/>
    </xf>
    <xf numFmtId="0" fontId="29" fillId="0" borderId="4" xfId="0" applyFont="1" applyBorder="1" applyAlignment="1">
      <alignment horizontal="center" vertical="center"/>
    </xf>
    <xf numFmtId="186" fontId="29" fillId="0" borderId="29" xfId="0" applyNumberFormat="1" applyFont="1" applyBorder="1">
      <alignment vertical="center"/>
    </xf>
    <xf numFmtId="184" fontId="29" fillId="0" borderId="8" xfId="0" applyNumberFormat="1" applyFont="1" applyBorder="1" applyAlignment="1">
      <alignment vertical="top" wrapText="1"/>
    </xf>
    <xf numFmtId="0" fontId="29" fillId="0" borderId="4" xfId="0" applyFont="1" applyBorder="1" applyAlignment="1">
      <alignment vertical="top" wrapText="1"/>
    </xf>
    <xf numFmtId="178" fontId="29" fillId="4" borderId="2" xfId="0" applyNumberFormat="1" applyFont="1" applyFill="1" applyBorder="1">
      <alignment vertical="center"/>
    </xf>
    <xf numFmtId="178" fontId="35" fillId="6" borderId="1" xfId="0" applyNumberFormat="1" applyFont="1" applyFill="1" applyBorder="1">
      <alignment vertical="center"/>
    </xf>
    <xf numFmtId="178" fontId="29" fillId="8" borderId="13" xfId="0" applyNumberFormat="1" applyFont="1" applyFill="1" applyBorder="1" applyAlignment="1">
      <alignment vertical="center" wrapText="1"/>
    </xf>
    <xf numFmtId="178" fontId="29" fillId="4" borderId="1" xfId="0" applyNumberFormat="1" applyFont="1" applyFill="1" applyBorder="1" applyAlignment="1">
      <alignment vertical="center" wrapText="1"/>
    </xf>
    <xf numFmtId="178" fontId="29" fillId="3" borderId="5" xfId="0" applyNumberFormat="1" applyFont="1" applyFill="1" applyBorder="1">
      <alignment vertical="center"/>
    </xf>
    <xf numFmtId="178" fontId="29" fillId="4" borderId="13" xfId="0" applyNumberFormat="1" applyFont="1" applyFill="1" applyBorder="1" applyAlignment="1">
      <alignment vertical="center" wrapText="1"/>
    </xf>
    <xf numFmtId="0" fontId="29" fillId="0" borderId="9" xfId="0" applyFont="1" applyBorder="1" applyAlignment="1">
      <alignment vertical="top"/>
    </xf>
    <xf numFmtId="184" fontId="29" fillId="0" borderId="10" xfId="0" applyNumberFormat="1" applyFont="1" applyBorder="1" applyAlignment="1">
      <alignment vertical="top"/>
    </xf>
    <xf numFmtId="185" fontId="29" fillId="0" borderId="10" xfId="0" applyNumberFormat="1" applyFont="1" applyBorder="1" applyAlignment="1"/>
    <xf numFmtId="185" fontId="29" fillId="0" borderId="11" xfId="0" applyNumberFormat="1" applyFont="1" applyBorder="1" applyAlignment="1"/>
    <xf numFmtId="0" fontId="34" fillId="5" borderId="14" xfId="0" applyFont="1" applyFill="1" applyBorder="1" applyAlignment="1">
      <alignment vertical="center" wrapText="1"/>
    </xf>
    <xf numFmtId="0" fontId="32" fillId="0" borderId="29" xfId="0" applyFont="1" applyBorder="1" applyAlignment="1">
      <alignment vertical="center" wrapText="1"/>
    </xf>
    <xf numFmtId="0" fontId="30" fillId="0" borderId="29" xfId="0" applyFont="1" applyBorder="1" applyAlignment="1">
      <alignment horizontal="center" vertical="center" wrapText="1"/>
    </xf>
    <xf numFmtId="0" fontId="29" fillId="5" borderId="29" xfId="0" applyFont="1" applyFill="1" applyBorder="1" applyAlignment="1">
      <alignment horizontal="center" vertical="center" wrapText="1"/>
    </xf>
    <xf numFmtId="0" fontId="35" fillId="0" borderId="29" xfId="0" applyFont="1" applyBorder="1" applyAlignment="1">
      <alignment vertical="center" wrapText="1"/>
    </xf>
    <xf numFmtId="184" fontId="29" fillId="0" borderId="29" xfId="0" applyNumberFormat="1" applyFont="1" applyBorder="1" applyAlignment="1">
      <alignment vertical="center" wrapText="1"/>
    </xf>
    <xf numFmtId="0" fontId="29" fillId="0" borderId="29" xfId="0" applyFont="1" applyBorder="1" applyAlignment="1">
      <alignment vertical="center" wrapText="1"/>
    </xf>
    <xf numFmtId="0" fontId="29" fillId="0" borderId="29" xfId="0" applyFont="1" applyBorder="1" applyAlignment="1">
      <alignment horizontal="center" vertical="center" wrapText="1"/>
    </xf>
    <xf numFmtId="178" fontId="29" fillId="0" borderId="29" xfId="0" applyNumberFormat="1" applyFont="1" applyBorder="1" applyAlignment="1">
      <alignment vertical="center" wrapText="1"/>
    </xf>
    <xf numFmtId="178" fontId="29" fillId="0" borderId="13" xfId="0" applyNumberFormat="1" applyFont="1" applyBorder="1" applyAlignment="1">
      <alignment vertical="center" wrapText="1"/>
    </xf>
    <xf numFmtId="178" fontId="29" fillId="5" borderId="13" xfId="0" applyNumberFormat="1" applyFont="1" applyFill="1" applyBorder="1" applyAlignment="1">
      <alignment vertical="center" wrapText="1"/>
    </xf>
    <xf numFmtId="178" fontId="29" fillId="5" borderId="29" xfId="0" applyNumberFormat="1" applyFont="1" applyFill="1" applyBorder="1" applyAlignment="1">
      <alignment vertical="center" wrapText="1"/>
    </xf>
    <xf numFmtId="178" fontId="38" fillId="0" borderId="29" xfId="0" applyNumberFormat="1" applyFont="1" applyBorder="1" applyAlignment="1">
      <alignment vertical="center" wrapText="1"/>
    </xf>
    <xf numFmtId="178" fontId="29" fillId="4" borderId="29" xfId="0" applyNumberFormat="1" applyFont="1" applyFill="1" applyBorder="1" applyAlignment="1">
      <alignment vertical="center" wrapText="1"/>
    </xf>
    <xf numFmtId="178" fontId="39" fillId="0" borderId="13" xfId="0" applyNumberFormat="1" applyFont="1" applyBorder="1" applyAlignment="1">
      <alignment vertical="center" wrapText="1"/>
    </xf>
    <xf numFmtId="178" fontId="29" fillId="0" borderId="14" xfId="0" applyNumberFormat="1" applyFont="1" applyBorder="1" applyAlignment="1">
      <alignment vertical="center" wrapText="1"/>
    </xf>
    <xf numFmtId="178" fontId="41" fillId="8" borderId="0" xfId="0" applyNumberFormat="1" applyFont="1" applyFill="1" applyAlignment="1">
      <alignment vertical="center" wrapText="1"/>
    </xf>
    <xf numFmtId="178" fontId="41" fillId="12" borderId="0" xfId="0" applyNumberFormat="1" applyFont="1" applyFill="1" applyAlignment="1">
      <alignment vertical="center" wrapText="1"/>
    </xf>
    <xf numFmtId="178" fontId="29" fillId="9" borderId="13" xfId="0" applyNumberFormat="1" applyFont="1" applyFill="1" applyBorder="1" applyAlignment="1">
      <alignment vertical="center" wrapText="1"/>
    </xf>
    <xf numFmtId="184" fontId="29" fillId="0" borderId="13" xfId="0" applyNumberFormat="1" applyFont="1" applyBorder="1">
      <alignment vertical="center"/>
    </xf>
    <xf numFmtId="185" fontId="29" fillId="4" borderId="13" xfId="0" applyNumberFormat="1" applyFont="1" applyFill="1" applyBorder="1">
      <alignment vertical="center"/>
    </xf>
    <xf numFmtId="0" fontId="29" fillId="0" borderId="13" xfId="0" applyFont="1" applyBorder="1" applyAlignment="1">
      <alignment vertical="center" wrapText="1"/>
    </xf>
    <xf numFmtId="0" fontId="29" fillId="0" borderId="13" xfId="0" applyFont="1" applyBorder="1" applyAlignment="1">
      <alignment horizontal="center" vertical="center" wrapText="1"/>
    </xf>
    <xf numFmtId="184" fontId="29" fillId="0" borderId="13" xfId="0" applyNumberFormat="1" applyFont="1" applyBorder="1" applyAlignment="1">
      <alignment vertical="center" wrapText="1"/>
    </xf>
    <xf numFmtId="0" fontId="29" fillId="0" borderId="0" xfId="0" applyFont="1" applyAlignment="1">
      <alignment vertical="center" wrapText="1"/>
    </xf>
    <xf numFmtId="178" fontId="29" fillId="4" borderId="12" xfId="0" applyNumberFormat="1" applyFont="1" applyFill="1" applyBorder="1" applyAlignment="1">
      <alignment vertical="center" wrapText="1"/>
    </xf>
    <xf numFmtId="178" fontId="29" fillId="4" borderId="14" xfId="0" applyNumberFormat="1" applyFont="1" applyFill="1" applyBorder="1" applyAlignment="1">
      <alignment vertical="center" wrapText="1"/>
    </xf>
    <xf numFmtId="178" fontId="42" fillId="0" borderId="29" xfId="0" applyNumberFormat="1" applyFont="1" applyBorder="1" applyAlignment="1">
      <alignment vertical="center" wrapText="1"/>
    </xf>
    <xf numFmtId="178" fontId="29" fillId="8" borderId="14" xfId="0" applyNumberFormat="1" applyFont="1" applyFill="1" applyBorder="1" applyAlignment="1">
      <alignment vertical="center" wrapText="1"/>
    </xf>
    <xf numFmtId="178" fontId="29" fillId="0" borderId="0" xfId="0" applyNumberFormat="1" applyFont="1" applyAlignment="1">
      <alignment vertical="center" wrapText="1"/>
    </xf>
    <xf numFmtId="178" fontId="41" fillId="8" borderId="9" xfId="0" applyNumberFormat="1" applyFont="1" applyFill="1" applyBorder="1" applyAlignment="1">
      <alignment vertical="center" wrapText="1"/>
    </xf>
    <xf numFmtId="178" fontId="41" fillId="8" borderId="10" xfId="0" applyNumberFormat="1" applyFont="1" applyFill="1" applyBorder="1" applyAlignment="1">
      <alignment vertical="center" wrapText="1"/>
    </xf>
    <xf numFmtId="178" fontId="41" fillId="12" borderId="10" xfId="0" applyNumberFormat="1" applyFont="1" applyFill="1" applyBorder="1" applyAlignment="1">
      <alignment vertical="center" wrapText="1"/>
    </xf>
    <xf numFmtId="178" fontId="29" fillId="0" borderId="12" xfId="0" applyNumberFormat="1" applyFont="1" applyBorder="1" applyAlignment="1">
      <alignment vertical="center" wrapText="1"/>
    </xf>
    <xf numFmtId="0" fontId="29" fillId="0" borderId="12" xfId="0" applyFont="1" applyBorder="1" applyAlignment="1">
      <alignment vertical="center" wrapText="1"/>
    </xf>
    <xf numFmtId="184" fontId="29" fillId="0" borderId="12" xfId="0" applyNumberFormat="1" applyFont="1" applyBorder="1" applyAlignment="1">
      <alignment vertical="center" wrapText="1"/>
    </xf>
    <xf numFmtId="185" fontId="29" fillId="4" borderId="12" xfId="0" applyNumberFormat="1" applyFont="1" applyFill="1" applyBorder="1" applyAlignment="1">
      <alignment vertical="center" wrapText="1"/>
    </xf>
    <xf numFmtId="0" fontId="34" fillId="5" borderId="12" xfId="0" applyFont="1" applyFill="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4" fontId="0" fillId="0" borderId="12" xfId="0" applyNumberFormat="1" applyBorder="1">
      <alignment vertical="center"/>
    </xf>
    <xf numFmtId="178" fontId="0" fillId="0" borderId="12" xfId="0" applyNumberFormat="1" applyBorder="1">
      <alignment vertical="center"/>
    </xf>
    <xf numFmtId="178" fontId="0" fillId="4" borderId="12" xfId="0" applyNumberFormat="1" applyFill="1" applyBorder="1">
      <alignment vertical="center"/>
    </xf>
    <xf numFmtId="178" fontId="0" fillId="5" borderId="12" xfId="0" applyNumberFormat="1" applyFill="1" applyBorder="1">
      <alignment vertical="center"/>
    </xf>
    <xf numFmtId="178" fontId="32" fillId="4" borderId="12" xfId="0" applyNumberFormat="1" applyFont="1" applyFill="1" applyBorder="1">
      <alignment vertical="center"/>
    </xf>
    <xf numFmtId="187" fontId="0" fillId="0" borderId="12" xfId="0" applyNumberFormat="1" applyBorder="1">
      <alignment vertical="center"/>
    </xf>
    <xf numFmtId="185" fontId="0" fillId="4" borderId="12" xfId="0" applyNumberFormat="1" applyFill="1" applyBorder="1">
      <alignment vertical="center"/>
    </xf>
    <xf numFmtId="183" fontId="0" fillId="0" borderId="12" xfId="0" applyNumberFormat="1" applyBorder="1">
      <alignment vertical="center"/>
    </xf>
    <xf numFmtId="0" fontId="29" fillId="13" borderId="0" xfId="0" applyFont="1" applyFill="1">
      <alignment vertical="center"/>
    </xf>
    <xf numFmtId="0" fontId="44" fillId="0" borderId="12" xfId="0" applyFont="1" applyBorder="1">
      <alignment vertical="center"/>
    </xf>
    <xf numFmtId="178" fontId="29" fillId="13" borderId="0" xfId="0" applyNumberFormat="1" applyFont="1" applyFill="1">
      <alignment vertical="center"/>
    </xf>
    <xf numFmtId="0" fontId="32" fillId="13" borderId="0" xfId="0" applyFont="1" applyFill="1">
      <alignment vertical="center"/>
    </xf>
    <xf numFmtId="178" fontId="29" fillId="13" borderId="0" xfId="0" applyNumberFormat="1" applyFont="1" applyFill="1" applyAlignment="1">
      <alignment horizontal="center" vertical="center"/>
    </xf>
    <xf numFmtId="184" fontId="29" fillId="13" borderId="0" xfId="0" applyNumberFormat="1" applyFont="1" applyFill="1">
      <alignment vertical="center"/>
    </xf>
    <xf numFmtId="0" fontId="29" fillId="13" borderId="0" xfId="0" applyFont="1" applyFill="1" applyAlignment="1">
      <alignment horizontal="center" vertical="center"/>
    </xf>
    <xf numFmtId="0" fontId="0" fillId="5" borderId="12" xfId="0" applyFill="1" applyBorder="1">
      <alignment vertical="center"/>
    </xf>
    <xf numFmtId="0" fontId="0" fillId="5" borderId="12" xfId="0" applyFill="1" applyBorder="1" applyAlignment="1">
      <alignment horizontal="center" vertical="center"/>
    </xf>
    <xf numFmtId="179" fontId="0" fillId="5" borderId="1" xfId="0" applyNumberFormat="1" applyFill="1" applyBorder="1">
      <alignment vertical="center"/>
    </xf>
    <xf numFmtId="0" fontId="0" fillId="5" borderId="2" xfId="0" applyFill="1" applyBorder="1">
      <alignment vertical="center"/>
    </xf>
    <xf numFmtId="0" fontId="0" fillId="5" borderId="3" xfId="0" applyFill="1" applyBorder="1">
      <alignment vertical="center"/>
    </xf>
    <xf numFmtId="184" fontId="29" fillId="0" borderId="0" xfId="0" applyNumberFormat="1" applyFont="1" applyAlignment="1">
      <alignment horizontal="center" vertical="top" wrapText="1"/>
    </xf>
    <xf numFmtId="184" fontId="29" fillId="0" borderId="9" xfId="0" applyNumberFormat="1" applyFont="1" applyBorder="1" applyAlignment="1">
      <alignment vertical="top" wrapText="1"/>
    </xf>
    <xf numFmtId="184" fontId="29" fillId="0" borderId="10" xfId="0" applyNumberFormat="1" applyFont="1" applyBorder="1" applyAlignment="1">
      <alignment vertical="top" wrapText="1"/>
    </xf>
    <xf numFmtId="188" fontId="45" fillId="5" borderId="12" xfId="0" applyNumberFormat="1" applyFont="1" applyFill="1" applyBorder="1">
      <alignment vertical="center"/>
    </xf>
    <xf numFmtId="183" fontId="0" fillId="4" borderId="12" xfId="0" applyNumberFormat="1" applyFill="1" applyBorder="1" applyAlignment="1">
      <alignment horizontal="right" vertical="center"/>
    </xf>
    <xf numFmtId="178" fontId="0" fillId="4" borderId="12" xfId="0" applyNumberFormat="1" applyFill="1" applyBorder="1" applyAlignment="1">
      <alignment horizontal="right" vertical="center"/>
    </xf>
    <xf numFmtId="178" fontId="46" fillId="0" borderId="0" xfId="0" applyNumberFormat="1" applyFont="1">
      <alignment vertical="center"/>
    </xf>
    <xf numFmtId="0" fontId="51" fillId="0" borderId="0" xfId="2" applyFont="1" applyAlignment="1">
      <alignment vertical="center"/>
    </xf>
    <xf numFmtId="49" fontId="51" fillId="0" borderId="34" xfId="2" applyNumberFormat="1" applyFont="1" applyBorder="1" applyAlignment="1">
      <alignment horizontal="center" vertical="center"/>
    </xf>
    <xf numFmtId="189" fontId="32" fillId="0" borderId="35" xfId="2" applyNumberFormat="1" applyFont="1" applyBorder="1" applyAlignment="1">
      <alignment vertical="center"/>
    </xf>
    <xf numFmtId="0" fontId="51" fillId="0" borderId="35" xfId="2" applyFont="1" applyBorder="1" applyAlignment="1">
      <alignment vertical="center"/>
    </xf>
    <xf numFmtId="189" fontId="32" fillId="0" borderId="38" xfId="2" applyNumberFormat="1" applyFont="1" applyBorder="1" applyAlignment="1">
      <alignment vertical="center"/>
    </xf>
    <xf numFmtId="38" fontId="51" fillId="0" borderId="39" xfId="3" applyFont="1" applyFill="1" applyBorder="1" applyAlignment="1">
      <alignment vertical="center"/>
    </xf>
    <xf numFmtId="0" fontId="51" fillId="0" borderId="0" xfId="2" applyFont="1" applyAlignment="1">
      <alignment horizontal="center" vertical="center"/>
    </xf>
    <xf numFmtId="189" fontId="51" fillId="0" borderId="0" xfId="2" applyNumberFormat="1" applyFont="1" applyAlignment="1">
      <alignment vertical="center"/>
    </xf>
    <xf numFmtId="38" fontId="51" fillId="0" borderId="0" xfId="3" applyFont="1" applyAlignment="1">
      <alignment vertical="center"/>
    </xf>
    <xf numFmtId="0" fontId="32" fillId="5" borderId="35" xfId="2" applyFont="1" applyFill="1" applyBorder="1" applyAlignment="1">
      <alignment horizontal="center" vertical="center"/>
    </xf>
    <xf numFmtId="0" fontId="32" fillId="5" borderId="35" xfId="2" applyFont="1" applyFill="1" applyBorder="1" applyAlignment="1">
      <alignment vertical="center"/>
    </xf>
    <xf numFmtId="0" fontId="32" fillId="0" borderId="36" xfId="2" applyFont="1" applyBorder="1" applyAlignment="1">
      <alignment horizontal="center" vertical="center"/>
    </xf>
    <xf numFmtId="0" fontId="32" fillId="0" borderId="36" xfId="2" applyFont="1" applyBorder="1" applyAlignment="1">
      <alignment vertical="center"/>
    </xf>
    <xf numFmtId="0" fontId="32" fillId="0" borderId="42" xfId="2" applyFont="1" applyBorder="1" applyAlignment="1">
      <alignment horizontal="center" vertical="center"/>
    </xf>
    <xf numFmtId="0" fontId="32" fillId="0" borderId="38" xfId="2" applyFont="1" applyBorder="1" applyAlignment="1">
      <alignment vertical="center"/>
    </xf>
    <xf numFmtId="0" fontId="32" fillId="0" borderId="47" xfId="2" applyFont="1" applyBorder="1" applyAlignment="1">
      <alignment vertical="center"/>
    </xf>
    <xf numFmtId="0" fontId="32" fillId="0" borderId="46" xfId="2" applyFont="1" applyBorder="1" applyAlignment="1">
      <alignment vertical="center"/>
    </xf>
    <xf numFmtId="188" fontId="32" fillId="5" borderId="35" xfId="2" applyNumberFormat="1" applyFont="1" applyFill="1" applyBorder="1" applyAlignment="1">
      <alignment vertical="center"/>
    </xf>
    <xf numFmtId="0" fontId="32" fillId="5" borderId="38" xfId="2" applyFont="1" applyFill="1" applyBorder="1" applyAlignment="1">
      <alignment vertical="center"/>
    </xf>
    <xf numFmtId="0" fontId="32" fillId="5" borderId="47" xfId="2" applyFont="1" applyFill="1" applyBorder="1" applyAlignment="1">
      <alignment vertical="center"/>
    </xf>
    <xf numFmtId="0" fontId="32" fillId="5" borderId="46" xfId="2" applyFont="1" applyFill="1" applyBorder="1" applyAlignment="1">
      <alignment vertical="center"/>
    </xf>
    <xf numFmtId="190" fontId="51" fillId="5" borderId="35" xfId="2" applyNumberFormat="1" applyFont="1" applyFill="1" applyBorder="1" applyAlignment="1">
      <alignment vertical="center"/>
    </xf>
    <xf numFmtId="0" fontId="32" fillId="0" borderId="50" xfId="2" applyFont="1" applyBorder="1" applyAlignment="1">
      <alignment horizontal="center" vertical="center"/>
    </xf>
    <xf numFmtId="0" fontId="32" fillId="0" borderId="49" xfId="2" applyFont="1" applyBorder="1" applyAlignment="1">
      <alignment horizontal="center" vertical="center"/>
    </xf>
    <xf numFmtId="38" fontId="0" fillId="4" borderId="12" xfId="1" applyFont="1" applyFill="1" applyBorder="1">
      <alignment vertical="center"/>
    </xf>
    <xf numFmtId="178" fontId="0" fillId="5" borderId="12" xfId="0" applyNumberFormat="1" applyFill="1" applyBorder="1" applyAlignment="1">
      <alignment vertical="center" wrapText="1"/>
    </xf>
    <xf numFmtId="0" fontId="29" fillId="0" borderId="10" xfId="0" applyFont="1" applyBorder="1">
      <alignment vertical="center"/>
    </xf>
    <xf numFmtId="0" fontId="29" fillId="0" borderId="5" xfId="0" applyFont="1" applyBorder="1" applyAlignment="1">
      <alignment horizontal="left" vertical="top" wrapText="1"/>
    </xf>
    <xf numFmtId="0" fontId="29" fillId="0" borderId="13" xfId="0" applyFont="1" applyBorder="1" applyAlignment="1">
      <alignment horizontal="left" vertical="top" wrapText="1"/>
    </xf>
    <xf numFmtId="0" fontId="29" fillId="0" borderId="14" xfId="0" applyFont="1" applyBorder="1">
      <alignment vertical="center"/>
    </xf>
    <xf numFmtId="176" fontId="21" fillId="0" borderId="2" xfId="0" applyNumberFormat="1" applyFont="1" applyBorder="1" applyAlignment="1">
      <alignment horizontal="right" vertical="center"/>
    </xf>
    <xf numFmtId="0" fontId="18" fillId="0" borderId="0" xfId="0" applyFont="1" applyAlignment="1">
      <alignment horizontal="center" vertical="center"/>
    </xf>
    <xf numFmtId="0" fontId="21" fillId="0" borderId="0" xfId="0" applyFont="1" applyProtection="1">
      <alignment vertical="center"/>
      <protection locked="0"/>
    </xf>
    <xf numFmtId="0" fontId="18" fillId="0" borderId="0" xfId="0" applyFont="1" applyProtection="1">
      <alignment vertical="center"/>
      <protection locked="0"/>
    </xf>
    <xf numFmtId="49" fontId="18" fillId="0" borderId="0" xfId="0" applyNumberFormat="1" applyFont="1" applyProtection="1">
      <alignment vertical="center"/>
      <protection locked="0"/>
    </xf>
    <xf numFmtId="0" fontId="21" fillId="0" borderId="0" xfId="0" applyFont="1" applyAlignment="1">
      <alignment horizontal="center" vertical="center"/>
    </xf>
    <xf numFmtId="0" fontId="4" fillId="0" borderId="8" xfId="0" applyFont="1" applyBorder="1" applyAlignment="1">
      <alignment horizontal="left" vertical="center" shrinkToFit="1"/>
    </xf>
    <xf numFmtId="1" fontId="4" fillId="0" borderId="0" xfId="0" applyNumberFormat="1" applyFont="1" applyAlignment="1">
      <alignment horizontal="center" vertical="center"/>
    </xf>
    <xf numFmtId="178" fontId="36" fillId="0" borderId="13" xfId="0" applyNumberFormat="1" applyFont="1" applyBorder="1" applyAlignment="1">
      <alignment vertical="center" wrapText="1"/>
    </xf>
    <xf numFmtId="0" fontId="54" fillId="0" borderId="0" xfId="0" applyFont="1">
      <alignment vertical="center"/>
    </xf>
    <xf numFmtId="0" fontId="58" fillId="0" borderId="0" xfId="0" applyFont="1">
      <alignment vertical="center"/>
    </xf>
    <xf numFmtId="0" fontId="11" fillId="0" borderId="0" xfId="0" applyFont="1" applyAlignment="1">
      <alignment horizontal="right" vertical="center"/>
    </xf>
    <xf numFmtId="0" fontId="59" fillId="0" borderId="0" xfId="0" applyFont="1">
      <alignment vertical="center"/>
    </xf>
    <xf numFmtId="0" fontId="21" fillId="0" borderId="51" xfId="0" applyFont="1" applyBorder="1">
      <alignment vertical="center"/>
    </xf>
    <xf numFmtId="0" fontId="21" fillId="0" borderId="52" xfId="0" applyFont="1" applyBorder="1">
      <alignment vertical="center"/>
    </xf>
    <xf numFmtId="38" fontId="21" fillId="0" borderId="52" xfId="0" applyNumberFormat="1" applyFont="1" applyBorder="1">
      <alignment vertical="center"/>
    </xf>
    <xf numFmtId="0" fontId="21" fillId="0" borderId="53" xfId="0" applyFont="1" applyBorder="1">
      <alignment vertical="center"/>
    </xf>
    <xf numFmtId="0" fontId="11"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0" xfId="0" applyFont="1" applyAlignment="1">
      <alignment horizontal="left" vertical="center" wrapText="1"/>
    </xf>
    <xf numFmtId="183" fontId="4" fillId="2" borderId="12" xfId="0" applyNumberFormat="1" applyFont="1" applyFill="1" applyBorder="1" applyAlignment="1">
      <alignment horizontal="right" vertical="center"/>
    </xf>
    <xf numFmtId="0" fontId="4" fillId="0" borderId="0" xfId="0" applyFont="1" applyAlignment="1">
      <alignment horizontal="left" vertical="center"/>
    </xf>
    <xf numFmtId="0" fontId="9" fillId="0" borderId="0" xfId="0" applyFont="1" applyAlignment="1">
      <alignment horizontal="left" vertical="top" wrapText="1"/>
    </xf>
    <xf numFmtId="0" fontId="3" fillId="0" borderId="0" xfId="0" applyFont="1" applyAlignment="1">
      <alignment horizontal="left" vertical="top" wrapTex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183" fontId="4" fillId="2" borderId="1" xfId="0" applyNumberFormat="1" applyFont="1" applyFill="1" applyBorder="1" applyAlignment="1">
      <alignment horizontal="center" vertical="center"/>
    </xf>
    <xf numFmtId="183" fontId="4" fillId="2" borderId="2" xfId="0" applyNumberFormat="1" applyFont="1" applyFill="1" applyBorder="1" applyAlignment="1">
      <alignment horizontal="center" vertical="center"/>
    </xf>
    <xf numFmtId="177" fontId="4" fillId="0" borderId="2" xfId="0" applyNumberFormat="1" applyFont="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14" fillId="0" borderId="0" xfId="0" applyFont="1" applyAlignment="1">
      <alignment horizontal="left" vertical="top" wrapText="1"/>
    </xf>
    <xf numFmtId="0" fontId="7" fillId="0" borderId="12" xfId="0" applyFont="1" applyBorder="1" applyAlignment="1">
      <alignment horizontal="center" vertical="center" wrapText="1"/>
    </xf>
    <xf numFmtId="0" fontId="4" fillId="0" borderId="12"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2" fillId="0" borderId="0" xfId="0" applyFont="1" applyAlignment="1">
      <alignment horizontal="left" vertical="center"/>
    </xf>
    <xf numFmtId="0" fontId="4" fillId="0" borderId="12" xfId="0" applyFont="1" applyBorder="1" applyAlignment="1" applyProtection="1">
      <alignment horizontal="center" vertical="center"/>
      <protection locked="0"/>
    </xf>
    <xf numFmtId="0" fontId="4" fillId="0" borderId="12" xfId="0" applyFont="1" applyBorder="1" applyAlignment="1">
      <alignment horizontal="left" vertical="center" wrapText="1"/>
    </xf>
    <xf numFmtId="0" fontId="12" fillId="0" borderId="0" xfId="0" applyFont="1" applyAlignment="1">
      <alignment horizontal="left"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2" xfId="0" applyFont="1" applyBorder="1" applyAlignment="1">
      <alignment horizontal="left" vertical="center"/>
    </xf>
    <xf numFmtId="0" fontId="12" fillId="0" borderId="0" xfId="0" applyFont="1" applyAlignment="1">
      <alignment horizontal="left" vertical="center" wrapText="1"/>
    </xf>
    <xf numFmtId="0" fontId="4" fillId="0" borderId="12" xfId="0" applyFont="1" applyBorder="1" applyAlignment="1" applyProtection="1">
      <alignment horizontal="center" vertical="center" wrapText="1"/>
      <protection locked="0"/>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center" vertical="center"/>
    </xf>
    <xf numFmtId="0" fontId="4" fillId="0" borderId="0" xfId="0" applyFont="1" applyAlignment="1">
      <alignmen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shrinkToFit="1"/>
      <protection locked="0"/>
    </xf>
    <xf numFmtId="0" fontId="11" fillId="0" borderId="0" xfId="0" applyFont="1" applyAlignment="1">
      <alignment horizontal="left" vertical="center" wrapText="1"/>
    </xf>
    <xf numFmtId="0" fontId="11" fillId="0" borderId="4" xfId="0" applyFont="1" applyBorder="1" applyAlignment="1">
      <alignment horizontal="left" vertical="center" wrapText="1"/>
    </xf>
    <xf numFmtId="0" fontId="4" fillId="0" borderId="12"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177" fontId="4" fillId="0" borderId="10" xfId="0" applyNumberFormat="1"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177" fontId="4" fillId="0" borderId="5" xfId="0" applyNumberFormat="1"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5" xfId="0" applyFont="1" applyBorder="1" applyAlignment="1">
      <alignment horizontal="center" vertical="center"/>
    </xf>
    <xf numFmtId="178" fontId="4" fillId="0" borderId="25" xfId="0" applyNumberFormat="1" applyFont="1" applyBorder="1" applyAlignment="1" applyProtection="1">
      <alignment horizontal="center" vertical="center"/>
      <protection locked="0"/>
    </xf>
    <xf numFmtId="179" fontId="4" fillId="0" borderId="10" xfId="0" applyNumberFormat="1" applyFont="1" applyBorder="1" applyAlignment="1" applyProtection="1">
      <alignment horizontal="right" vertical="center"/>
      <protection locked="0"/>
    </xf>
    <xf numFmtId="0" fontId="4" fillId="0" borderId="6"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7" fontId="4" fillId="0" borderId="0" xfId="0" applyNumberFormat="1" applyFont="1" applyAlignment="1" applyProtection="1">
      <alignment horizontal="center"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0" xfId="0" applyFont="1" applyAlignment="1" applyProtection="1">
      <alignment horizontal="center" vertical="center"/>
      <protection locked="0"/>
    </xf>
    <xf numFmtId="179" fontId="4" fillId="0" borderId="0" xfId="0" applyNumberFormat="1" applyFont="1" applyAlignment="1" applyProtection="1">
      <alignment horizontal="center" vertical="center"/>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81" fontId="4" fillId="0" borderId="8" xfId="0"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182" fontId="4" fillId="0" borderId="0" xfId="0" applyNumberFormat="1" applyFont="1" applyAlignment="1" applyProtection="1">
      <alignment horizontal="right" vertical="center"/>
      <protection locked="0"/>
    </xf>
    <xf numFmtId="182" fontId="4" fillId="0" borderId="1" xfId="0" applyNumberFormat="1" applyFont="1" applyBorder="1" applyAlignment="1" applyProtection="1">
      <alignment horizontal="right" vertical="center"/>
      <protection locked="0"/>
    </xf>
    <xf numFmtId="182" fontId="4" fillId="0" borderId="2" xfId="0" applyNumberFormat="1" applyFont="1" applyBorder="1" applyAlignment="1" applyProtection="1">
      <alignment horizontal="right" vertical="center"/>
      <protection locked="0"/>
    </xf>
    <xf numFmtId="182" fontId="4" fillId="0" borderId="3" xfId="0" applyNumberFormat="1" applyFont="1" applyBorder="1" applyAlignment="1" applyProtection="1">
      <alignment horizontal="right" vertical="center"/>
      <protection locked="0"/>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179" fontId="4" fillId="0" borderId="5" xfId="0" applyNumberFormat="1" applyFont="1" applyBorder="1" applyAlignment="1" applyProtection="1">
      <alignment horizontal="righ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6" fillId="0" borderId="0" xfId="0" applyFont="1" applyAlignment="1">
      <alignment horizontal="left" vertical="center" wrapText="1"/>
    </xf>
    <xf numFmtId="0" fontId="11" fillId="0" borderId="6"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180" fontId="4" fillId="2" borderId="1" xfId="0" applyNumberFormat="1" applyFont="1" applyFill="1" applyBorder="1" applyAlignment="1">
      <alignment horizontal="center" vertical="center"/>
    </xf>
    <xf numFmtId="180" fontId="4" fillId="2" borderId="2" xfId="0" applyNumberFormat="1" applyFont="1" applyFill="1" applyBorder="1" applyAlignment="1">
      <alignment horizontal="center" vertical="center"/>
    </xf>
    <xf numFmtId="0" fontId="3" fillId="0" borderId="0" xfId="0" applyFont="1" applyAlignment="1">
      <alignment horizontal="left" vertical="center" wrapText="1"/>
    </xf>
    <xf numFmtId="0" fontId="52" fillId="0" borderId="8" xfId="0" applyFont="1" applyBorder="1" applyAlignment="1">
      <alignment horizontal="left" vertical="center" wrapText="1"/>
    </xf>
    <xf numFmtId="0" fontId="52" fillId="0" borderId="0" xfId="0" applyFont="1" applyAlignment="1">
      <alignment horizontal="left" vertical="center" wrapText="1"/>
    </xf>
    <xf numFmtId="0" fontId="52" fillId="0" borderId="4" xfId="0" applyFont="1" applyBorder="1" applyAlignment="1">
      <alignment horizontal="left" vertical="center" wrapText="1"/>
    </xf>
    <xf numFmtId="0" fontId="7" fillId="0" borderId="13" xfId="0" applyFont="1" applyBorder="1" applyAlignment="1">
      <alignment horizontal="center" vertical="center" wrapText="1"/>
    </xf>
    <xf numFmtId="181" fontId="4" fillId="0" borderId="6"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right" vertical="center"/>
      <protection locked="0"/>
    </xf>
    <xf numFmtId="181" fontId="4" fillId="0" borderId="7" xfId="0" applyNumberFormat="1" applyFont="1" applyBorder="1" applyAlignment="1" applyProtection="1">
      <alignment horizontal="right" vertical="center"/>
      <protection locked="0"/>
    </xf>
    <xf numFmtId="181" fontId="4" fillId="0" borderId="9"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0" fontId="56" fillId="0" borderId="0" xfId="0" applyFont="1" applyAlignment="1">
      <alignment horizontal="left" vertical="center" wrapText="1"/>
    </xf>
    <xf numFmtId="1" fontId="4" fillId="2" borderId="1"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179" fontId="4" fillId="0" borderId="2" xfId="0" applyNumberFormat="1" applyFont="1" applyBorder="1" applyAlignment="1" applyProtection="1">
      <alignment horizontal="right" vertical="center"/>
      <protection locked="0"/>
    </xf>
    <xf numFmtId="0" fontId="8" fillId="0" borderId="0" xfId="0" applyFont="1" applyAlignment="1">
      <alignment horizontal="center" vertical="center"/>
    </xf>
    <xf numFmtId="0" fontId="4" fillId="0" borderId="11" xfId="0" applyFont="1" applyBorder="1" applyAlignment="1">
      <alignment horizontal="center" vertical="center" shrinkToFit="1"/>
    </xf>
    <xf numFmtId="181" fontId="4" fillId="0" borderId="4" xfId="0" applyNumberFormat="1" applyFont="1" applyBorder="1" applyAlignment="1" applyProtection="1">
      <alignment horizontal="right" vertical="center"/>
      <protection locked="0"/>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20" fillId="0" borderId="0" xfId="0" applyFont="1" applyAlignment="1">
      <alignment horizontal="center" vertical="center"/>
    </xf>
    <xf numFmtId="0" fontId="4" fillId="0" borderId="0" xfId="0" applyFont="1" applyAlignment="1">
      <alignment horizontal="left" vertical="top" wrapText="1"/>
    </xf>
    <xf numFmtId="176" fontId="21" fillId="0" borderId="2" xfId="0" applyNumberFormat="1" applyFont="1" applyBorder="1" applyAlignment="1">
      <alignment horizontal="right" vertical="center"/>
    </xf>
    <xf numFmtId="0" fontId="23" fillId="0" borderId="0" xfId="0" applyFont="1" applyAlignment="1">
      <alignment horizontal="center" vertical="center"/>
    </xf>
    <xf numFmtId="0" fontId="27" fillId="0" borderId="0" xfId="0" applyFont="1" applyAlignment="1" applyProtection="1">
      <alignment horizontal="center" vertical="center"/>
      <protection locked="0"/>
    </xf>
    <xf numFmtId="0" fontId="21" fillId="0" borderId="0" xfId="0" applyFont="1" applyAlignment="1">
      <alignment horizontal="left" vertical="center"/>
    </xf>
    <xf numFmtId="0" fontId="23" fillId="0" borderId="0" xfId="0" applyFont="1" applyAlignment="1">
      <alignment horizontal="left" vertical="center" wrapText="1"/>
    </xf>
    <xf numFmtId="0" fontId="59" fillId="0" borderId="0" xfId="0" applyFont="1" applyAlignment="1">
      <alignment horizontal="left" vertical="center" wrapText="1"/>
    </xf>
    <xf numFmtId="0" fontId="21" fillId="0" borderId="0" xfId="0" applyFont="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left" vertical="center" wrapText="1"/>
    </xf>
    <xf numFmtId="178" fontId="30" fillId="6" borderId="2" xfId="0" applyNumberFormat="1" applyFont="1" applyFill="1" applyBorder="1" applyAlignment="1">
      <alignment horizontal="center" vertical="center"/>
    </xf>
    <xf numFmtId="178" fontId="30" fillId="6" borderId="3" xfId="0" applyNumberFormat="1" applyFont="1" applyFill="1" applyBorder="1" applyAlignment="1">
      <alignment horizontal="center" vertical="center"/>
    </xf>
    <xf numFmtId="178" fontId="30" fillId="6" borderId="1" xfId="0" applyNumberFormat="1" applyFont="1" applyFill="1" applyBorder="1" applyAlignment="1">
      <alignment horizontal="center" vertical="center"/>
    </xf>
    <xf numFmtId="184" fontId="29" fillId="0" borderId="1" xfId="0" applyNumberFormat="1" applyFont="1" applyBorder="1" applyAlignment="1">
      <alignment horizontal="center" vertical="center"/>
    </xf>
    <xf numFmtId="184" fontId="29" fillId="0" borderId="2" xfId="0" applyNumberFormat="1" applyFont="1" applyBorder="1" applyAlignment="1">
      <alignment horizontal="center" vertical="center"/>
    </xf>
    <xf numFmtId="184" fontId="29" fillId="0" borderId="3" xfId="0" applyNumberFormat="1" applyFont="1" applyBorder="1" applyAlignment="1">
      <alignment horizontal="center" vertical="center"/>
    </xf>
    <xf numFmtId="178" fontId="29" fillId="4" borderId="0" xfId="0" applyNumberFormat="1" applyFont="1" applyFill="1" applyAlignment="1">
      <alignment horizontal="center" vertical="top" wrapText="1"/>
    </xf>
    <xf numFmtId="0" fontId="29" fillId="0" borderId="6" xfId="0" applyFont="1" applyBorder="1" applyAlignment="1">
      <alignment horizontal="left" vertical="top"/>
    </xf>
    <xf numFmtId="0" fontId="29" fillId="0" borderId="5" xfId="0" applyFont="1" applyBorder="1" applyAlignment="1">
      <alignment horizontal="left" vertical="top"/>
    </xf>
    <xf numFmtId="0" fontId="29" fillId="0" borderId="7" xfId="0" applyFont="1" applyBorder="1" applyAlignment="1">
      <alignment horizontal="left" vertical="top"/>
    </xf>
    <xf numFmtId="0" fontId="48" fillId="0" borderId="30" xfId="2" applyFont="1" applyBorder="1" applyAlignment="1">
      <alignment horizontal="center" vertical="center" wrapText="1" shrinkToFit="1"/>
    </xf>
    <xf numFmtId="0" fontId="50" fillId="0" borderId="34" xfId="2" applyFont="1" applyBorder="1" applyAlignment="1">
      <alignment horizontal="center" vertical="center" wrapText="1" shrinkToFit="1"/>
    </xf>
    <xf numFmtId="0" fontId="32" fillId="0" borderId="31" xfId="2" applyFont="1" applyBorder="1" applyAlignment="1">
      <alignment horizontal="center" vertical="center"/>
    </xf>
    <xf numFmtId="0" fontId="32" fillId="0" borderId="35" xfId="2" applyFont="1" applyBorder="1" applyAlignment="1">
      <alignment horizontal="center" vertical="center"/>
    </xf>
    <xf numFmtId="0" fontId="32" fillId="0" borderId="48" xfId="2" applyFont="1" applyBorder="1" applyAlignment="1">
      <alignment horizontal="center" vertical="center"/>
    </xf>
    <xf numFmtId="0" fontId="32" fillId="0" borderId="49" xfId="2" applyFont="1" applyBorder="1" applyAlignment="1">
      <alignment horizontal="center" vertical="center"/>
    </xf>
    <xf numFmtId="38" fontId="32" fillId="0" borderId="33" xfId="3" applyFont="1" applyFill="1" applyBorder="1" applyAlignment="1">
      <alignment horizontal="center" vertical="center"/>
    </xf>
    <xf numFmtId="38" fontId="32" fillId="0" borderId="37" xfId="3" applyFont="1" applyFill="1" applyBorder="1" applyAlignment="1">
      <alignment horizontal="center" vertical="center"/>
    </xf>
    <xf numFmtId="0" fontId="32" fillId="0" borderId="40" xfId="2" applyFont="1" applyBorder="1" applyAlignment="1">
      <alignment horizontal="center" vertical="center"/>
    </xf>
    <xf numFmtId="0" fontId="32" fillId="0" borderId="41" xfId="2" applyFont="1" applyBorder="1" applyAlignment="1">
      <alignment horizontal="center" vertical="center"/>
    </xf>
    <xf numFmtId="0" fontId="32" fillId="0" borderId="42" xfId="2" applyFont="1" applyBorder="1" applyAlignment="1">
      <alignment horizontal="center" vertical="center"/>
    </xf>
    <xf numFmtId="0" fontId="32" fillId="0" borderId="43" xfId="2" applyFont="1" applyBorder="1" applyAlignment="1">
      <alignment horizontal="center" vertical="center"/>
    </xf>
    <xf numFmtId="0" fontId="32" fillId="0" borderId="44" xfId="2" applyFont="1" applyBorder="1" applyAlignment="1">
      <alignment horizontal="center" vertical="center"/>
    </xf>
    <xf numFmtId="0" fontId="32" fillId="0" borderId="45" xfId="2" applyFont="1" applyBorder="1" applyAlignment="1">
      <alignment horizontal="center" vertical="center"/>
    </xf>
    <xf numFmtId="0" fontId="32" fillId="0" borderId="50" xfId="2" applyFont="1" applyBorder="1" applyAlignment="1">
      <alignment horizontal="center" vertical="center"/>
    </xf>
    <xf numFmtId="0" fontId="32" fillId="0" borderId="36" xfId="2" applyFont="1" applyBorder="1" applyAlignment="1">
      <alignment horizontal="center" vertical="center"/>
    </xf>
    <xf numFmtId="0" fontId="50" fillId="0" borderId="31" xfId="2" applyFont="1" applyBorder="1" applyAlignment="1">
      <alignment horizontal="center" vertical="center" wrapText="1"/>
    </xf>
    <xf numFmtId="0" fontId="50" fillId="0" borderId="35" xfId="2" applyFont="1" applyBorder="1" applyAlignment="1">
      <alignment horizontal="center" vertical="center"/>
    </xf>
    <xf numFmtId="0" fontId="50" fillId="0" borderId="31" xfId="2" applyFont="1" applyBorder="1" applyAlignment="1">
      <alignment horizontal="center" vertical="center" wrapText="1" shrinkToFit="1"/>
    </xf>
    <xf numFmtId="0" fontId="50" fillId="0" borderId="35" xfId="2" applyFont="1" applyBorder="1" applyAlignment="1">
      <alignment horizontal="center" vertical="center" wrapText="1" shrinkToFit="1"/>
    </xf>
    <xf numFmtId="0" fontId="50" fillId="0" borderId="35" xfId="2" applyFont="1" applyBorder="1" applyAlignment="1">
      <alignment horizontal="center" vertical="center" wrapText="1"/>
    </xf>
    <xf numFmtId="189" fontId="50" fillId="0" borderId="32" xfId="2" applyNumberFormat="1" applyFont="1" applyBorder="1" applyAlignment="1">
      <alignment horizontal="center" vertical="center" wrapText="1"/>
    </xf>
    <xf numFmtId="189" fontId="50" fillId="0" borderId="36" xfId="2" applyNumberFormat="1" applyFont="1" applyBorder="1" applyAlignment="1">
      <alignment horizontal="center" vertical="center" wrapText="1"/>
    </xf>
    <xf numFmtId="49" fontId="11" fillId="0" borderId="0" xfId="0" applyNumberFormat="1" applyFont="1">
      <alignment vertical="center"/>
    </xf>
  </cellXfs>
  <cellStyles count="5">
    <cellStyle name="パーセント 2" xfId="4" xr:uid="{00000000-0005-0000-0000-000000000000}"/>
    <cellStyle name="桁区切り" xfId="1" builtinId="6"/>
    <cellStyle name="桁区切り 2" xfId="3" xr:uid="{00000000-0005-0000-0000-000002000000}"/>
    <cellStyle name="標準" xfId="0" builtinId="0"/>
    <cellStyle name="標準 2" xfId="2" xr:uid="{00000000-0005-0000-0000-000004000000}"/>
  </cellStyles>
  <dxfs count="79">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FFFFCC"/>
      <color rgb="FF0000FF"/>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32384</xdr:rowOff>
    </xdr:from>
    <xdr:to>
      <xdr:col>26</xdr:col>
      <xdr:colOff>110490</xdr:colOff>
      <xdr:row>4</xdr:row>
      <xdr:rowOff>87629</xdr:rowOff>
    </xdr:to>
    <xdr:sp macro="" textlink="">
      <xdr:nvSpPr>
        <xdr:cNvPr id="2" name="四角形: 角を丸くする 1">
          <a:extLst>
            <a:ext uri="{FF2B5EF4-FFF2-40B4-BE49-F238E27FC236}">
              <a16:creationId xmlns:a16="http://schemas.microsoft.com/office/drawing/2014/main" id="{937CF19E-6FE4-EB5C-D721-8DF37E7056CD}"/>
            </a:ext>
          </a:extLst>
        </xdr:cNvPr>
        <xdr:cNvSpPr/>
      </xdr:nvSpPr>
      <xdr:spPr>
        <a:xfrm>
          <a:off x="133350" y="32384"/>
          <a:ext cx="5711190" cy="741045"/>
        </a:xfrm>
        <a:prstGeom prst="roundRect">
          <a:avLst/>
        </a:prstGeom>
        <a:solidFill>
          <a:srgbClr val="FFFF00"/>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注意事項</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○常に最新バージョンの様式を使用し、様式は使い回さないようにしてください。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（右上記載のバージョン番号がホームページ等に掲載されている最新のものか確認。）</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20225;&#30011;&#25285;&#24403;\03_&#12392;&#12387;&#12392;&#12426;&#20303;&#12414;&#12356;&#12427;&#25903;&#25588;&#20107;&#26989;\01%20&#20132;&#20184;&#35201;&#32177;\R5.4\&#27096;&#24335;\HP&#29992;\R5_youshiki1gou2goutateuritouroku04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２号】事業計画書兼チェックシート（新築）"/>
      <sheetName val="【様式第６号】（別紙）補助金併用一覧"/>
      <sheetName val="登録申請書（計画書連動）（住まいる）"/>
      <sheetName val="登録申請書（計画書連動）（未来型）"/>
      <sheetName val="住まいる台帳コピー"/>
      <sheetName val="未来型台帳コピー"/>
      <sheetName val="（使わない）様式11号（省エネ性能説明書）"/>
    </sheetNames>
    <sheetDataSet>
      <sheetData sheetId="0">
        <row r="10">
          <cell r="O10">
            <v>0</v>
          </cell>
        </row>
        <row r="29">
          <cell r="BG29" t="str">
            <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BH261"/>
  <sheetViews>
    <sheetView showGridLines="0" tabSelected="1" view="pageBreakPreview" zoomScaleNormal="100" zoomScaleSheetLayoutView="100" workbookViewId="0">
      <selection activeCell="O155" sqref="O155:Z155"/>
    </sheetView>
  </sheetViews>
  <sheetFormatPr defaultColWidth="3.109375" defaultRowHeight="13.2" x14ac:dyDescent="0.2"/>
  <cols>
    <col min="1" max="1" width="4.109375" style="1" customWidth="1"/>
    <col min="2" max="2" width="3.6640625" style="1" customWidth="1"/>
    <col min="3" max="5" width="3.109375" style="1"/>
    <col min="6" max="6" width="3.33203125" style="1" customWidth="1"/>
    <col min="7" max="11" width="3.109375" style="1"/>
    <col min="12" max="12" width="3.44140625" style="1" bestFit="1" customWidth="1"/>
    <col min="13" max="15" width="3.109375" style="1"/>
    <col min="16" max="16" width="4" style="1" customWidth="1"/>
    <col min="17" max="17" width="3.44140625" style="1" bestFit="1" customWidth="1"/>
    <col min="18" max="21" width="3.109375" style="1"/>
    <col min="22" max="22" width="3.44140625" style="1" bestFit="1" customWidth="1"/>
    <col min="23" max="26" width="3.109375" style="1"/>
    <col min="27" max="27" width="3.88671875" style="1" customWidth="1"/>
    <col min="28" max="28" width="9.5546875" style="3" bestFit="1" customWidth="1"/>
    <col min="29" max="31" width="3.109375" style="3"/>
    <col min="32" max="35" width="3.44140625" style="3" bestFit="1" customWidth="1"/>
    <col min="36" max="39" width="3.109375" style="3"/>
    <col min="40" max="41" width="3.44140625" style="3" bestFit="1" customWidth="1"/>
    <col min="42" max="55" width="3.109375" style="3"/>
    <col min="56" max="58" width="3.109375" style="1"/>
    <col min="59" max="59" width="7.109375" style="1" customWidth="1"/>
    <col min="60" max="16384" width="3.109375" style="1"/>
  </cols>
  <sheetData>
    <row r="6" spans="1:60" ht="13.5" customHeight="1" x14ac:dyDescent="0.2">
      <c r="A6" s="1" t="s">
        <v>415</v>
      </c>
      <c r="K6" s="2"/>
      <c r="L6" s="2"/>
      <c r="M6" s="2"/>
      <c r="N6" s="2"/>
      <c r="O6" s="2"/>
      <c r="P6" s="2"/>
      <c r="Q6" s="2"/>
      <c r="R6" s="2"/>
      <c r="Z6" s="48"/>
      <c r="AA6" s="309" t="s">
        <v>461</v>
      </c>
      <c r="AC6" s="4" t="s">
        <v>74</v>
      </c>
      <c r="BG6" s="1" t="s">
        <v>117</v>
      </c>
      <c r="BH6" s="1" t="s">
        <v>134</v>
      </c>
    </row>
    <row r="7" spans="1:60" ht="19.2" x14ac:dyDescent="0.2">
      <c r="K7" s="2"/>
      <c r="L7" s="2"/>
      <c r="M7" s="2"/>
      <c r="N7" s="2"/>
      <c r="O7" s="2"/>
      <c r="P7" s="2"/>
      <c r="Q7" s="2"/>
      <c r="R7" s="2"/>
      <c r="Y7" s="1" t="s">
        <v>462</v>
      </c>
      <c r="AC7" s="4" t="s">
        <v>168</v>
      </c>
      <c r="BG7" s="1" t="s">
        <v>118</v>
      </c>
      <c r="BH7" s="1" t="s">
        <v>135</v>
      </c>
    </row>
    <row r="8" spans="1:60" ht="15.6" customHeight="1" x14ac:dyDescent="0.2">
      <c r="A8" s="324" t="s">
        <v>403</v>
      </c>
      <c r="B8" s="324"/>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C8" s="4" t="s">
        <v>71</v>
      </c>
      <c r="BG8" s="1" t="s">
        <v>119</v>
      </c>
      <c r="BH8" s="1" t="s">
        <v>136</v>
      </c>
    </row>
    <row r="9" spans="1:60" ht="15" customHeight="1" x14ac:dyDescent="0.2">
      <c r="A9" s="315" t="s">
        <v>444</v>
      </c>
      <c r="B9" s="315"/>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C9" s="4" t="s">
        <v>71</v>
      </c>
      <c r="BG9" s="1" t="s">
        <v>409</v>
      </c>
      <c r="BH9" s="1" t="s">
        <v>410</v>
      </c>
    </row>
    <row r="10" spans="1:60" x14ac:dyDescent="0.2">
      <c r="A10" s="322" t="s">
        <v>404</v>
      </c>
      <c r="B10" s="322"/>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BG10" s="1" t="s">
        <v>120</v>
      </c>
      <c r="BH10" s="1" t="s">
        <v>134</v>
      </c>
    </row>
    <row r="11" spans="1:60" x14ac:dyDescent="0.2">
      <c r="A11" s="322"/>
      <c r="B11" s="322"/>
      <c r="C11" s="322"/>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BG11" s="1" t="s">
        <v>121</v>
      </c>
      <c r="BH11" s="1" t="s">
        <v>134</v>
      </c>
    </row>
    <row r="12" spans="1:60" ht="6" customHeight="1" x14ac:dyDescent="0.2">
      <c r="BG12" s="1" t="s">
        <v>122</v>
      </c>
      <c r="BH12" s="1" t="s">
        <v>134</v>
      </c>
    </row>
    <row r="13" spans="1:60" x14ac:dyDescent="0.2">
      <c r="C13" s="413" t="s">
        <v>216</v>
      </c>
      <c r="D13" s="413"/>
      <c r="E13" s="412"/>
      <c r="F13" s="412"/>
      <c r="G13" s="1" t="s">
        <v>7</v>
      </c>
      <c r="H13" s="403"/>
      <c r="I13" s="403"/>
      <c r="J13" s="1" t="s">
        <v>22</v>
      </c>
      <c r="K13" s="403"/>
      <c r="L13" s="403"/>
      <c r="M13" s="1" t="s">
        <v>6</v>
      </c>
      <c r="AB13" s="4" t="str">
        <f>IF(OR(C13="",H13="",K13=""),"←リストから選択してください（和暦年月日）","")</f>
        <v>←リストから選択してください（和暦年月日）</v>
      </c>
      <c r="BG13" s="1" t="s">
        <v>137</v>
      </c>
      <c r="BH13" s="1" t="s">
        <v>134</v>
      </c>
    </row>
    <row r="14" spans="1:60" ht="3" customHeight="1" x14ac:dyDescent="0.2">
      <c r="BG14" s="1" t="s">
        <v>123</v>
      </c>
      <c r="BH14" s="1" t="s">
        <v>136</v>
      </c>
    </row>
    <row r="15" spans="1:60" x14ac:dyDescent="0.2">
      <c r="J15" s="6" t="s">
        <v>10</v>
      </c>
      <c r="K15" s="39"/>
      <c r="L15" s="39"/>
      <c r="M15" s="7"/>
      <c r="N15" s="6" t="s">
        <v>9</v>
      </c>
      <c r="O15" s="394"/>
      <c r="P15" s="394"/>
      <c r="Q15" s="394"/>
      <c r="R15" s="394"/>
      <c r="S15" s="394"/>
      <c r="T15" s="394"/>
      <c r="U15" s="394"/>
      <c r="V15" s="394"/>
      <c r="W15" s="394"/>
      <c r="X15" s="394"/>
      <c r="Y15" s="394"/>
      <c r="Z15" s="395"/>
      <c r="AB15" s="4" t="str">
        <f>IF(O15="","←直接郵便番号を記入してください","")</f>
        <v>←直接郵便番号を記入してください</v>
      </c>
      <c r="BG15" s="1" t="s">
        <v>124</v>
      </c>
      <c r="BH15" s="1" t="s">
        <v>136</v>
      </c>
    </row>
    <row r="16" spans="1:60" ht="23.1" customHeight="1" x14ac:dyDescent="0.2">
      <c r="J16" s="8"/>
      <c r="K16" s="17"/>
      <c r="L16" s="17"/>
      <c r="M16" s="9"/>
      <c r="N16" s="407"/>
      <c r="O16" s="408"/>
      <c r="P16" s="408"/>
      <c r="Q16" s="408"/>
      <c r="R16" s="408"/>
      <c r="S16" s="408"/>
      <c r="T16" s="408"/>
      <c r="U16" s="408"/>
      <c r="V16" s="408"/>
      <c r="W16" s="408"/>
      <c r="X16" s="408"/>
      <c r="Y16" s="408"/>
      <c r="Z16" s="409"/>
      <c r="AB16" s="4" t="str">
        <f>IF(N16="","←直接住所を記入してください","")</f>
        <v>←直接住所を記入してください</v>
      </c>
      <c r="BG16" s="1" t="s">
        <v>125</v>
      </c>
      <c r="BH16" s="1" t="s">
        <v>136</v>
      </c>
    </row>
    <row r="17" spans="1:60" x14ac:dyDescent="0.2">
      <c r="J17" s="414" t="s">
        <v>445</v>
      </c>
      <c r="K17" s="415"/>
      <c r="L17" s="415"/>
      <c r="M17" s="416"/>
      <c r="N17" s="319"/>
      <c r="O17" s="320"/>
      <c r="P17" s="320"/>
      <c r="Q17" s="320"/>
      <c r="R17" s="320"/>
      <c r="S17" s="320"/>
      <c r="T17" s="320"/>
      <c r="U17" s="320"/>
      <c r="V17" s="320"/>
      <c r="W17" s="320"/>
      <c r="X17" s="320"/>
      <c r="Y17" s="320"/>
      <c r="Z17" s="321"/>
      <c r="AB17" s="4" t="str">
        <f>IF(N17="","←直接建設事業者名を記入してください","")</f>
        <v>←直接建設事業者名を記入してください</v>
      </c>
      <c r="BG17" s="1" t="s">
        <v>126</v>
      </c>
      <c r="BH17" s="1" t="s">
        <v>136</v>
      </c>
    </row>
    <row r="18" spans="1:60" x14ac:dyDescent="0.2">
      <c r="J18" s="417" t="s">
        <v>416</v>
      </c>
      <c r="K18" s="418"/>
      <c r="L18" s="418"/>
      <c r="M18" s="419"/>
      <c r="N18" s="319"/>
      <c r="O18" s="320"/>
      <c r="P18" s="320"/>
      <c r="Q18" s="320"/>
      <c r="R18" s="320"/>
      <c r="S18" s="320"/>
      <c r="T18" s="320"/>
      <c r="U18" s="320"/>
      <c r="V18" s="320"/>
      <c r="W18" s="320"/>
      <c r="X18" s="320"/>
      <c r="Y18" s="320"/>
      <c r="Z18" s="321"/>
      <c r="AB18" s="4" t="str">
        <f>IF(N18="","←直接代表者の役職氏名を記入してください","")</f>
        <v>←直接代表者の役職氏名を記入してください</v>
      </c>
      <c r="BG18" s="1" t="s">
        <v>127</v>
      </c>
      <c r="BH18" s="1" t="s">
        <v>135</v>
      </c>
    </row>
    <row r="19" spans="1:60" x14ac:dyDescent="0.2">
      <c r="J19" s="340" t="s">
        <v>8</v>
      </c>
      <c r="K19" s="340"/>
      <c r="L19" s="340"/>
      <c r="M19" s="340"/>
      <c r="N19" s="404"/>
      <c r="O19" s="405"/>
      <c r="P19" s="405"/>
      <c r="Q19" s="405"/>
      <c r="R19" s="405"/>
      <c r="S19" s="405"/>
      <c r="T19" s="405"/>
      <c r="U19" s="405"/>
      <c r="V19" s="405"/>
      <c r="W19" s="405"/>
      <c r="X19" s="405"/>
      <c r="Y19" s="405"/>
      <c r="Z19" s="406"/>
      <c r="AB19" s="4" t="str">
        <f>IF(N19="","←直接電話番号を記入してください","")</f>
        <v>←直接電話番号を記入してください</v>
      </c>
      <c r="BG19" s="1" t="s">
        <v>128</v>
      </c>
      <c r="BH19" s="1" t="s">
        <v>135</v>
      </c>
    </row>
    <row r="20" spans="1:60" x14ac:dyDescent="0.2">
      <c r="A20" s="1" t="s">
        <v>42</v>
      </c>
      <c r="BG20" s="1" t="s">
        <v>129</v>
      </c>
      <c r="BH20" s="1" t="s">
        <v>135</v>
      </c>
    </row>
    <row r="21" spans="1:60" x14ac:dyDescent="0.2">
      <c r="A21" s="1" t="s">
        <v>41</v>
      </c>
      <c r="AA21" s="12"/>
      <c r="BG21" s="1" t="s">
        <v>130</v>
      </c>
      <c r="BH21" s="1" t="s">
        <v>135</v>
      </c>
    </row>
    <row r="22" spans="1:60" ht="26.25" customHeight="1" x14ac:dyDescent="0.2">
      <c r="A22" s="322" t="s">
        <v>187</v>
      </c>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BG22" s="1" t="s">
        <v>131</v>
      </c>
      <c r="BH22" s="1" t="s">
        <v>135</v>
      </c>
    </row>
    <row r="23" spans="1:60" ht="3" customHeight="1" x14ac:dyDescent="0.2">
      <c r="AA23" s="12"/>
      <c r="BG23" s="1" t="s">
        <v>132</v>
      </c>
      <c r="BH23" s="1" t="s">
        <v>135</v>
      </c>
    </row>
    <row r="24" spans="1:60" x14ac:dyDescent="0.2">
      <c r="A24" s="1" t="s">
        <v>32</v>
      </c>
      <c r="BG24" s="1" t="s">
        <v>133</v>
      </c>
      <c r="BH24" s="1" t="s">
        <v>135</v>
      </c>
    </row>
    <row r="25" spans="1:60" ht="5.7" customHeight="1" x14ac:dyDescent="0.2">
      <c r="AA25" s="12"/>
    </row>
    <row r="26" spans="1:60" ht="13.5" customHeight="1" x14ac:dyDescent="0.2">
      <c r="B26" s="93"/>
      <c r="C26" s="322" t="s">
        <v>440</v>
      </c>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row>
    <row r="27" spans="1:60" x14ac:dyDescent="0.2">
      <c r="B27" s="37"/>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row>
    <row r="28" spans="1:60" ht="3.6" customHeight="1" x14ac:dyDescent="0.2">
      <c r="AA28" s="12"/>
    </row>
    <row r="29" spans="1:60" x14ac:dyDescent="0.2">
      <c r="B29" s="93"/>
      <c r="C29" s="1" t="s">
        <v>141</v>
      </c>
    </row>
    <row r="30" spans="1:60" x14ac:dyDescent="0.2">
      <c r="C30" s="13" t="s">
        <v>83</v>
      </c>
    </row>
    <row r="31" spans="1:60" x14ac:dyDescent="0.2">
      <c r="C31" s="14" t="s">
        <v>82</v>
      </c>
      <c r="D31" s="13"/>
    </row>
    <row r="32" spans="1:60" x14ac:dyDescent="0.2">
      <c r="C32" s="13" t="s">
        <v>84</v>
      </c>
    </row>
    <row r="33" spans="2:59" x14ac:dyDescent="0.2">
      <c r="C33" s="13" t="s">
        <v>81</v>
      </c>
      <c r="BG33" s="1" t="str">
        <f>IF(M34="","",VLOOKUP(M34,BG6:BH24,2,FALSE))</f>
        <v/>
      </c>
    </row>
    <row r="34" spans="2:59" x14ac:dyDescent="0.2">
      <c r="D34" s="361" t="s">
        <v>1</v>
      </c>
      <c r="E34" s="362"/>
      <c r="F34" s="362"/>
      <c r="G34" s="362"/>
      <c r="H34" s="363"/>
      <c r="I34" s="316" t="s">
        <v>109</v>
      </c>
      <c r="J34" s="317"/>
      <c r="K34" s="317"/>
      <c r="L34" s="318"/>
      <c r="M34" s="327"/>
      <c r="N34" s="328"/>
      <c r="O34" s="328"/>
      <c r="P34" s="328"/>
      <c r="Q34" s="328"/>
      <c r="R34" s="328"/>
      <c r="S34" s="328"/>
      <c r="T34" s="328"/>
      <c r="U34" s="328"/>
      <c r="V34" s="328"/>
      <c r="W34" s="328"/>
      <c r="X34" s="329"/>
      <c r="AB34" s="4" t="str">
        <f>IF(M34="","←リストから選択してください（市町村名）","")</f>
        <v>←リストから選択してください（市町村名）</v>
      </c>
    </row>
    <row r="35" spans="2:59" x14ac:dyDescent="0.2">
      <c r="D35" s="366"/>
      <c r="E35" s="367"/>
      <c r="F35" s="367"/>
      <c r="G35" s="367"/>
      <c r="H35" s="368"/>
      <c r="I35" s="319"/>
      <c r="J35" s="320"/>
      <c r="K35" s="320"/>
      <c r="L35" s="320"/>
      <c r="M35" s="320"/>
      <c r="N35" s="320"/>
      <c r="O35" s="320"/>
      <c r="P35" s="320"/>
      <c r="Q35" s="320"/>
      <c r="R35" s="320"/>
      <c r="S35" s="320"/>
      <c r="T35" s="320"/>
      <c r="U35" s="320"/>
      <c r="V35" s="320"/>
      <c r="W35" s="320"/>
      <c r="X35" s="321"/>
      <c r="AB35" s="4" t="str">
        <f>IF(I35="","←市町村名より後の所在地を直接記入してください","")</f>
        <v>←市町村名より後の所在地を直接記入してください</v>
      </c>
    </row>
    <row r="36" spans="2:59" x14ac:dyDescent="0.2">
      <c r="D36" s="316" t="s">
        <v>406</v>
      </c>
      <c r="E36" s="317"/>
      <c r="F36" s="317"/>
      <c r="G36" s="317"/>
      <c r="H36" s="318"/>
      <c r="I36" s="319"/>
      <c r="J36" s="320"/>
      <c r="K36" s="320"/>
      <c r="L36" s="320"/>
      <c r="M36" s="320"/>
      <c r="N36" s="320"/>
      <c r="O36" s="320"/>
      <c r="P36" s="320"/>
      <c r="Q36" s="320"/>
      <c r="R36" s="320"/>
      <c r="S36" s="320"/>
      <c r="T36" s="320"/>
      <c r="U36" s="320"/>
      <c r="V36" s="320"/>
      <c r="W36" s="320"/>
      <c r="X36" s="321"/>
      <c r="AB36" s="4" t="str">
        <f>IF(I36="","←住居表示がある場合のみ入力してください","")</f>
        <v>←住居表示がある場合のみ入力してください</v>
      </c>
    </row>
    <row r="37" spans="2:59" x14ac:dyDescent="0.2">
      <c r="D37" s="361" t="s">
        <v>24</v>
      </c>
      <c r="E37" s="362"/>
      <c r="F37" s="362"/>
      <c r="G37" s="362"/>
      <c r="H37" s="363"/>
      <c r="I37" s="327"/>
      <c r="J37" s="328"/>
      <c r="K37" s="328"/>
      <c r="L37" s="328"/>
      <c r="M37" s="328"/>
      <c r="N37" s="328"/>
      <c r="O37" s="316" t="s">
        <v>113</v>
      </c>
      <c r="P37" s="317"/>
      <c r="Q37" s="317"/>
      <c r="R37" s="318"/>
      <c r="S37" s="383"/>
      <c r="T37" s="384"/>
      <c r="U37" s="384"/>
      <c r="V37" s="384"/>
      <c r="W37" s="317" t="s">
        <v>86</v>
      </c>
      <c r="X37" s="318"/>
      <c r="AB37" s="4" t="str">
        <f>IF(I37="","←リストから選択してください（専用住宅・併用住宅）","")</f>
        <v>←リストから選択してください（専用住宅・併用住宅）</v>
      </c>
    </row>
    <row r="38" spans="2:59" x14ac:dyDescent="0.2">
      <c r="D38" s="361" t="s">
        <v>146</v>
      </c>
      <c r="E38" s="362"/>
      <c r="F38" s="362"/>
      <c r="G38" s="362"/>
      <c r="H38" s="363"/>
      <c r="I38" s="438"/>
      <c r="J38" s="438"/>
      <c r="K38" s="438"/>
      <c r="L38" s="386" t="s">
        <v>149</v>
      </c>
      <c r="M38" s="432" t="s">
        <v>75</v>
      </c>
      <c r="N38" s="433"/>
      <c r="O38" s="433"/>
      <c r="P38" s="433"/>
      <c r="Q38" s="434"/>
      <c r="R38" s="401" t="s">
        <v>76</v>
      </c>
      <c r="S38" s="401"/>
      <c r="T38" s="401"/>
      <c r="U38" s="401"/>
      <c r="V38" s="400"/>
      <c r="W38" s="400"/>
      <c r="X38" s="15" t="s">
        <v>149</v>
      </c>
      <c r="AB38" s="16" t="str">
        <f>IF(I38="","←延床面積を入力してください。",IF(AND(I37="併用住宅",V38=""),"←面積を入力してください。",""))</f>
        <v>←延床面積を入力してください。</v>
      </c>
    </row>
    <row r="39" spans="2:59" x14ac:dyDescent="0.2">
      <c r="D39" s="366"/>
      <c r="E39" s="367"/>
      <c r="F39" s="367"/>
      <c r="G39" s="367"/>
      <c r="H39" s="368"/>
      <c r="I39" s="439"/>
      <c r="J39" s="439"/>
      <c r="K39" s="439"/>
      <c r="L39" s="387"/>
      <c r="M39" s="435"/>
      <c r="N39" s="436"/>
      <c r="O39" s="436"/>
      <c r="P39" s="436"/>
      <c r="Q39" s="437"/>
      <c r="R39" s="402" t="s">
        <v>77</v>
      </c>
      <c r="S39" s="402"/>
      <c r="T39" s="402"/>
      <c r="U39" s="402"/>
      <c r="V39" s="342"/>
      <c r="W39" s="342"/>
      <c r="X39" s="18" t="s">
        <v>149</v>
      </c>
      <c r="AB39" s="16" t="str">
        <f>IF(AND(I37="併用住宅",V39=""),"←面積を入力してください。","")</f>
        <v/>
      </c>
    </row>
    <row r="40" spans="2:59" x14ac:dyDescent="0.2">
      <c r="D40" s="361" t="s">
        <v>30</v>
      </c>
      <c r="E40" s="362"/>
      <c r="F40" s="362"/>
      <c r="G40" s="362"/>
      <c r="H40" s="363"/>
      <c r="I40" s="381"/>
      <c r="J40" s="382"/>
      <c r="K40" s="382"/>
      <c r="L40" s="382"/>
      <c r="M40" s="382"/>
      <c r="N40" s="382"/>
      <c r="O40" s="19" t="s">
        <v>29</v>
      </c>
      <c r="P40" s="19"/>
      <c r="Q40" s="19"/>
      <c r="R40" s="40"/>
      <c r="S40" s="390" t="s">
        <v>114</v>
      </c>
      <c r="T40" s="390"/>
      <c r="U40" s="390"/>
      <c r="V40" s="391"/>
      <c r="W40" s="391"/>
      <c r="X40" s="20" t="s">
        <v>115</v>
      </c>
      <c r="AB40" s="4" t="str">
        <f>IF(I40="","←直接記入してください",IF(V40="","←階数を選択してください。",""))</f>
        <v>←直接記入してください</v>
      </c>
    </row>
    <row r="41" spans="2:59" x14ac:dyDescent="0.2">
      <c r="D41" s="8"/>
      <c r="E41" s="17"/>
      <c r="F41" s="17"/>
      <c r="G41" s="17"/>
      <c r="H41" s="9"/>
      <c r="I41" s="410" t="s">
        <v>85</v>
      </c>
      <c r="J41" s="411"/>
      <c r="K41" s="411"/>
      <c r="L41" s="94"/>
      <c r="M41" s="17" t="s">
        <v>25</v>
      </c>
      <c r="N41" s="17"/>
      <c r="O41" s="21" t="s">
        <v>27</v>
      </c>
      <c r="P41" s="17"/>
      <c r="Q41" s="94"/>
      <c r="R41" s="17" t="s">
        <v>25</v>
      </c>
      <c r="S41" s="17"/>
      <c r="T41" s="21" t="s">
        <v>28</v>
      </c>
      <c r="U41" s="17"/>
      <c r="V41" s="94"/>
      <c r="W41" s="17" t="s">
        <v>57</v>
      </c>
      <c r="X41" s="9"/>
      <c r="AB41" s="4" t="str">
        <f>IF(OR(L41="",Q41="",V41=""),"←直接記入してください","")</f>
        <v>←直接記入してください</v>
      </c>
    </row>
    <row r="42" spans="2:59" x14ac:dyDescent="0.2">
      <c r="D42" s="340" t="s">
        <v>26</v>
      </c>
      <c r="E42" s="340"/>
      <c r="F42" s="340"/>
      <c r="G42" s="340"/>
      <c r="H42" s="340"/>
      <c r="I42" s="399"/>
      <c r="J42" s="399"/>
      <c r="K42" s="399"/>
      <c r="L42" s="399"/>
      <c r="M42" s="399"/>
      <c r="N42" s="399"/>
      <c r="O42" s="399"/>
      <c r="P42" s="399"/>
      <c r="Q42" s="399"/>
      <c r="R42" s="399"/>
      <c r="S42" s="399"/>
      <c r="T42" s="399"/>
      <c r="U42" s="399"/>
      <c r="V42" s="399"/>
      <c r="W42" s="399"/>
      <c r="X42" s="399"/>
      <c r="AB42" s="4" t="str">
        <f>IF(I42="","←リストから選択してください（在来軸組工法、伝統構法、その他）","")</f>
        <v>←リストから選択してください（在来軸組工法、伝統構法、その他）</v>
      </c>
    </row>
    <row r="43" spans="2:59" x14ac:dyDescent="0.2">
      <c r="D43" s="361" t="s">
        <v>2</v>
      </c>
      <c r="E43" s="362"/>
      <c r="F43" s="362"/>
      <c r="G43" s="362"/>
      <c r="H43" s="363"/>
      <c r="I43" s="388" t="s">
        <v>147</v>
      </c>
      <c r="J43" s="389"/>
      <c r="K43" s="389"/>
      <c r="L43" s="389"/>
      <c r="M43" s="389"/>
      <c r="N43" s="440"/>
      <c r="O43" s="440"/>
      <c r="P43" s="440"/>
      <c r="Q43" s="440"/>
      <c r="R43" s="39" t="s">
        <v>7</v>
      </c>
      <c r="S43" s="385"/>
      <c r="T43" s="385"/>
      <c r="U43" s="39" t="s">
        <v>22</v>
      </c>
      <c r="V43" s="385"/>
      <c r="W43" s="385"/>
      <c r="X43" s="7" t="s">
        <v>6</v>
      </c>
      <c r="AB43" s="4" t="str">
        <f>IF(OR(N43="",S43="",V43=""),"←リストから選択してください（和暦年月日）","")</f>
        <v>←リストから選択してください（和暦年月日）</v>
      </c>
    </row>
    <row r="44" spans="2:59" x14ac:dyDescent="0.2">
      <c r="D44" s="366"/>
      <c r="E44" s="367"/>
      <c r="F44" s="367"/>
      <c r="G44" s="367"/>
      <c r="H44" s="368"/>
      <c r="I44" s="378" t="s">
        <v>148</v>
      </c>
      <c r="J44" s="379"/>
      <c r="K44" s="379"/>
      <c r="L44" s="379"/>
      <c r="M44" s="379"/>
      <c r="N44" s="392"/>
      <c r="O44" s="392"/>
      <c r="P44" s="392"/>
      <c r="Q44" s="392"/>
      <c r="R44" s="17" t="s">
        <v>7</v>
      </c>
      <c r="S44" s="380"/>
      <c r="T44" s="380"/>
      <c r="U44" s="17" t="s">
        <v>22</v>
      </c>
      <c r="V44" s="380"/>
      <c r="W44" s="380"/>
      <c r="X44" s="9" t="s">
        <v>6</v>
      </c>
      <c r="AB44" s="4" t="str">
        <f>IF(OR(N44="",S44="",V44=""),"←リストから選択してください（和暦年月日）","")</f>
        <v>←リストから選択してください（和暦年月日）</v>
      </c>
    </row>
    <row r="45" spans="2:59" x14ac:dyDescent="0.2">
      <c r="D45" s="358" t="s">
        <v>419</v>
      </c>
      <c r="E45" s="359"/>
      <c r="F45" s="359"/>
      <c r="G45" s="359"/>
      <c r="H45" s="359"/>
      <c r="I45" s="359"/>
      <c r="J45" s="359"/>
      <c r="K45" s="359"/>
      <c r="L45" s="359"/>
      <c r="M45" s="360"/>
      <c r="N45" s="392"/>
      <c r="O45" s="392"/>
      <c r="P45" s="392"/>
      <c r="Q45" s="392"/>
      <c r="R45" s="17" t="s">
        <v>7</v>
      </c>
      <c r="S45" s="380"/>
      <c r="T45" s="380"/>
      <c r="U45" s="17" t="s">
        <v>22</v>
      </c>
      <c r="V45" s="380"/>
      <c r="W45" s="380"/>
      <c r="X45" s="9" t="s">
        <v>6</v>
      </c>
      <c r="AB45" s="4" t="str">
        <f>IF(OR(N45="",S45="",V45=""),"←リストから選択してください（和暦年月日）","")</f>
        <v>←リストから選択してください（和暦年月日）</v>
      </c>
    </row>
    <row r="46" spans="2:59" ht="5.7" customHeight="1" x14ac:dyDescent="0.2">
      <c r="AA46" s="12"/>
    </row>
    <row r="47" spans="2:59" x14ac:dyDescent="0.2">
      <c r="B47" s="93"/>
      <c r="C47" s="1" t="s">
        <v>140</v>
      </c>
    </row>
    <row r="48" spans="2:59" x14ac:dyDescent="0.2">
      <c r="D48" s="316" t="s">
        <v>3</v>
      </c>
      <c r="E48" s="317"/>
      <c r="F48" s="317"/>
      <c r="G48" s="317"/>
      <c r="H48" s="318"/>
      <c r="I48" s="393"/>
      <c r="J48" s="394"/>
      <c r="K48" s="394"/>
      <c r="L48" s="394"/>
      <c r="M48" s="394"/>
      <c r="N48" s="394"/>
      <c r="O48" s="394"/>
      <c r="P48" s="394"/>
      <c r="Q48" s="394"/>
      <c r="R48" s="394"/>
      <c r="S48" s="394"/>
      <c r="T48" s="394"/>
      <c r="U48" s="394"/>
      <c r="V48" s="394"/>
      <c r="W48" s="394"/>
      <c r="X48" s="395"/>
      <c r="AB48" s="4" t="str">
        <f>IF(I48="","←直接記入してください","")</f>
        <v>←直接記入してください</v>
      </c>
    </row>
    <row r="49" spans="2:28" x14ac:dyDescent="0.2">
      <c r="D49" s="316" t="s">
        <v>4</v>
      </c>
      <c r="E49" s="317"/>
      <c r="F49" s="317"/>
      <c r="G49" s="317"/>
      <c r="H49" s="318"/>
      <c r="I49" s="319"/>
      <c r="J49" s="320"/>
      <c r="K49" s="320"/>
      <c r="L49" s="320"/>
      <c r="M49" s="320"/>
      <c r="N49" s="320"/>
      <c r="O49" s="320"/>
      <c r="P49" s="320"/>
      <c r="Q49" s="320"/>
      <c r="R49" s="320"/>
      <c r="S49" s="320"/>
      <c r="T49" s="320"/>
      <c r="U49" s="320"/>
      <c r="V49" s="320"/>
      <c r="W49" s="320"/>
      <c r="X49" s="321"/>
      <c r="AB49" s="4" t="str">
        <f>IF(I49="","←直接記入してください","")</f>
        <v>←直接記入してください</v>
      </c>
    </row>
    <row r="50" spans="2:28" x14ac:dyDescent="0.2">
      <c r="D50" s="316" t="s">
        <v>23</v>
      </c>
      <c r="E50" s="317"/>
      <c r="F50" s="317"/>
      <c r="G50" s="317"/>
      <c r="H50" s="318"/>
      <c r="I50" s="441"/>
      <c r="J50" s="442"/>
      <c r="K50" s="442"/>
      <c r="L50" s="442"/>
      <c r="M50" s="442"/>
      <c r="N50" s="442"/>
      <c r="O50" s="442"/>
      <c r="P50" s="442"/>
      <c r="Q50" s="442"/>
      <c r="R50" s="442"/>
      <c r="S50" s="442"/>
      <c r="T50" s="442"/>
      <c r="U50" s="442"/>
      <c r="V50" s="442"/>
      <c r="W50" s="442"/>
      <c r="X50" s="443"/>
      <c r="AB50" s="4" t="str">
        <f>IF(I50="","←直接記入してください(0857-00-000等）","")</f>
        <v>←直接記入してください(0857-00-000等）</v>
      </c>
    </row>
    <row r="51" spans="2:28" ht="3.6" customHeight="1" x14ac:dyDescent="0.2"/>
    <row r="52" spans="2:28" x14ac:dyDescent="0.2">
      <c r="B52" s="93"/>
      <c r="C52" s="1" t="s">
        <v>139</v>
      </c>
    </row>
    <row r="53" spans="2:28" x14ac:dyDescent="0.2">
      <c r="D53" s="316" t="s">
        <v>31</v>
      </c>
      <c r="E53" s="317"/>
      <c r="F53" s="317"/>
      <c r="G53" s="317"/>
      <c r="H53" s="318"/>
      <c r="I53" s="327"/>
      <c r="J53" s="328"/>
      <c r="K53" s="328"/>
      <c r="L53" s="328"/>
      <c r="M53" s="328"/>
      <c r="N53" s="329"/>
      <c r="Y53" s="22"/>
      <c r="AB53" s="4" t="str">
        <f>IF(I53="","←リストから選択してください（要・不要）","")</f>
        <v>←リストから選択してください（要・不要）</v>
      </c>
    </row>
    <row r="54" spans="2:28" x14ac:dyDescent="0.2">
      <c r="D54" s="348" t="s">
        <v>195</v>
      </c>
      <c r="E54" s="349"/>
      <c r="F54" s="349"/>
      <c r="G54" s="349"/>
      <c r="H54" s="349"/>
      <c r="I54" s="349"/>
      <c r="J54" s="349"/>
      <c r="K54" s="349"/>
      <c r="L54" s="349"/>
      <c r="M54" s="349"/>
      <c r="N54" s="350"/>
      <c r="O54" s="482"/>
      <c r="P54" s="482"/>
      <c r="Q54" s="482"/>
      <c r="R54" s="97" t="s">
        <v>7</v>
      </c>
      <c r="S54" s="335"/>
      <c r="T54" s="335"/>
      <c r="U54" s="97" t="s">
        <v>22</v>
      </c>
      <c r="V54" s="335"/>
      <c r="W54" s="335"/>
      <c r="X54" s="11" t="s">
        <v>6</v>
      </c>
      <c r="Y54" s="22"/>
      <c r="AB54" s="4" t="str">
        <f>IF(OR(O54="",S54="",V54=""),"←リストから選択してください（和暦年月日）","")</f>
        <v>←リストから選択してください（和暦年月日）</v>
      </c>
    </row>
    <row r="55" spans="2:28" ht="11.7" customHeight="1" x14ac:dyDescent="0.2">
      <c r="D55" s="23" t="str">
        <f>IF(I53="要","添付書類として、各階平面図、配置図を提出してください。",IF(I53="不要","添付書類として、各階平面図、配置図を提出してください。",""))</f>
        <v/>
      </c>
    </row>
    <row r="56" spans="2:28" ht="4.5" customHeight="1" x14ac:dyDescent="0.2">
      <c r="E56" s="13"/>
    </row>
    <row r="57" spans="2:28" x14ac:dyDescent="0.2">
      <c r="B57" s="93"/>
      <c r="C57" s="1" t="s">
        <v>138</v>
      </c>
    </row>
    <row r="58" spans="2:28" ht="3.6" customHeight="1" x14ac:dyDescent="0.2"/>
    <row r="59" spans="2:28" x14ac:dyDescent="0.2">
      <c r="B59" s="93"/>
      <c r="C59" s="1" t="s">
        <v>208</v>
      </c>
      <c r="R59" s="1" t="s">
        <v>219</v>
      </c>
      <c r="U59" s="327"/>
      <c r="V59" s="328"/>
      <c r="W59" s="328"/>
      <c r="X59" s="328"/>
      <c r="Y59" s="328"/>
      <c r="Z59" s="329"/>
      <c r="AB59" s="4" t="str">
        <f>IF(U59="","←NE-STの場合には性能区分を選択してください","")</f>
        <v>←NE-STの場合には性能区分を選択してください</v>
      </c>
    </row>
    <row r="60" spans="2:28" ht="14.7" hidden="1" customHeight="1" x14ac:dyDescent="0.2">
      <c r="AB60" s="4"/>
    </row>
    <row r="61" spans="2:28" ht="15" customHeight="1" x14ac:dyDescent="0.2">
      <c r="D61" s="23" t="str">
        <f>IF(B59="✔","別途、NE-STの認定申請が必要です。※申請が無い場合、NE-STの補助金が受けられません。","")</f>
        <v/>
      </c>
      <c r="AB61" s="4"/>
    </row>
    <row r="62" spans="2:28" x14ac:dyDescent="0.2">
      <c r="B62" s="93"/>
      <c r="C62" s="1" t="s">
        <v>220</v>
      </c>
      <c r="R62" s="1" t="s">
        <v>222</v>
      </c>
      <c r="U62" s="327"/>
      <c r="V62" s="328"/>
      <c r="W62" s="328"/>
      <c r="X62" s="328"/>
      <c r="Y62" s="328"/>
      <c r="Z62" s="329"/>
      <c r="AB62" s="4" t="str">
        <f>IF(U62="","←再生可能エネルギー発電設備を設置する場合には設備を選択してください","")</f>
        <v>←再生可能エネルギー発電設備を設置する場合には設備を選択してください</v>
      </c>
    </row>
    <row r="63" spans="2:28" ht="16.2" hidden="1" customHeight="1" x14ac:dyDescent="0.2">
      <c r="AB63" s="4"/>
    </row>
    <row r="64" spans="2:28" ht="4.5" customHeight="1" x14ac:dyDescent="0.2">
      <c r="AB64" s="4"/>
    </row>
    <row r="65" spans="2:28" x14ac:dyDescent="0.2">
      <c r="B65" s="93"/>
      <c r="C65" s="1" t="s">
        <v>221</v>
      </c>
      <c r="R65" s="1" t="s">
        <v>223</v>
      </c>
      <c r="U65" s="444"/>
      <c r="V65" s="445"/>
      <c r="W65" s="445"/>
      <c r="X65" s="445"/>
      <c r="Y65" s="445"/>
      <c r="Z65" s="446"/>
      <c r="AB65" s="4" t="str">
        <f>IF(U65="","←ZEHの認証を取得（予定）の場合には区分を選択してください","")</f>
        <v>←ZEHの認証を取得（予定）の場合には区分を選択してください</v>
      </c>
    </row>
    <row r="66" spans="2:28" ht="10.5" hidden="1" customHeight="1" x14ac:dyDescent="0.2">
      <c r="AB66" s="4"/>
    </row>
    <row r="67" spans="2:28" ht="12.75" customHeight="1" x14ac:dyDescent="0.2">
      <c r="D67" s="23" t="str">
        <f>IF(B65="✔","完成後の交付申請の際にBELS認証が必要となります。","")</f>
        <v/>
      </c>
      <c r="AB67" s="4"/>
    </row>
    <row r="68" spans="2:28" x14ac:dyDescent="0.2">
      <c r="B68" s="93"/>
      <c r="C68" s="1" t="s">
        <v>224</v>
      </c>
      <c r="U68" s="108"/>
      <c r="V68" s="108"/>
      <c r="W68" s="108"/>
      <c r="X68" s="108"/>
      <c r="Y68" s="108"/>
      <c r="Z68" s="108"/>
    </row>
    <row r="69" spans="2:28" ht="12" customHeight="1" x14ac:dyDescent="0.2">
      <c r="D69" s="13" t="s">
        <v>225</v>
      </c>
    </row>
    <row r="70" spans="2:28" ht="5.7" customHeight="1" x14ac:dyDescent="0.2"/>
    <row r="71" spans="2:28" x14ac:dyDescent="0.2">
      <c r="B71" s="93"/>
      <c r="C71" s="1" t="s">
        <v>394</v>
      </c>
    </row>
    <row r="72" spans="2:28" ht="5.7" customHeight="1" x14ac:dyDescent="0.2"/>
    <row r="73" spans="2:28" ht="14.25" customHeight="1" x14ac:dyDescent="0.2">
      <c r="B73" s="98" t="s">
        <v>458</v>
      </c>
      <c r="C73" s="22"/>
      <c r="D73" s="104"/>
      <c r="E73" s="104"/>
      <c r="F73" s="104"/>
      <c r="G73" s="104"/>
      <c r="H73" s="104"/>
      <c r="I73" s="25"/>
      <c r="J73" s="25"/>
      <c r="K73" s="25"/>
      <c r="L73" s="25"/>
      <c r="M73" s="25"/>
      <c r="N73" s="25"/>
      <c r="O73" s="25"/>
      <c r="P73" s="25"/>
      <c r="Q73" s="25"/>
      <c r="R73" s="25"/>
      <c r="S73" s="25"/>
      <c r="T73" s="25"/>
      <c r="U73" s="25"/>
      <c r="V73" s="25"/>
      <c r="W73" s="25"/>
      <c r="X73" s="25"/>
      <c r="Y73" s="22"/>
    </row>
    <row r="74" spans="2:28" ht="13.5" customHeight="1" x14ac:dyDescent="0.2">
      <c r="D74" s="396" t="s">
        <v>218</v>
      </c>
      <c r="E74" s="397"/>
      <c r="F74" s="397"/>
      <c r="G74" s="397"/>
      <c r="H74" s="397"/>
      <c r="I74" s="397"/>
      <c r="J74" s="397"/>
      <c r="K74" s="397"/>
      <c r="L74" s="397"/>
      <c r="M74" s="397"/>
      <c r="N74" s="397"/>
      <c r="O74" s="398"/>
      <c r="P74" s="316" t="s">
        <v>5</v>
      </c>
      <c r="Q74" s="317"/>
      <c r="R74" s="317"/>
      <c r="S74" s="317"/>
      <c r="T74" s="318"/>
      <c r="U74" s="316" t="s">
        <v>19</v>
      </c>
      <c r="V74" s="317"/>
      <c r="W74" s="317"/>
      <c r="X74" s="317"/>
      <c r="Y74" s="317"/>
      <c r="Z74" s="318"/>
    </row>
    <row r="75" spans="2:28" x14ac:dyDescent="0.2">
      <c r="D75" s="371"/>
      <c r="E75" s="372"/>
      <c r="F75" s="372"/>
      <c r="G75" s="372"/>
      <c r="H75" s="372"/>
      <c r="I75" s="372"/>
      <c r="J75" s="372"/>
      <c r="K75" s="372"/>
      <c r="L75" s="372"/>
      <c r="M75" s="372"/>
      <c r="N75" s="372"/>
      <c r="O75" s="373"/>
      <c r="P75" s="327"/>
      <c r="Q75" s="328"/>
      <c r="R75" s="328"/>
      <c r="S75" s="328"/>
      <c r="T75" s="329"/>
      <c r="U75" s="327"/>
      <c r="V75" s="328"/>
      <c r="W75" s="328"/>
      <c r="X75" s="328"/>
      <c r="Y75" s="328"/>
      <c r="Z75" s="329"/>
    </row>
    <row r="76" spans="2:28" x14ac:dyDescent="0.2">
      <c r="D76" s="371"/>
      <c r="E76" s="372"/>
      <c r="F76" s="372"/>
      <c r="G76" s="372"/>
      <c r="H76" s="372"/>
      <c r="I76" s="372"/>
      <c r="J76" s="372"/>
      <c r="K76" s="372"/>
      <c r="L76" s="372"/>
      <c r="M76" s="372"/>
      <c r="N76" s="372"/>
      <c r="O76" s="373"/>
      <c r="P76" s="327"/>
      <c r="Q76" s="328"/>
      <c r="R76" s="328"/>
      <c r="S76" s="328"/>
      <c r="T76" s="329"/>
      <c r="U76" s="327"/>
      <c r="V76" s="328"/>
      <c r="W76" s="328"/>
      <c r="X76" s="328"/>
      <c r="Y76" s="328"/>
      <c r="Z76" s="329"/>
    </row>
    <row r="77" spans="2:28" x14ac:dyDescent="0.2">
      <c r="D77" s="371"/>
      <c r="E77" s="372"/>
      <c r="F77" s="372"/>
      <c r="G77" s="372"/>
      <c r="H77" s="372"/>
      <c r="I77" s="372"/>
      <c r="J77" s="372"/>
      <c r="K77" s="372"/>
      <c r="L77" s="372"/>
      <c r="M77" s="372"/>
      <c r="N77" s="372"/>
      <c r="O77" s="373"/>
      <c r="P77" s="327"/>
      <c r="Q77" s="328"/>
      <c r="R77" s="328"/>
      <c r="S77" s="328"/>
      <c r="T77" s="329"/>
      <c r="U77" s="327"/>
      <c r="V77" s="328"/>
      <c r="W77" s="328"/>
      <c r="X77" s="328"/>
      <c r="Y77" s="328"/>
      <c r="Z77" s="329"/>
    </row>
    <row r="78" spans="2:28" x14ac:dyDescent="0.2">
      <c r="D78" s="371"/>
      <c r="E78" s="372"/>
      <c r="F78" s="372"/>
      <c r="G78" s="372"/>
      <c r="H78" s="372"/>
      <c r="I78" s="372"/>
      <c r="J78" s="372"/>
      <c r="K78" s="372"/>
      <c r="L78" s="372"/>
      <c r="M78" s="372"/>
      <c r="N78" s="372"/>
      <c r="O78" s="373"/>
      <c r="P78" s="327"/>
      <c r="Q78" s="328"/>
      <c r="R78" s="328"/>
      <c r="S78" s="328"/>
      <c r="T78" s="329"/>
      <c r="U78" s="327"/>
      <c r="V78" s="328"/>
      <c r="W78" s="328"/>
      <c r="X78" s="328"/>
      <c r="Y78" s="328"/>
      <c r="Z78" s="329"/>
    </row>
    <row r="79" spans="2:28" x14ac:dyDescent="0.2">
      <c r="D79" s="371"/>
      <c r="E79" s="372"/>
      <c r="F79" s="372"/>
      <c r="G79" s="372"/>
      <c r="H79" s="372"/>
      <c r="I79" s="372"/>
      <c r="J79" s="372"/>
      <c r="K79" s="372"/>
      <c r="L79" s="372"/>
      <c r="M79" s="372"/>
      <c r="N79" s="372"/>
      <c r="O79" s="373"/>
      <c r="P79" s="327"/>
      <c r="Q79" s="328"/>
      <c r="R79" s="328"/>
      <c r="S79" s="328"/>
      <c r="T79" s="329"/>
      <c r="U79" s="327"/>
      <c r="V79" s="328"/>
      <c r="W79" s="328"/>
      <c r="X79" s="328"/>
      <c r="Y79" s="328"/>
      <c r="Z79" s="329"/>
    </row>
    <row r="80" spans="2:28" ht="3.6" customHeight="1" x14ac:dyDescent="0.2">
      <c r="D80" s="23"/>
    </row>
    <row r="81" spans="1:28" ht="13.5" customHeight="1" x14ac:dyDescent="0.2">
      <c r="B81" s="93"/>
      <c r="C81" s="98" t="s">
        <v>457</v>
      </c>
      <c r="D81" s="23"/>
    </row>
    <row r="82" spans="1:28" ht="3.6" customHeight="1" x14ac:dyDescent="0.2">
      <c r="D82" s="23"/>
    </row>
    <row r="83" spans="1:28" ht="13.5" customHeight="1" x14ac:dyDescent="0.2">
      <c r="B83" s="93"/>
      <c r="C83" s="98" t="s">
        <v>459</v>
      </c>
      <c r="D83" s="23"/>
    </row>
    <row r="84" spans="1:28" ht="4.2" customHeight="1" x14ac:dyDescent="0.2">
      <c r="C84" s="98"/>
      <c r="D84" s="23"/>
    </row>
    <row r="85" spans="1:28" ht="13.5" customHeight="1" x14ac:dyDescent="0.2">
      <c r="B85" s="93"/>
      <c r="C85" s="98" t="s">
        <v>460</v>
      </c>
      <c r="D85" s="23"/>
    </row>
    <row r="86" spans="1:28" ht="3.9" customHeight="1" x14ac:dyDescent="0.2">
      <c r="D86" s="23"/>
    </row>
    <row r="87" spans="1:28" x14ac:dyDescent="0.2">
      <c r="B87" s="93"/>
      <c r="C87" s="1" t="s">
        <v>502</v>
      </c>
    </row>
    <row r="88" spans="1:28" ht="2.1" customHeight="1" x14ac:dyDescent="0.2">
      <c r="D88" s="483"/>
      <c r="E88" s="483"/>
      <c r="F88" s="483"/>
      <c r="G88" s="483"/>
      <c r="H88" s="483"/>
      <c r="I88" s="324"/>
      <c r="J88" s="324"/>
      <c r="K88" s="324"/>
      <c r="L88" s="324"/>
      <c r="M88" s="324"/>
      <c r="N88" s="324"/>
      <c r="O88" s="324"/>
      <c r="P88" s="324"/>
      <c r="Q88" s="324"/>
      <c r="R88" s="324"/>
      <c r="S88" s="324"/>
      <c r="T88" s="324"/>
      <c r="U88" s="324"/>
      <c r="V88" s="324"/>
      <c r="W88" s="324"/>
      <c r="X88" s="324"/>
      <c r="Y88" s="22" t="str">
        <f>IF(AND($I$42="その他",I88=""),"←工法を直接入力してください","")</f>
        <v/>
      </c>
    </row>
    <row r="89" spans="1:28" hidden="1" x14ac:dyDescent="0.2">
      <c r="B89" s="93"/>
      <c r="C89" s="1" t="s">
        <v>205</v>
      </c>
      <c r="E89" s="13"/>
      <c r="P89" s="24"/>
    </row>
    <row r="90" spans="1:28" x14ac:dyDescent="0.2">
      <c r="D90" s="99" t="str">
        <f>IF(B89="","",IF(B89="✔","＜実績報告時の提出書類&gt;変更後の各階平面図、配置図",""))</f>
        <v/>
      </c>
      <c r="E90" s="13"/>
      <c r="P90" s="24"/>
      <c r="AA90" s="5" t="s">
        <v>73</v>
      </c>
    </row>
    <row r="91" spans="1:28" x14ac:dyDescent="0.2">
      <c r="A91" s="1" t="s">
        <v>36</v>
      </c>
      <c r="AA91" s="5"/>
      <c r="AB91" s="4" t="s">
        <v>405</v>
      </c>
    </row>
    <row r="92" spans="1:28" x14ac:dyDescent="0.2">
      <c r="B92" s="93"/>
      <c r="C92" s="1" t="s">
        <v>150</v>
      </c>
    </row>
    <row r="93" spans="1:28" ht="7.5" customHeight="1" x14ac:dyDescent="0.2"/>
    <row r="94" spans="1:28" x14ac:dyDescent="0.2">
      <c r="B94" s="93"/>
      <c r="C94" s="1" t="s">
        <v>110</v>
      </c>
    </row>
    <row r="95" spans="1:28" x14ac:dyDescent="0.2">
      <c r="D95" s="316" t="s">
        <v>87</v>
      </c>
      <c r="E95" s="317"/>
      <c r="F95" s="317"/>
      <c r="G95" s="317"/>
      <c r="H95" s="318"/>
      <c r="I95" s="327"/>
      <c r="J95" s="328"/>
      <c r="K95" s="328"/>
      <c r="L95" s="328"/>
      <c r="M95" s="328"/>
      <c r="N95" s="328"/>
      <c r="O95" s="328"/>
      <c r="P95" s="328"/>
      <c r="Q95" s="328"/>
      <c r="R95" s="328"/>
      <c r="S95" s="328"/>
      <c r="T95" s="328"/>
      <c r="U95" s="328"/>
      <c r="V95" s="328"/>
      <c r="W95" s="328"/>
      <c r="X95" s="329"/>
      <c r="AB95" s="4" t="str">
        <f>IF(AND(B94="✔",I95=""),"←直接入力してください","")</f>
        <v/>
      </c>
    </row>
    <row r="96" spans="1:28" x14ac:dyDescent="0.2">
      <c r="B96" s="13"/>
      <c r="C96" s="13"/>
      <c r="D96" s="41" t="s">
        <v>171</v>
      </c>
      <c r="E96" s="12"/>
      <c r="F96" s="12"/>
      <c r="G96" s="12"/>
      <c r="H96" s="12"/>
      <c r="I96" s="12"/>
      <c r="J96" s="12"/>
      <c r="K96" s="12"/>
      <c r="L96" s="12"/>
      <c r="M96" s="12"/>
      <c r="N96" s="12"/>
      <c r="O96" s="12"/>
      <c r="P96" s="12"/>
      <c r="Q96" s="12"/>
      <c r="R96" s="38"/>
      <c r="S96" s="38"/>
      <c r="T96" s="38"/>
      <c r="U96" s="38"/>
      <c r="V96" s="38"/>
      <c r="W96" s="38"/>
      <c r="X96" s="38"/>
      <c r="Y96" s="38"/>
      <c r="AB96" s="4"/>
    </row>
    <row r="97" spans="2:39" x14ac:dyDescent="0.2">
      <c r="B97" s="107" t="s">
        <v>429</v>
      </c>
      <c r="C97" s="13"/>
      <c r="D97" s="13"/>
      <c r="E97" s="13"/>
      <c r="F97" s="53"/>
      <c r="G97" s="13"/>
      <c r="H97" s="13"/>
      <c r="I97" s="13"/>
      <c r="J97" s="13"/>
      <c r="L97" s="13"/>
      <c r="M97" s="13"/>
      <c r="N97" s="13"/>
      <c r="O97" s="13"/>
      <c r="P97" s="13"/>
      <c r="Q97" s="13"/>
    </row>
    <row r="98" spans="2:39" x14ac:dyDescent="0.2">
      <c r="B98" s="93"/>
      <c r="C98" s="1" t="s">
        <v>111</v>
      </c>
    </row>
    <row r="99" spans="2:39" x14ac:dyDescent="0.2">
      <c r="B99" s="447" t="str">
        <f>IF(AND(B94="✔",B98="✔"),"「プレカットを行う場合は、県内のプレカット工場で加工すること。」と「プレカットを一切使用しない。」のどちらかを✔してください。","")</f>
        <v/>
      </c>
      <c r="C99" s="447"/>
      <c r="D99" s="447"/>
      <c r="E99" s="447"/>
      <c r="F99" s="447"/>
      <c r="G99" s="447"/>
      <c r="H99" s="447"/>
      <c r="I99" s="447"/>
      <c r="J99" s="447"/>
      <c r="K99" s="447"/>
      <c r="L99" s="447"/>
      <c r="M99" s="447"/>
      <c r="N99" s="447"/>
      <c r="O99" s="447"/>
      <c r="P99" s="447"/>
      <c r="Q99" s="447"/>
      <c r="R99" s="447"/>
      <c r="S99" s="447"/>
      <c r="T99" s="447"/>
      <c r="U99" s="447"/>
      <c r="V99" s="447"/>
      <c r="W99" s="447"/>
      <c r="X99" s="447"/>
      <c r="Y99" s="447"/>
      <c r="Z99" s="447"/>
      <c r="AA99" s="447"/>
      <c r="AB99" s="3" t="str">
        <f>IF(B99="","","×")</f>
        <v/>
      </c>
    </row>
    <row r="100" spans="2:39" x14ac:dyDescent="0.2">
      <c r="B100" s="447"/>
      <c r="C100" s="447"/>
      <c r="D100" s="447"/>
      <c r="E100" s="447"/>
      <c r="F100" s="447"/>
      <c r="G100" s="447"/>
      <c r="H100" s="447"/>
      <c r="I100" s="447"/>
      <c r="J100" s="447"/>
      <c r="K100" s="447"/>
      <c r="L100" s="447"/>
      <c r="M100" s="447"/>
      <c r="N100" s="447"/>
      <c r="O100" s="447"/>
      <c r="P100" s="447"/>
      <c r="Q100" s="447"/>
      <c r="R100" s="447"/>
      <c r="S100" s="447"/>
      <c r="T100" s="447"/>
      <c r="U100" s="447"/>
      <c r="V100" s="447"/>
      <c r="W100" s="447"/>
      <c r="X100" s="447"/>
      <c r="Y100" s="447"/>
      <c r="Z100" s="447"/>
      <c r="AA100" s="447"/>
    </row>
    <row r="101" spans="2:39" x14ac:dyDescent="0.2">
      <c r="Q101" s="1" t="s">
        <v>167</v>
      </c>
      <c r="T101" s="25"/>
    </row>
    <row r="102" spans="2:39" ht="18" customHeight="1" x14ac:dyDescent="0.2">
      <c r="D102" s="316" t="s">
        <v>51</v>
      </c>
      <c r="E102" s="317"/>
      <c r="F102" s="317"/>
      <c r="G102" s="317"/>
      <c r="H102" s="317"/>
      <c r="I102" s="317"/>
      <c r="J102" s="317"/>
      <c r="K102" s="317"/>
      <c r="L102" s="317"/>
      <c r="M102" s="317"/>
      <c r="N102" s="317"/>
      <c r="O102" s="317"/>
      <c r="P102" s="318"/>
      <c r="Q102" s="316" t="s">
        <v>50</v>
      </c>
      <c r="R102" s="317"/>
      <c r="S102" s="317"/>
      <c r="T102" s="318"/>
      <c r="U102" s="457" t="str">
        <f>IF(I37="併用住宅","併用住宅の場合、住宅部分の使用量","")</f>
        <v/>
      </c>
      <c r="V102" s="458"/>
      <c r="W102" s="458"/>
      <c r="X102" s="459"/>
      <c r="Y102" s="339" t="s">
        <v>96</v>
      </c>
      <c r="Z102" s="339"/>
      <c r="AA102" s="339"/>
    </row>
    <row r="103" spans="2:39" x14ac:dyDescent="0.2">
      <c r="D103" s="479" t="s">
        <v>97</v>
      </c>
      <c r="E103" s="480"/>
      <c r="F103" s="480"/>
      <c r="G103" s="480"/>
      <c r="H103" s="480"/>
      <c r="I103" s="480"/>
      <c r="J103" s="480"/>
      <c r="K103" s="480"/>
      <c r="L103" s="480"/>
      <c r="M103" s="480"/>
      <c r="N103" s="480"/>
      <c r="O103" s="480"/>
      <c r="P103" s="481"/>
      <c r="Q103" s="330"/>
      <c r="R103" s="331"/>
      <c r="S103" s="331"/>
      <c r="T103" s="332"/>
      <c r="U103" s="457"/>
      <c r="V103" s="458"/>
      <c r="W103" s="458"/>
      <c r="X103" s="459"/>
      <c r="Y103" s="460"/>
      <c r="Z103" s="460"/>
      <c r="AA103" s="460"/>
      <c r="AE103" s="1"/>
      <c r="AF103" s="1"/>
      <c r="AG103" s="1"/>
      <c r="AH103" s="26"/>
      <c r="AI103" s="27"/>
      <c r="AJ103" s="27"/>
      <c r="AK103" s="27"/>
      <c r="AL103" s="27"/>
      <c r="AM103" s="27"/>
    </row>
    <row r="104" spans="2:39" x14ac:dyDescent="0.2">
      <c r="D104" s="28"/>
      <c r="E104" s="486" t="s">
        <v>144</v>
      </c>
      <c r="F104" s="487"/>
      <c r="G104" s="487"/>
      <c r="H104" s="487"/>
      <c r="I104" s="487"/>
      <c r="J104" s="487"/>
      <c r="K104" s="487"/>
      <c r="L104" s="487"/>
      <c r="M104" s="487"/>
      <c r="N104" s="487"/>
      <c r="O104" s="487"/>
      <c r="P104" s="488"/>
      <c r="Q104" s="330"/>
      <c r="R104" s="331"/>
      <c r="S104" s="331"/>
      <c r="T104" s="332"/>
      <c r="U104" s="420"/>
      <c r="V104" s="421"/>
      <c r="W104" s="421"/>
      <c r="X104" s="485"/>
      <c r="Y104" s="333" t="str">
        <f>IF(OR(I37="",Q103=""),"",(IF(I37="専用住宅",IF(Q104&gt;=20,30,Q104*1.5),IF(I37="併用住宅",IF(U104&gt;=20,30,U104*1.5)))))</f>
        <v/>
      </c>
      <c r="Z104" s="334"/>
      <c r="AA104" s="29" t="s">
        <v>56</v>
      </c>
      <c r="AE104" s="1"/>
      <c r="AF104" s="1"/>
      <c r="AG104" s="1"/>
      <c r="AH104" s="26"/>
      <c r="AI104" s="27"/>
      <c r="AJ104" s="27"/>
      <c r="AK104" s="27"/>
      <c r="AL104" s="27"/>
      <c r="AM104" s="27"/>
    </row>
    <row r="105" spans="2:39" x14ac:dyDescent="0.2">
      <c r="D105" s="28"/>
      <c r="E105" s="30"/>
      <c r="F105" s="479" t="s">
        <v>411</v>
      </c>
      <c r="G105" s="427"/>
      <c r="H105" s="427"/>
      <c r="I105" s="427"/>
      <c r="J105" s="427"/>
      <c r="K105" s="427"/>
      <c r="L105" s="427"/>
      <c r="M105" s="427"/>
      <c r="N105" s="427"/>
      <c r="O105" s="427"/>
      <c r="P105" s="428"/>
      <c r="Q105" s="330"/>
      <c r="R105" s="331"/>
      <c r="S105" s="331"/>
      <c r="T105" s="332"/>
      <c r="U105" s="420"/>
      <c r="V105" s="421"/>
      <c r="W105" s="421"/>
      <c r="X105" s="485"/>
      <c r="Y105" s="470" t="str">
        <f>IF(I37="","",IF(I37="専用住宅",IF(Q105&gt;=20,20,Q105),IF(I37="併用住宅",IF(U105&gt;=20,20,U105))))</f>
        <v/>
      </c>
      <c r="Z105" s="471"/>
      <c r="AA105" s="29" t="s">
        <v>56</v>
      </c>
      <c r="AE105" s="1"/>
      <c r="AF105" s="1"/>
      <c r="AG105" s="1"/>
      <c r="AH105" s="26"/>
      <c r="AI105" s="27"/>
      <c r="AJ105" s="27"/>
      <c r="AK105" s="27"/>
      <c r="AL105" s="27"/>
      <c r="AM105" s="27"/>
    </row>
    <row r="106" spans="2:39" ht="13.2" customHeight="1" x14ac:dyDescent="0.2">
      <c r="D106" s="28"/>
      <c r="E106" s="30"/>
      <c r="F106" s="304"/>
      <c r="G106" s="448" t="s">
        <v>446</v>
      </c>
      <c r="H106" s="449"/>
      <c r="I106" s="449"/>
      <c r="J106" s="449"/>
      <c r="K106" s="449"/>
      <c r="L106" s="449"/>
      <c r="M106" s="449"/>
      <c r="N106" s="449"/>
      <c r="O106" s="449"/>
      <c r="P106" s="450"/>
      <c r="Q106" s="461"/>
      <c r="R106" s="462"/>
      <c r="S106" s="462"/>
      <c r="T106" s="463"/>
      <c r="U106" s="467"/>
      <c r="V106" s="468"/>
      <c r="W106" s="468"/>
      <c r="X106" s="468"/>
      <c r="Y106" s="305"/>
      <c r="Z106" s="305"/>
      <c r="AA106" s="101"/>
      <c r="AE106" s="1"/>
      <c r="AF106" s="1"/>
      <c r="AG106" s="1"/>
      <c r="AH106" s="26"/>
      <c r="AI106" s="27"/>
      <c r="AJ106" s="27"/>
      <c r="AK106" s="27"/>
      <c r="AL106" s="27"/>
      <c r="AM106" s="27"/>
    </row>
    <row r="107" spans="2:39" x14ac:dyDescent="0.2">
      <c r="D107" s="28"/>
      <c r="E107" s="30"/>
      <c r="F107" s="304"/>
      <c r="G107" s="451" t="s">
        <v>425</v>
      </c>
      <c r="H107" s="452"/>
      <c r="I107" s="452"/>
      <c r="J107" s="452"/>
      <c r="K107" s="452"/>
      <c r="L107" s="452"/>
      <c r="M107" s="452"/>
      <c r="N107" s="452"/>
      <c r="O107" s="452"/>
      <c r="P107" s="453"/>
      <c r="Q107" s="464"/>
      <c r="R107" s="465"/>
      <c r="S107" s="465"/>
      <c r="T107" s="466"/>
      <c r="U107" s="467"/>
      <c r="V107" s="468"/>
      <c r="W107" s="468"/>
      <c r="X107" s="468"/>
      <c r="Y107" s="305"/>
      <c r="Z107" s="305"/>
      <c r="AA107" s="101"/>
      <c r="AE107" s="1"/>
      <c r="AF107" s="1"/>
      <c r="AG107" s="1"/>
      <c r="AH107" s="26" t="s">
        <v>425</v>
      </c>
      <c r="AI107" s="27">
        <f>Q106*3</f>
        <v>0</v>
      </c>
      <c r="AJ107" s="27">
        <f>U106*3</f>
        <v>0</v>
      </c>
      <c r="AK107" s="27"/>
      <c r="AL107" s="27"/>
      <c r="AM107" s="27"/>
    </row>
    <row r="108" spans="2:39" x14ac:dyDescent="0.2">
      <c r="D108" s="28"/>
      <c r="E108" s="30"/>
      <c r="F108" s="304"/>
      <c r="G108" s="448" t="s">
        <v>446</v>
      </c>
      <c r="H108" s="449"/>
      <c r="I108" s="449"/>
      <c r="J108" s="449"/>
      <c r="K108" s="449"/>
      <c r="L108" s="449"/>
      <c r="M108" s="449"/>
      <c r="N108" s="449"/>
      <c r="O108" s="449"/>
      <c r="P108" s="450"/>
      <c r="Q108" s="461"/>
      <c r="R108" s="462"/>
      <c r="S108" s="462"/>
      <c r="T108" s="463"/>
      <c r="U108" s="467"/>
      <c r="V108" s="468"/>
      <c r="W108" s="468"/>
      <c r="X108" s="468"/>
      <c r="Y108" s="305"/>
      <c r="Z108" s="305"/>
      <c r="AA108" s="101"/>
      <c r="AE108" s="1"/>
      <c r="AF108" s="1"/>
      <c r="AG108" s="1"/>
      <c r="AH108" s="26" t="s">
        <v>426</v>
      </c>
      <c r="AI108" s="27">
        <f>Q108*2</f>
        <v>0</v>
      </c>
      <c r="AJ108" s="27">
        <f>U108*2</f>
        <v>0</v>
      </c>
      <c r="AK108" s="27"/>
      <c r="AL108" s="27"/>
      <c r="AM108" s="27"/>
    </row>
    <row r="109" spans="2:39" x14ac:dyDescent="0.2">
      <c r="D109" s="28"/>
      <c r="E109" s="30"/>
      <c r="F109" s="31"/>
      <c r="G109" s="378" t="s">
        <v>426</v>
      </c>
      <c r="H109" s="379"/>
      <c r="I109" s="379"/>
      <c r="J109" s="379"/>
      <c r="K109" s="379"/>
      <c r="L109" s="379"/>
      <c r="M109" s="379"/>
      <c r="N109" s="379"/>
      <c r="O109" s="379"/>
      <c r="P109" s="484"/>
      <c r="Q109" s="464"/>
      <c r="R109" s="465"/>
      <c r="S109" s="465"/>
      <c r="T109" s="466"/>
      <c r="U109" s="467"/>
      <c r="V109" s="468"/>
      <c r="W109" s="468"/>
      <c r="X109" s="468"/>
      <c r="Y109" s="470" t="str">
        <f>IF(I37="","",IF(I37="専用住宅",IF(AI109&gt;=30,30,AI109),IF(I37="併用住宅",IF(AJ109&gt;=30,30,AJ109))))</f>
        <v/>
      </c>
      <c r="Z109" s="471"/>
      <c r="AA109" s="29" t="s">
        <v>0</v>
      </c>
      <c r="AE109" s="1"/>
      <c r="AF109" s="1"/>
      <c r="AG109" s="1"/>
      <c r="AH109" s="26"/>
      <c r="AI109" s="27">
        <f>SUM(AI107:AI108)</f>
        <v>0</v>
      </c>
      <c r="AJ109" s="27">
        <f>SUM(AJ107:AJ108)</f>
        <v>0</v>
      </c>
      <c r="AK109" s="27"/>
      <c r="AL109" s="27"/>
      <c r="AM109" s="27"/>
    </row>
    <row r="110" spans="2:39" x14ac:dyDescent="0.2">
      <c r="D110" s="28"/>
      <c r="E110" s="30"/>
      <c r="F110" s="426" t="s">
        <v>98</v>
      </c>
      <c r="G110" s="427"/>
      <c r="H110" s="427"/>
      <c r="I110" s="427"/>
      <c r="J110" s="427"/>
      <c r="K110" s="427"/>
      <c r="L110" s="427"/>
      <c r="M110" s="427"/>
      <c r="N110" s="427"/>
      <c r="O110" s="427"/>
      <c r="P110" s="428"/>
      <c r="Q110" s="330"/>
      <c r="R110" s="331"/>
      <c r="S110" s="331"/>
      <c r="T110" s="332"/>
      <c r="U110" s="420"/>
      <c r="V110" s="421"/>
      <c r="W110" s="421"/>
      <c r="X110" s="421"/>
      <c r="AE110" s="1"/>
      <c r="AF110" s="1"/>
      <c r="AG110" s="1"/>
      <c r="AH110" s="26"/>
      <c r="AI110" s="27"/>
      <c r="AJ110" s="27"/>
      <c r="AK110" s="27"/>
      <c r="AL110" s="27"/>
      <c r="AM110" s="27"/>
    </row>
    <row r="111" spans="2:39" x14ac:dyDescent="0.2">
      <c r="D111" s="8"/>
      <c r="E111" s="32"/>
      <c r="F111" s="429" t="s">
        <v>99</v>
      </c>
      <c r="G111" s="430"/>
      <c r="H111" s="430"/>
      <c r="I111" s="430"/>
      <c r="J111" s="430"/>
      <c r="K111" s="430"/>
      <c r="L111" s="430"/>
      <c r="M111" s="430"/>
      <c r="N111" s="430"/>
      <c r="O111" s="430"/>
      <c r="P111" s="431"/>
      <c r="Q111" s="423"/>
      <c r="R111" s="424"/>
      <c r="S111" s="424"/>
      <c r="T111" s="425"/>
      <c r="U111" s="422"/>
      <c r="V111" s="422"/>
      <c r="W111" s="422"/>
      <c r="X111" s="422"/>
      <c r="Y111" s="454" t="str">
        <f>IF(OR(I37="",AND(Q110="",Q111="")),"",MIN(IF(AND(I37="専用住宅",Q110&gt;=1),5,IF(AND(I37="併用住宅",U110&gt;=1),5,0))+IF(AND(I37="専用住宅",Q111&gt;=1),INT(Q111)*0.3,IF(AND(I37="併用住宅",U111&gt;=1),INT(U111)*0.3,0)),20))</f>
        <v/>
      </c>
      <c r="Z111" s="455"/>
      <c r="AA111" s="29" t="s">
        <v>56</v>
      </c>
      <c r="AE111" s="1"/>
      <c r="AF111" s="1"/>
      <c r="AG111" s="1"/>
      <c r="AH111" s="26"/>
      <c r="AI111" s="27"/>
      <c r="AJ111" s="27"/>
      <c r="AK111" s="27"/>
      <c r="AL111" s="27"/>
      <c r="AM111" s="27"/>
    </row>
    <row r="112" spans="2:39" x14ac:dyDescent="0.2">
      <c r="E112" s="13"/>
      <c r="X112" s="33" t="s">
        <v>72</v>
      </c>
      <c r="Y112" s="333" t="str">
        <f>IF(Y104="","",IF(AND(B26="✔",B29="✔",B47="✔",B52="✔",B57="✔",B92="✔",OR(B94="✔",B98="✔"),B99=""),SUM(Y104:Z111),0))</f>
        <v/>
      </c>
      <c r="Z112" s="334"/>
      <c r="AA112" s="29" t="s">
        <v>0</v>
      </c>
      <c r="AB112" s="4" t="str">
        <f>IF(AND(Y112=0),"←合計金額が算出されない場合は、前のページにチェック漏れ等がありますので御確認ください。","")</f>
        <v/>
      </c>
    </row>
    <row r="113" spans="1:55" x14ac:dyDescent="0.2">
      <c r="A113" s="14" t="s">
        <v>151</v>
      </c>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row>
    <row r="114" spans="1:55" x14ac:dyDescent="0.2">
      <c r="A114" s="14"/>
      <c r="B114" s="43" t="s">
        <v>422</v>
      </c>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row>
    <row r="115" spans="1:55" x14ac:dyDescent="0.2">
      <c r="A115" s="14" t="s">
        <v>434</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row>
    <row r="116" spans="1:55" x14ac:dyDescent="0.2">
      <c r="A116" s="14"/>
      <c r="B116" s="43" t="s">
        <v>423</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row>
    <row r="117" spans="1:55" x14ac:dyDescent="0.2">
      <c r="A117" s="14"/>
      <c r="B117" s="43" t="s">
        <v>424</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row>
    <row r="118" spans="1:55" ht="13.2" customHeight="1" x14ac:dyDescent="0.2">
      <c r="A118" s="469" t="s">
        <v>447</v>
      </c>
      <c r="B118" s="469"/>
      <c r="C118" s="469"/>
      <c r="D118" s="469"/>
      <c r="E118" s="469"/>
      <c r="F118" s="469"/>
      <c r="G118" s="469"/>
      <c r="H118" s="469"/>
      <c r="I118" s="469"/>
      <c r="J118" s="469"/>
      <c r="K118" s="469"/>
      <c r="L118" s="469"/>
      <c r="M118" s="469"/>
      <c r="N118" s="469"/>
      <c r="O118" s="469"/>
      <c r="P118" s="469"/>
      <c r="Q118" s="469"/>
      <c r="R118" s="469"/>
      <c r="S118" s="469"/>
      <c r="T118" s="469"/>
      <c r="U118" s="469"/>
      <c r="V118" s="469"/>
      <c r="W118" s="469"/>
      <c r="X118" s="469"/>
      <c r="Y118" s="469"/>
      <c r="Z118" s="469"/>
      <c r="AA118" s="469"/>
    </row>
    <row r="119" spans="1:55" x14ac:dyDescent="0.2">
      <c r="A119" s="469"/>
      <c r="B119" s="469"/>
      <c r="C119" s="469"/>
      <c r="D119" s="469"/>
      <c r="E119" s="469"/>
      <c r="F119" s="469"/>
      <c r="G119" s="469"/>
      <c r="H119" s="469"/>
      <c r="I119" s="469"/>
      <c r="J119" s="469"/>
      <c r="K119" s="469"/>
      <c r="L119" s="469"/>
      <c r="M119" s="469"/>
      <c r="N119" s="469"/>
      <c r="O119" s="469"/>
      <c r="P119" s="469"/>
      <c r="Q119" s="469"/>
      <c r="R119" s="469"/>
      <c r="S119" s="469"/>
      <c r="T119" s="469"/>
      <c r="U119" s="469"/>
      <c r="V119" s="469"/>
      <c r="W119" s="469"/>
      <c r="X119" s="469"/>
      <c r="Y119" s="469"/>
      <c r="Z119" s="469"/>
      <c r="AA119" s="469"/>
    </row>
    <row r="120" spans="1:55" x14ac:dyDescent="0.2">
      <c r="A120" s="14"/>
      <c r="B120" s="43" t="s">
        <v>448</v>
      </c>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row>
    <row r="121" spans="1:55" x14ac:dyDescent="0.2">
      <c r="A121" s="14" t="s">
        <v>152</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row>
    <row r="122" spans="1:55" x14ac:dyDescent="0.2">
      <c r="A122" s="14"/>
      <c r="B122" s="43" t="s">
        <v>116</v>
      </c>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row>
    <row r="123" spans="1:55" x14ac:dyDescent="0.2">
      <c r="A123" s="14" t="s">
        <v>421</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row>
    <row r="124" spans="1:55" x14ac:dyDescent="0.2">
      <c r="A124" s="14"/>
      <c r="B124" s="43" t="s">
        <v>142</v>
      </c>
      <c r="C124" s="14"/>
      <c r="D124" s="14"/>
      <c r="E124" s="14"/>
      <c r="F124" s="14"/>
      <c r="G124" s="14"/>
      <c r="H124" s="14"/>
      <c r="I124" s="14"/>
      <c r="J124" s="14"/>
      <c r="K124" s="14"/>
      <c r="L124" s="14"/>
      <c r="M124" s="14"/>
      <c r="N124" s="14"/>
    </row>
    <row r="125" spans="1:55" x14ac:dyDescent="0.2">
      <c r="A125" s="14"/>
      <c r="C125" s="14"/>
      <c r="D125" s="14"/>
      <c r="E125" s="14"/>
      <c r="F125" s="14"/>
      <c r="G125" s="14"/>
      <c r="H125" s="52" t="s">
        <v>430</v>
      </c>
      <c r="I125" s="14"/>
      <c r="J125" s="14"/>
      <c r="K125" s="14"/>
      <c r="L125" s="14"/>
      <c r="M125" s="14"/>
      <c r="N125" s="14"/>
    </row>
    <row r="126" spans="1:55" x14ac:dyDescent="0.2">
      <c r="A126" s="14"/>
      <c r="B126" s="52"/>
      <c r="C126" s="14"/>
      <c r="D126" s="14"/>
      <c r="E126" s="14"/>
      <c r="F126" s="14"/>
      <c r="G126" s="14"/>
      <c r="H126" s="24" t="s">
        <v>431</v>
      </c>
      <c r="I126" s="14"/>
      <c r="J126" s="14"/>
      <c r="K126" s="14"/>
      <c r="L126" s="14"/>
      <c r="M126" s="14"/>
      <c r="N126" s="14"/>
    </row>
    <row r="127" spans="1:55" x14ac:dyDescent="0.2">
      <c r="A127" s="14" t="s">
        <v>420</v>
      </c>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row>
    <row r="128" spans="1:55" ht="4.5" customHeight="1" x14ac:dyDescent="0.2">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row>
    <row r="129" spans="1:30" x14ac:dyDescent="0.2">
      <c r="A129" s="1" t="s">
        <v>193</v>
      </c>
      <c r="Y129" s="339" t="s">
        <v>96</v>
      </c>
      <c r="Z129" s="339"/>
      <c r="AA129" s="339"/>
    </row>
    <row r="130" spans="1:30" ht="14.25" customHeight="1" x14ac:dyDescent="0.2">
      <c r="B130" s="1" t="s">
        <v>55</v>
      </c>
      <c r="Y130" s="460"/>
      <c r="Z130" s="460"/>
      <c r="AA130" s="460"/>
    </row>
    <row r="131" spans="1:30" x14ac:dyDescent="0.2">
      <c r="B131" s="307" t="s">
        <v>449</v>
      </c>
      <c r="Y131" s="336" t="str">
        <f>IF(AND(Y112&lt;&gt;"",Y112&gt;=15,OR(B133="✔",P133="✔")),IF(B83="✔",0,10),"")</f>
        <v/>
      </c>
      <c r="Z131" s="337"/>
      <c r="AA131" s="29" t="s">
        <v>0</v>
      </c>
      <c r="AD131" s="3" t="s">
        <v>78</v>
      </c>
    </row>
    <row r="132" spans="1:30" ht="5.0999999999999996" customHeight="1" x14ac:dyDescent="0.2"/>
    <row r="133" spans="1:30" x14ac:dyDescent="0.2">
      <c r="B133" s="93"/>
      <c r="C133" s="1" t="s">
        <v>53</v>
      </c>
      <c r="P133" s="93"/>
      <c r="Q133" s="1" t="s">
        <v>202</v>
      </c>
    </row>
    <row r="134" spans="1:30" ht="13.5" customHeight="1" x14ac:dyDescent="0.2">
      <c r="C134" s="1" t="s">
        <v>54</v>
      </c>
      <c r="Q134" s="456"/>
      <c r="R134" s="456"/>
      <c r="S134" s="456"/>
      <c r="T134" s="456"/>
      <c r="U134" s="456"/>
      <c r="V134" s="456"/>
      <c r="W134" s="456"/>
      <c r="X134" s="456"/>
      <c r="Y134" s="456"/>
      <c r="Z134" s="456"/>
      <c r="AA134" s="456"/>
    </row>
    <row r="135" spans="1:30" ht="2.25" customHeight="1" x14ac:dyDescent="0.2">
      <c r="Q135" s="456"/>
      <c r="R135" s="456"/>
      <c r="S135" s="456"/>
      <c r="T135" s="456"/>
      <c r="U135" s="456"/>
      <c r="V135" s="456"/>
      <c r="W135" s="456"/>
      <c r="X135" s="456"/>
      <c r="Y135" s="456"/>
      <c r="Z135" s="456"/>
      <c r="AA135" s="456"/>
    </row>
    <row r="136" spans="1:30" x14ac:dyDescent="0.2">
      <c r="C136" s="13" t="s">
        <v>48</v>
      </c>
      <c r="Q136" s="13" t="s">
        <v>48</v>
      </c>
    </row>
    <row r="137" spans="1:30" x14ac:dyDescent="0.2">
      <c r="C137" s="325" t="s">
        <v>52</v>
      </c>
      <c r="D137" s="326"/>
      <c r="E137" s="326"/>
      <c r="F137" s="326"/>
      <c r="G137" s="326"/>
      <c r="H137" s="326"/>
      <c r="I137" s="326"/>
      <c r="J137" s="326"/>
      <c r="K137" s="326"/>
      <c r="L137" s="326"/>
      <c r="M137" s="326"/>
      <c r="N137" s="326"/>
      <c r="O137" s="60"/>
      <c r="P137" s="60"/>
      <c r="Q137" s="325" t="s">
        <v>49</v>
      </c>
      <c r="R137" s="325"/>
      <c r="S137" s="325"/>
      <c r="T137" s="325"/>
      <c r="U137" s="325"/>
      <c r="V137" s="325"/>
      <c r="W137" s="325"/>
      <c r="X137" s="325"/>
      <c r="Y137" s="325"/>
      <c r="Z137" s="325"/>
      <c r="AA137" s="325"/>
    </row>
    <row r="138" spans="1:30" ht="1.5" customHeight="1" x14ac:dyDescent="0.2">
      <c r="C138" s="326"/>
      <c r="D138" s="326"/>
      <c r="E138" s="326"/>
      <c r="F138" s="326"/>
      <c r="G138" s="326"/>
      <c r="H138" s="326"/>
      <c r="I138" s="326"/>
      <c r="J138" s="326"/>
      <c r="K138" s="326"/>
      <c r="L138" s="326"/>
      <c r="M138" s="326"/>
      <c r="N138" s="326"/>
      <c r="O138" s="60"/>
      <c r="P138" s="60"/>
      <c r="Q138" s="325"/>
      <c r="R138" s="325"/>
      <c r="S138" s="325"/>
      <c r="T138" s="325"/>
      <c r="U138" s="325"/>
      <c r="V138" s="325"/>
      <c r="W138" s="325"/>
      <c r="X138" s="325"/>
      <c r="Y138" s="325"/>
      <c r="Z138" s="325"/>
      <c r="AA138" s="325"/>
    </row>
    <row r="139" spans="1:30" x14ac:dyDescent="0.2">
      <c r="C139" s="43" t="s">
        <v>112</v>
      </c>
      <c r="D139" s="44"/>
      <c r="E139" s="44"/>
      <c r="F139" s="44"/>
      <c r="G139" s="44"/>
      <c r="H139" s="44"/>
      <c r="I139" s="44"/>
      <c r="J139" s="44"/>
      <c r="K139" s="44"/>
      <c r="L139" s="44"/>
      <c r="M139" s="44"/>
      <c r="N139" s="44"/>
      <c r="Q139" s="43" t="s">
        <v>112</v>
      </c>
      <c r="R139" s="44"/>
      <c r="S139" s="44"/>
      <c r="T139" s="44"/>
      <c r="U139" s="44"/>
      <c r="V139" s="44"/>
      <c r="W139" s="44"/>
      <c r="X139" s="44"/>
      <c r="Y139" s="44"/>
      <c r="Z139" s="44"/>
      <c r="AA139" s="44"/>
    </row>
    <row r="140" spans="1:30" ht="26.1" customHeight="1" x14ac:dyDescent="0.2">
      <c r="C140" s="338" t="s">
        <v>196</v>
      </c>
      <c r="D140" s="338"/>
      <c r="E140" s="338"/>
      <c r="F140" s="338"/>
      <c r="G140" s="338"/>
      <c r="H140" s="338"/>
      <c r="I140" s="338"/>
      <c r="J140" s="338"/>
      <c r="K140" s="338"/>
      <c r="L140" s="338"/>
      <c r="M140" s="338"/>
      <c r="N140" s="338"/>
      <c r="Q140" s="338" t="s">
        <v>196</v>
      </c>
      <c r="R140" s="338"/>
      <c r="S140" s="338"/>
      <c r="T140" s="338"/>
      <c r="U140" s="338"/>
      <c r="V140" s="338"/>
      <c r="W140" s="338"/>
      <c r="X140" s="338"/>
      <c r="Y140" s="338"/>
      <c r="Z140" s="338"/>
      <c r="AA140" s="338"/>
    </row>
    <row r="141" spans="1:30" ht="12.6" customHeight="1" x14ac:dyDescent="0.2">
      <c r="D141" s="35"/>
      <c r="E141" s="35"/>
      <c r="F141" s="35"/>
      <c r="G141" s="35"/>
      <c r="H141" s="35"/>
      <c r="I141" s="35"/>
      <c r="J141" s="35"/>
      <c r="K141" s="35"/>
      <c r="L141" s="35"/>
      <c r="M141" s="35"/>
      <c r="N141" s="35"/>
      <c r="Q141" s="49" t="s">
        <v>206</v>
      </c>
      <c r="R141" s="36"/>
      <c r="S141" s="36"/>
      <c r="T141" s="36"/>
      <c r="U141" s="36"/>
      <c r="V141" s="36"/>
      <c r="W141" s="36"/>
      <c r="X141" s="36"/>
      <c r="Y141" s="36"/>
      <c r="Z141" s="36"/>
      <c r="AA141" s="36"/>
    </row>
    <row r="142" spans="1:30" x14ac:dyDescent="0.2">
      <c r="C142" s="326" t="s">
        <v>79</v>
      </c>
      <c r="D142" s="326"/>
      <c r="E142" s="326"/>
      <c r="F142" s="326"/>
      <c r="G142" s="326"/>
      <c r="H142" s="326"/>
      <c r="I142" s="326"/>
      <c r="J142" s="326"/>
      <c r="K142" s="326"/>
      <c r="L142" s="326"/>
      <c r="M142" s="326"/>
      <c r="N142" s="326"/>
      <c r="O142" s="326"/>
      <c r="P142" s="326"/>
      <c r="Q142" s="326"/>
      <c r="R142" s="326"/>
      <c r="S142" s="326"/>
      <c r="T142" s="326"/>
      <c r="U142" s="326"/>
      <c r="V142" s="326"/>
      <c r="W142" s="326"/>
      <c r="X142" s="326"/>
      <c r="Y142" s="326"/>
      <c r="Z142" s="326"/>
      <c r="AA142" s="36"/>
    </row>
    <row r="143" spans="1:30" ht="12" customHeight="1" x14ac:dyDescent="0.2">
      <c r="C143" s="326"/>
      <c r="D143" s="326"/>
      <c r="E143" s="326"/>
      <c r="F143" s="326"/>
      <c r="G143" s="326"/>
      <c r="H143" s="326"/>
      <c r="I143" s="326"/>
      <c r="J143" s="326"/>
      <c r="K143" s="326"/>
      <c r="L143" s="326"/>
      <c r="M143" s="326"/>
      <c r="N143" s="326"/>
      <c r="O143" s="326"/>
      <c r="P143" s="326"/>
      <c r="Q143" s="326"/>
      <c r="R143" s="326"/>
      <c r="S143" s="326"/>
      <c r="T143" s="326"/>
      <c r="U143" s="326"/>
      <c r="V143" s="326"/>
      <c r="W143" s="326"/>
      <c r="X143" s="326"/>
      <c r="Y143" s="326"/>
      <c r="Z143" s="326"/>
      <c r="AA143" s="36"/>
    </row>
    <row r="144" spans="1:30" x14ac:dyDescent="0.2">
      <c r="A144" s="1" t="s">
        <v>194</v>
      </c>
      <c r="Y144" s="339" t="s">
        <v>96</v>
      </c>
      <c r="Z144" s="339"/>
      <c r="AA144" s="339"/>
    </row>
    <row r="145" spans="2:30" ht="13.5" customHeight="1" x14ac:dyDescent="0.2">
      <c r="B145" s="98" t="s">
        <v>450</v>
      </c>
      <c r="Y145" s="339"/>
      <c r="Z145" s="339"/>
      <c r="AA145" s="339"/>
    </row>
    <row r="146" spans="2:30" ht="13.5" customHeight="1" x14ac:dyDescent="0.2">
      <c r="B146" s="22" t="s">
        <v>463</v>
      </c>
      <c r="Y146" s="336" t="str">
        <f>IF(OR(B147="✔",B150="✔",B152="✔",B147="✔"),10,"")</f>
        <v/>
      </c>
      <c r="Z146" s="337"/>
      <c r="AA146" s="29" t="s">
        <v>0</v>
      </c>
    </row>
    <row r="147" spans="2:30" x14ac:dyDescent="0.2">
      <c r="B147" s="93"/>
      <c r="C147" s="535" t="s">
        <v>465</v>
      </c>
      <c r="AD147" s="3" t="s">
        <v>78</v>
      </c>
    </row>
    <row r="148" spans="2:30" x14ac:dyDescent="0.2">
      <c r="C148" s="13" t="s">
        <v>503</v>
      </c>
    </row>
    <row r="149" spans="2:30" ht="7.2" customHeight="1" x14ac:dyDescent="0.2"/>
    <row r="150" spans="2:30" x14ac:dyDescent="0.2">
      <c r="B150" s="93"/>
      <c r="C150" s="535" t="s">
        <v>466</v>
      </c>
      <c r="Y150" s="38"/>
      <c r="Z150" s="38"/>
      <c r="AA150" s="101"/>
    </row>
    <row r="151" spans="2:30" ht="7.2" customHeight="1" x14ac:dyDescent="0.2"/>
    <row r="152" spans="2:30" x14ac:dyDescent="0.2">
      <c r="B152" s="93"/>
      <c r="C152" s="535" t="s">
        <v>467</v>
      </c>
      <c r="Y152" s="38"/>
      <c r="Z152" s="38"/>
      <c r="AA152" s="101"/>
    </row>
    <row r="153" spans="2:30" x14ac:dyDescent="0.2">
      <c r="C153" s="13" t="s">
        <v>504</v>
      </c>
    </row>
    <row r="154" spans="2:30" ht="5.0999999999999996" customHeight="1" x14ac:dyDescent="0.2"/>
    <row r="155" spans="2:30" x14ac:dyDescent="0.2">
      <c r="B155" s="351" t="s">
        <v>464</v>
      </c>
      <c r="C155" s="351"/>
      <c r="D155" s="351"/>
      <c r="E155" s="351"/>
      <c r="F155" s="351"/>
      <c r="G155" s="351"/>
      <c r="H155" s="340" t="s">
        <v>154</v>
      </c>
      <c r="I155" s="340"/>
      <c r="J155" s="340"/>
      <c r="K155" s="340"/>
      <c r="L155" s="340"/>
      <c r="M155" s="340"/>
      <c r="N155" s="340"/>
      <c r="O155" s="345"/>
      <c r="P155" s="345"/>
      <c r="Q155" s="345"/>
      <c r="R155" s="345"/>
      <c r="S155" s="345"/>
      <c r="T155" s="345"/>
      <c r="U155" s="345"/>
      <c r="V155" s="345"/>
      <c r="W155" s="345"/>
      <c r="X155" s="345"/>
      <c r="Y155" s="345"/>
      <c r="Z155" s="345"/>
      <c r="AB155" s="4" t="str">
        <f>IF(AND(O155="",B147="✔"),"→申請者の住宅建設地の小学校区を記載してください。","")</f>
        <v/>
      </c>
    </row>
    <row r="156" spans="2:30" x14ac:dyDescent="0.2">
      <c r="B156" s="346" t="s">
        <v>204</v>
      </c>
      <c r="C156" s="346"/>
      <c r="D156" s="346"/>
      <c r="E156" s="346"/>
      <c r="F156" s="346"/>
      <c r="G156" s="346"/>
      <c r="H156" s="318" t="s">
        <v>155</v>
      </c>
      <c r="I156" s="340"/>
      <c r="J156" s="340"/>
      <c r="K156" s="340"/>
      <c r="L156" s="340"/>
      <c r="M156" s="340"/>
      <c r="N156" s="340"/>
      <c r="O156" s="345"/>
      <c r="P156" s="345"/>
      <c r="Q156" s="345"/>
      <c r="R156" s="345"/>
      <c r="S156" s="345"/>
      <c r="T156" s="345"/>
      <c r="U156" s="345"/>
      <c r="V156" s="345"/>
      <c r="W156" s="345"/>
      <c r="X156" s="345"/>
      <c r="Y156" s="345"/>
      <c r="Z156" s="345"/>
      <c r="AB156" s="4" t="str">
        <f>IF(AND(O156="",B147="✔"),"→近居対象の親族世帯の住所を記載してください。","")</f>
        <v/>
      </c>
    </row>
    <row r="157" spans="2:30" x14ac:dyDescent="0.2">
      <c r="B157" s="346"/>
      <c r="C157" s="346"/>
      <c r="D157" s="346"/>
      <c r="E157" s="346"/>
      <c r="F157" s="346"/>
      <c r="G157" s="346"/>
      <c r="H157" s="318" t="s">
        <v>156</v>
      </c>
      <c r="I157" s="340"/>
      <c r="J157" s="340"/>
      <c r="K157" s="340"/>
      <c r="L157" s="340"/>
      <c r="M157" s="340"/>
      <c r="N157" s="340"/>
      <c r="O157" s="345"/>
      <c r="P157" s="345"/>
      <c r="Q157" s="345"/>
      <c r="R157" s="345"/>
      <c r="S157" s="345"/>
      <c r="T157" s="345"/>
      <c r="U157" s="345"/>
      <c r="V157" s="345"/>
      <c r="W157" s="345"/>
      <c r="X157" s="345"/>
      <c r="Y157" s="345"/>
      <c r="Z157" s="345"/>
      <c r="AB157" s="4" t="str">
        <f>IF(AND(O157="",B147="✔"),"→近居対象の親族世帯の小学校区を記載してください。","")</f>
        <v/>
      </c>
    </row>
    <row r="158" spans="2:30" x14ac:dyDescent="0.2">
      <c r="C158" s="41" t="s">
        <v>112</v>
      </c>
      <c r="D158" s="34"/>
      <c r="E158" s="34"/>
      <c r="F158" s="34"/>
      <c r="G158" s="34"/>
      <c r="H158" s="34"/>
      <c r="I158" s="34"/>
      <c r="J158" s="34"/>
      <c r="K158" s="34"/>
      <c r="L158" s="34"/>
      <c r="M158" s="34"/>
      <c r="N158" s="34"/>
    </row>
    <row r="159" spans="2:30" ht="13.5" customHeight="1" x14ac:dyDescent="0.2">
      <c r="C159" s="45" t="s">
        <v>88</v>
      </c>
      <c r="D159" s="36"/>
      <c r="E159" s="36"/>
      <c r="F159" s="36"/>
      <c r="G159" s="36"/>
      <c r="H159" s="36"/>
      <c r="I159" s="36"/>
      <c r="J159" s="36"/>
      <c r="K159" s="36"/>
      <c r="L159" s="36"/>
      <c r="M159" s="36"/>
      <c r="N159" s="36"/>
    </row>
    <row r="160" spans="2:30" ht="13.5" customHeight="1" x14ac:dyDescent="0.2">
      <c r="C160" s="45" t="s">
        <v>207</v>
      </c>
      <c r="D160" s="36"/>
      <c r="E160" s="36"/>
      <c r="F160" s="36"/>
      <c r="G160" s="36"/>
      <c r="H160" s="36"/>
      <c r="I160" s="36"/>
      <c r="J160" s="36"/>
      <c r="K160" s="36"/>
      <c r="L160" s="36"/>
      <c r="M160" s="36"/>
      <c r="N160" s="36"/>
    </row>
    <row r="161" spans="1:30" x14ac:dyDescent="0.2">
      <c r="AA161" s="5" t="s">
        <v>73</v>
      </c>
    </row>
    <row r="162" spans="1:30" x14ac:dyDescent="0.2">
      <c r="A162" s="98" t="s">
        <v>451</v>
      </c>
      <c r="Y162" s="339" t="s">
        <v>96</v>
      </c>
      <c r="Z162" s="339"/>
      <c r="AA162" s="339"/>
    </row>
    <row r="163" spans="1:30" ht="12.75" customHeight="1" x14ac:dyDescent="0.2">
      <c r="B163" s="375" t="s">
        <v>452</v>
      </c>
      <c r="C163" s="375"/>
      <c r="D163" s="375"/>
      <c r="E163" s="375"/>
      <c r="F163" s="375"/>
      <c r="G163" s="375"/>
      <c r="H163" s="375"/>
      <c r="I163" s="375"/>
      <c r="J163" s="375"/>
      <c r="K163" s="375"/>
      <c r="L163" s="375"/>
      <c r="M163" s="375"/>
      <c r="N163" s="375"/>
      <c r="O163" s="375"/>
      <c r="P163" s="375"/>
      <c r="Q163" s="375"/>
      <c r="R163" s="375"/>
      <c r="S163" s="375"/>
      <c r="T163" s="375"/>
      <c r="U163" s="375"/>
      <c r="V163" s="375"/>
      <c r="W163" s="375"/>
      <c r="X163" s="376"/>
      <c r="Y163" s="339"/>
      <c r="Z163" s="339"/>
      <c r="AA163" s="339"/>
    </row>
    <row r="164" spans="1:30" x14ac:dyDescent="0.2">
      <c r="B164" s="375"/>
      <c r="C164" s="375"/>
      <c r="D164" s="375"/>
      <c r="E164" s="375"/>
      <c r="F164" s="375"/>
      <c r="G164" s="375"/>
      <c r="H164" s="375"/>
      <c r="I164" s="375"/>
      <c r="J164" s="375"/>
      <c r="K164" s="375"/>
      <c r="L164" s="375"/>
      <c r="M164" s="375"/>
      <c r="N164" s="375"/>
      <c r="O164" s="375"/>
      <c r="P164" s="375"/>
      <c r="Q164" s="375"/>
      <c r="R164" s="375"/>
      <c r="S164" s="375"/>
      <c r="T164" s="375"/>
      <c r="U164" s="375"/>
      <c r="V164" s="375"/>
      <c r="W164" s="375"/>
      <c r="X164" s="376"/>
      <c r="Y164" s="336" t="str">
        <f>IF(AND(Y112&lt;&gt;"",Y112&gt;=15,B168="✔",I42&lt;&gt;"その他",SUM(F173,F178,F185,F193,F201,F211,F218)&gt;=4),20,"")</f>
        <v/>
      </c>
      <c r="Z164" s="337"/>
      <c r="AA164" s="29" t="s">
        <v>0</v>
      </c>
    </row>
    <row r="165" spans="1:30" ht="13.5" customHeight="1" x14ac:dyDescent="0.2">
      <c r="B165" s="37"/>
      <c r="C165" s="352" t="s">
        <v>453</v>
      </c>
      <c r="D165" s="352"/>
      <c r="E165" s="352"/>
      <c r="F165" s="352"/>
      <c r="G165" s="352"/>
      <c r="H165" s="352"/>
      <c r="I165" s="352"/>
      <c r="J165" s="352"/>
      <c r="K165" s="352"/>
      <c r="L165" s="352"/>
      <c r="M165" s="352"/>
      <c r="N165" s="352"/>
      <c r="O165" s="352"/>
      <c r="P165" s="352"/>
      <c r="Q165" s="352"/>
      <c r="R165" s="352"/>
      <c r="S165" s="352"/>
      <c r="T165" s="352"/>
      <c r="U165" s="352"/>
      <c r="V165" s="352"/>
      <c r="W165" s="352"/>
      <c r="X165" s="352"/>
      <c r="Y165" s="352"/>
      <c r="Z165" s="352"/>
      <c r="AA165" s="352"/>
    </row>
    <row r="166" spans="1:30" ht="13.5" customHeight="1" x14ac:dyDescent="0.2">
      <c r="B166" s="37"/>
      <c r="C166" s="352"/>
      <c r="D166" s="352"/>
      <c r="E166" s="352"/>
      <c r="F166" s="352"/>
      <c r="G166" s="352"/>
      <c r="H166" s="352"/>
      <c r="I166" s="352"/>
      <c r="J166" s="352"/>
      <c r="K166" s="352"/>
      <c r="L166" s="352"/>
      <c r="M166" s="352"/>
      <c r="N166" s="352"/>
      <c r="O166" s="352"/>
      <c r="P166" s="352"/>
      <c r="Q166" s="352"/>
      <c r="R166" s="352"/>
      <c r="S166" s="352"/>
      <c r="T166" s="352"/>
      <c r="U166" s="352"/>
      <c r="V166" s="352"/>
      <c r="W166" s="352"/>
      <c r="X166" s="352"/>
      <c r="Y166" s="352"/>
      <c r="Z166" s="352"/>
      <c r="AA166" s="352"/>
    </row>
    <row r="167" spans="1:30" ht="7.2" customHeight="1" x14ac:dyDescent="0.2"/>
    <row r="168" spans="1:30" x14ac:dyDescent="0.2">
      <c r="B168" s="93"/>
      <c r="C168" s="1" t="s">
        <v>21</v>
      </c>
      <c r="H168" s="1" t="s">
        <v>189</v>
      </c>
      <c r="AD168" s="3" t="s">
        <v>78</v>
      </c>
    </row>
    <row r="169" spans="1:30" x14ac:dyDescent="0.2">
      <c r="B169" s="22" t="str">
        <f>IF(AND(I42="その他",B168="✔"),"工法が異なります","")</f>
        <v/>
      </c>
      <c r="H169" s="1" t="s">
        <v>188</v>
      </c>
    </row>
    <row r="170" spans="1:30" ht="7.2" customHeight="1" x14ac:dyDescent="0.2"/>
    <row r="171" spans="1:30" ht="13.5" customHeight="1" x14ac:dyDescent="0.2">
      <c r="B171" s="93"/>
      <c r="C171" s="1" t="s">
        <v>60</v>
      </c>
      <c r="H171" s="322" t="s">
        <v>172</v>
      </c>
      <c r="I171" s="322"/>
      <c r="J171" s="322"/>
      <c r="K171" s="322"/>
      <c r="L171" s="322"/>
      <c r="M171" s="322"/>
      <c r="N171" s="322"/>
      <c r="O171" s="322"/>
      <c r="P171" s="322"/>
      <c r="Q171" s="322"/>
      <c r="R171" s="322"/>
      <c r="S171" s="322"/>
      <c r="T171" s="322"/>
      <c r="U171" s="322"/>
      <c r="V171" s="322"/>
      <c r="W171" s="322"/>
      <c r="X171" s="322"/>
      <c r="Y171" s="322"/>
      <c r="Z171" s="322"/>
      <c r="AA171" s="322"/>
      <c r="AC171" s="3">
        <f>IF(AND(B94="",B98="✔",B171="✔"),4,0)</f>
        <v>0</v>
      </c>
    </row>
    <row r="172" spans="1:30" x14ac:dyDescent="0.2">
      <c r="C172" s="1" t="s">
        <v>92</v>
      </c>
      <c r="H172" s="322"/>
      <c r="I172" s="322"/>
      <c r="J172" s="322"/>
      <c r="K172" s="322"/>
      <c r="L172" s="322"/>
      <c r="M172" s="322"/>
      <c r="N172" s="322"/>
      <c r="O172" s="322"/>
      <c r="P172" s="322"/>
      <c r="Q172" s="322"/>
      <c r="R172" s="322"/>
      <c r="S172" s="322"/>
      <c r="T172" s="322"/>
      <c r="U172" s="322"/>
      <c r="V172" s="322"/>
      <c r="W172" s="322"/>
      <c r="X172" s="322"/>
      <c r="Y172" s="322"/>
      <c r="Z172" s="322"/>
      <c r="AA172" s="322"/>
    </row>
    <row r="173" spans="1:30" x14ac:dyDescent="0.2">
      <c r="C173" s="348" t="s">
        <v>160</v>
      </c>
      <c r="D173" s="349"/>
      <c r="E173" s="350"/>
      <c r="F173" s="50" t="str">
        <f>IF(AC171=0,"",AC171)</f>
        <v/>
      </c>
      <c r="H173" s="322"/>
      <c r="I173" s="322"/>
      <c r="J173" s="322"/>
      <c r="K173" s="322"/>
      <c r="L173" s="322"/>
      <c r="M173" s="322"/>
      <c r="N173" s="322"/>
      <c r="O173" s="322"/>
      <c r="P173" s="322"/>
      <c r="Q173" s="322"/>
      <c r="R173" s="322"/>
      <c r="S173" s="322"/>
      <c r="T173" s="322"/>
      <c r="U173" s="322"/>
      <c r="V173" s="322"/>
      <c r="W173" s="322"/>
      <c r="X173" s="322"/>
      <c r="Y173" s="322"/>
      <c r="Z173" s="322"/>
      <c r="AA173" s="322"/>
    </row>
    <row r="174" spans="1:30" x14ac:dyDescent="0.2">
      <c r="C174" s="347" t="s">
        <v>177</v>
      </c>
      <c r="D174" s="347"/>
      <c r="E174" s="347"/>
      <c r="F174" s="347"/>
      <c r="G174" s="347"/>
      <c r="H174" s="347"/>
      <c r="I174" s="347"/>
      <c r="J174" s="347"/>
      <c r="K174" s="347"/>
      <c r="L174" s="347"/>
      <c r="M174" s="347"/>
      <c r="N174" s="347"/>
      <c r="O174" s="347"/>
      <c r="P174" s="347"/>
      <c r="Q174" s="347"/>
      <c r="R174" s="347"/>
      <c r="S174" s="347"/>
      <c r="T174" s="347"/>
      <c r="U174" s="347"/>
      <c r="V174" s="347"/>
      <c r="W174" s="347"/>
      <c r="X174" s="347"/>
      <c r="Y174" s="347"/>
      <c r="Z174" s="347"/>
      <c r="AA174" s="347"/>
    </row>
    <row r="175" spans="1:30" x14ac:dyDescent="0.2">
      <c r="H175" s="37"/>
      <c r="I175" s="37"/>
      <c r="J175" s="37"/>
      <c r="K175" s="37"/>
      <c r="L175" s="37"/>
      <c r="M175" s="37"/>
      <c r="N175" s="37"/>
      <c r="O175" s="37"/>
      <c r="P175" s="37"/>
      <c r="Q175" s="37"/>
      <c r="R175" s="37"/>
      <c r="S175" s="37"/>
      <c r="T175" s="37"/>
      <c r="U175" s="37"/>
      <c r="V175" s="37"/>
      <c r="W175" s="37"/>
      <c r="X175" s="37"/>
      <c r="Y175" s="37"/>
      <c r="Z175" s="37"/>
      <c r="AA175" s="37"/>
    </row>
    <row r="176" spans="1:30" x14ac:dyDescent="0.2">
      <c r="B176" s="93"/>
      <c r="C176" s="1" t="s">
        <v>61</v>
      </c>
      <c r="H176" s="1" t="s">
        <v>174</v>
      </c>
      <c r="AC176" s="3">
        <f>IF(AND(B176="✔",N180&gt;=40,OR(N179="ささら子下見板",N179="押縁下見板",N179="南京下見板")),2,0)</f>
        <v>0</v>
      </c>
    </row>
    <row r="177" spans="2:29" x14ac:dyDescent="0.2">
      <c r="C177" s="1" t="s">
        <v>93</v>
      </c>
      <c r="H177" s="324" t="s">
        <v>64</v>
      </c>
      <c r="I177" s="324"/>
      <c r="J177" s="324"/>
      <c r="K177" s="324"/>
      <c r="L177" s="324"/>
      <c r="M177" s="324"/>
      <c r="N177" s="324"/>
      <c r="O177" s="324"/>
      <c r="P177" s="324" t="s">
        <v>58</v>
      </c>
      <c r="Q177" s="324"/>
      <c r="R177" s="324"/>
      <c r="S177" s="324"/>
      <c r="T177" s="324"/>
      <c r="U177" s="324"/>
      <c r="V177" s="324"/>
      <c r="W177" s="324"/>
      <c r="X177" s="324"/>
      <c r="Y177" s="324"/>
      <c r="Z177" s="324"/>
      <c r="AA177" s="324"/>
    </row>
    <row r="178" spans="2:29" x14ac:dyDescent="0.2">
      <c r="C178" s="316" t="s">
        <v>160</v>
      </c>
      <c r="D178" s="317"/>
      <c r="E178" s="318"/>
      <c r="F178" s="50" t="str">
        <f>IF(AC176=0,"",AC176)</f>
        <v/>
      </c>
      <c r="H178" s="324" t="s">
        <v>65</v>
      </c>
      <c r="I178" s="324"/>
      <c r="J178" s="324"/>
      <c r="K178" s="324"/>
      <c r="L178" s="324"/>
      <c r="M178" s="324"/>
      <c r="N178" s="324"/>
      <c r="O178" s="324"/>
      <c r="P178" s="324" t="s">
        <v>59</v>
      </c>
      <c r="Q178" s="324"/>
      <c r="R178" s="324"/>
      <c r="S178" s="324"/>
      <c r="T178" s="324"/>
      <c r="U178" s="324"/>
      <c r="V178" s="324"/>
      <c r="W178" s="324"/>
      <c r="X178" s="324"/>
      <c r="Y178" s="324"/>
      <c r="Z178" s="324"/>
      <c r="AA178" s="324"/>
    </row>
    <row r="179" spans="2:29" x14ac:dyDescent="0.2">
      <c r="H179" s="1" t="s">
        <v>106</v>
      </c>
      <c r="N179" s="327"/>
      <c r="O179" s="328"/>
      <c r="P179" s="328"/>
      <c r="Q179" s="328"/>
      <c r="R179" s="328"/>
      <c r="S179" s="329"/>
      <c r="AB179" s="4" t="str">
        <f>IF(AND(B176="✔",N179=""),"←リストから選択してください（ささら子下見板、押縁下見板、南京下見板）","")</f>
        <v/>
      </c>
    </row>
    <row r="180" spans="2:29" x14ac:dyDescent="0.2">
      <c r="H180" s="13" t="s">
        <v>107</v>
      </c>
      <c r="N180" s="341"/>
      <c r="O180" s="342"/>
      <c r="P180" s="343"/>
      <c r="AB180" s="4" t="str">
        <f>IF(AND(B176="✔",N180=""),"←施工面積を入力してください。","")</f>
        <v/>
      </c>
    </row>
    <row r="181" spans="2:29" x14ac:dyDescent="0.2">
      <c r="C181" s="344" t="s">
        <v>178</v>
      </c>
      <c r="D181" s="344"/>
      <c r="E181" s="344"/>
      <c r="F181" s="344"/>
      <c r="G181" s="344"/>
      <c r="H181" s="344"/>
      <c r="I181" s="344"/>
      <c r="J181" s="344"/>
      <c r="K181" s="344"/>
      <c r="L181" s="344"/>
      <c r="M181" s="344"/>
      <c r="N181" s="344"/>
      <c r="O181" s="344"/>
      <c r="P181" s="344"/>
      <c r="Q181" s="344"/>
      <c r="R181" s="344"/>
      <c r="S181" s="344"/>
      <c r="T181" s="344"/>
      <c r="U181" s="344"/>
      <c r="V181" s="344"/>
      <c r="W181" s="344"/>
      <c r="X181" s="344"/>
      <c r="Y181" s="344"/>
      <c r="Z181" s="344"/>
      <c r="AA181" s="344"/>
    </row>
    <row r="182" spans="2:29" ht="8.1" customHeight="1" x14ac:dyDescent="0.2"/>
    <row r="183" spans="2:29" x14ac:dyDescent="0.2">
      <c r="B183" s="93"/>
      <c r="C183" s="1" t="s">
        <v>62</v>
      </c>
      <c r="H183" s="54" t="s">
        <v>184</v>
      </c>
      <c r="AC183" s="3">
        <f>IF(AND(B183="✔",N187&gt;=40),2,IF(AND(B183="✔",N187+N188&gt;=40),1,0))</f>
        <v>0</v>
      </c>
    </row>
    <row r="184" spans="2:29" x14ac:dyDescent="0.2">
      <c r="C184" s="1" t="s">
        <v>157</v>
      </c>
      <c r="H184" s="54" t="s">
        <v>185</v>
      </c>
    </row>
    <row r="185" spans="2:29" x14ac:dyDescent="0.2">
      <c r="C185" s="348" t="s">
        <v>160</v>
      </c>
      <c r="D185" s="349"/>
      <c r="E185" s="350"/>
      <c r="F185" s="50" t="str">
        <f>IF(AC183=0,"",AC183)</f>
        <v/>
      </c>
      <c r="H185" s="1" t="s">
        <v>186</v>
      </c>
    </row>
    <row r="186" spans="2:29" x14ac:dyDescent="0.2">
      <c r="H186" s="23" t="s">
        <v>179</v>
      </c>
      <c r="AB186" s="22" t="str">
        <f>IF(AND(N187&gt;0,R187=""),"←こて塗り仕上げの材料を選択してください。",IF(AND(R187="その他のこて塗り",V187=""),"←こて塗りの材料を記載してください。",""))</f>
        <v/>
      </c>
    </row>
    <row r="187" spans="2:29" x14ac:dyDescent="0.2">
      <c r="B187" s="13" t="s">
        <v>176</v>
      </c>
      <c r="N187" s="327"/>
      <c r="O187" s="328"/>
      <c r="P187" s="329"/>
      <c r="Q187" s="1" t="s">
        <v>159</v>
      </c>
      <c r="R187" s="374" t="s">
        <v>418</v>
      </c>
      <c r="S187" s="374"/>
      <c r="T187" s="374"/>
      <c r="U187" s="374"/>
      <c r="V187" s="364"/>
      <c r="W187" s="356"/>
      <c r="X187" s="356"/>
      <c r="Y187" s="356"/>
      <c r="Z187" s="356"/>
      <c r="AB187" s="4" t="str">
        <f>IF(AND(B183="✔",N187=""),"←こて塗り（珪藻土及びじゅらく以外）の面積を入力してください。","")</f>
        <v/>
      </c>
      <c r="AC187" s="22"/>
    </row>
    <row r="188" spans="2:29" x14ac:dyDescent="0.2">
      <c r="B188" s="13" t="s">
        <v>158</v>
      </c>
      <c r="N188" s="327"/>
      <c r="O188" s="328"/>
      <c r="P188" s="329"/>
      <c r="Q188" s="1" t="s">
        <v>159</v>
      </c>
      <c r="R188" s="374" t="s">
        <v>418</v>
      </c>
      <c r="S188" s="374"/>
      <c r="T188" s="374"/>
      <c r="U188" s="374"/>
      <c r="V188" s="364"/>
      <c r="W188" s="356"/>
      <c r="X188" s="356"/>
      <c r="Y188" s="356"/>
      <c r="Z188" s="356"/>
      <c r="AB188" s="4" t="str">
        <f>IF(AND(B183="✔",N188=""),"←こて塗り（珪藻土及びじゅらく）の面積を入力してください。","")</f>
        <v/>
      </c>
      <c r="AC188" s="22"/>
    </row>
    <row r="189" spans="2:29" x14ac:dyDescent="0.2">
      <c r="C189" s="42" t="s">
        <v>180</v>
      </c>
      <c r="AB189" s="22" t="str">
        <f>IF(AND(N188&gt;0,R188=""),"こて塗り仕上げの材料を選択してください。",IF(AND(R188="その他のこて塗り",V188=""),"←こて塗りの材料を記載してください。",""))</f>
        <v/>
      </c>
    </row>
    <row r="190" spans="2:29" ht="8.1" customHeight="1" x14ac:dyDescent="0.2"/>
    <row r="191" spans="2:29" x14ac:dyDescent="0.2">
      <c r="B191" s="93"/>
      <c r="C191" s="1" t="s">
        <v>89</v>
      </c>
      <c r="H191" s="322" t="s">
        <v>90</v>
      </c>
      <c r="I191" s="322"/>
      <c r="J191" s="322"/>
      <c r="K191" s="322"/>
      <c r="L191" s="322"/>
      <c r="M191" s="322"/>
      <c r="N191" s="322"/>
      <c r="O191" s="322"/>
      <c r="P191" s="322"/>
      <c r="Q191" s="322"/>
      <c r="R191" s="322"/>
      <c r="S191" s="322"/>
      <c r="T191" s="322"/>
      <c r="U191" s="322"/>
      <c r="V191" s="322"/>
      <c r="W191" s="322"/>
      <c r="X191" s="322"/>
      <c r="Y191" s="322"/>
      <c r="Z191" s="322"/>
      <c r="AA191" s="322"/>
      <c r="AC191" s="3">
        <f>IF(AND(B191="✔",OR(N194="和瓦",N194="平板瓦",N194="S瓦")),2,0)</f>
        <v>0</v>
      </c>
    </row>
    <row r="192" spans="2:29" x14ac:dyDescent="0.2">
      <c r="C192" s="1" t="s">
        <v>93</v>
      </c>
      <c r="H192" s="322"/>
      <c r="I192" s="322"/>
      <c r="J192" s="322"/>
      <c r="K192" s="322"/>
      <c r="L192" s="322"/>
      <c r="M192" s="322"/>
      <c r="N192" s="322"/>
      <c r="O192" s="322"/>
      <c r="P192" s="322"/>
      <c r="Q192" s="322"/>
      <c r="R192" s="322"/>
      <c r="S192" s="322"/>
      <c r="T192" s="322"/>
      <c r="U192" s="322"/>
      <c r="V192" s="322"/>
      <c r="W192" s="322"/>
      <c r="X192" s="322"/>
      <c r="Y192" s="322"/>
      <c r="Z192" s="322"/>
      <c r="AA192" s="322"/>
    </row>
    <row r="193" spans="2:29" x14ac:dyDescent="0.2">
      <c r="C193" s="348" t="s">
        <v>160</v>
      </c>
      <c r="D193" s="349"/>
      <c r="E193" s="350"/>
      <c r="F193" s="50" t="str">
        <f>IF(AC191=0,"",AC191)</f>
        <v/>
      </c>
      <c r="H193" s="22" t="s">
        <v>95</v>
      </c>
      <c r="I193" s="37"/>
      <c r="J193" s="37"/>
      <c r="K193" s="37"/>
      <c r="L193" s="37"/>
      <c r="M193" s="37"/>
      <c r="N193" s="37"/>
      <c r="O193" s="37"/>
      <c r="P193" s="37"/>
      <c r="Q193" s="37"/>
      <c r="R193" s="37"/>
      <c r="S193" s="37"/>
      <c r="T193" s="37"/>
      <c r="U193" s="37"/>
      <c r="V193" s="37"/>
      <c r="W193" s="37"/>
      <c r="X193" s="37"/>
      <c r="Y193" s="37"/>
      <c r="Z193" s="37"/>
      <c r="AA193" s="37"/>
    </row>
    <row r="194" spans="2:29" x14ac:dyDescent="0.2">
      <c r="I194" s="356" t="s">
        <v>100</v>
      </c>
      <c r="J194" s="356"/>
      <c r="K194" s="356"/>
      <c r="L194" s="356"/>
      <c r="M194" s="37"/>
      <c r="N194" s="371" t="s">
        <v>418</v>
      </c>
      <c r="O194" s="372"/>
      <c r="P194" s="373"/>
      <c r="Q194" s="37"/>
      <c r="R194" s="37"/>
      <c r="S194" s="37"/>
      <c r="T194" s="37"/>
      <c r="U194" s="37"/>
      <c r="V194" s="37"/>
      <c r="W194" s="37"/>
      <c r="X194" s="37"/>
      <c r="Y194" s="37"/>
      <c r="Z194" s="37"/>
      <c r="AA194" s="37"/>
      <c r="AB194" s="4" t="str">
        <f>IF(AND(B191="✔",N194=""),"←リストから選択してください（和瓦、平板瓦、S瓦）","")</f>
        <v/>
      </c>
    </row>
    <row r="195" spans="2:29" x14ac:dyDescent="0.2">
      <c r="C195" s="352" t="s">
        <v>197</v>
      </c>
      <c r="D195" s="352"/>
      <c r="E195" s="352"/>
      <c r="F195" s="352"/>
      <c r="G195" s="352"/>
      <c r="H195" s="352"/>
      <c r="I195" s="352"/>
      <c r="J195" s="352"/>
      <c r="K195" s="352"/>
      <c r="L195" s="352"/>
      <c r="M195" s="352"/>
      <c r="N195" s="352"/>
      <c r="O195" s="352"/>
      <c r="P195" s="352"/>
      <c r="Q195" s="352"/>
      <c r="R195" s="352"/>
      <c r="S195" s="352"/>
      <c r="T195" s="352"/>
      <c r="U195" s="352"/>
      <c r="V195" s="352"/>
      <c r="W195" s="352"/>
      <c r="X195" s="352"/>
      <c r="Y195" s="352"/>
      <c r="Z195" s="352"/>
      <c r="AA195" s="352"/>
    </row>
    <row r="196" spans="2:29" x14ac:dyDescent="0.2">
      <c r="C196" s="352"/>
      <c r="D196" s="352"/>
      <c r="E196" s="352"/>
      <c r="F196" s="352"/>
      <c r="G196" s="352"/>
      <c r="H196" s="352"/>
      <c r="I196" s="352"/>
      <c r="J196" s="352"/>
      <c r="K196" s="352"/>
      <c r="L196" s="352"/>
      <c r="M196" s="352"/>
      <c r="N196" s="352"/>
      <c r="O196" s="352"/>
      <c r="P196" s="352"/>
      <c r="Q196" s="352"/>
      <c r="R196" s="352"/>
      <c r="S196" s="352"/>
      <c r="T196" s="352"/>
      <c r="U196" s="352"/>
      <c r="V196" s="352"/>
      <c r="W196" s="352"/>
      <c r="X196" s="352"/>
      <c r="Y196" s="352"/>
      <c r="Z196" s="352"/>
      <c r="AA196" s="352"/>
    </row>
    <row r="197" spans="2:29" x14ac:dyDescent="0.2">
      <c r="C197" s="352"/>
      <c r="D197" s="352"/>
      <c r="E197" s="352"/>
      <c r="F197" s="352"/>
      <c r="G197" s="352"/>
      <c r="H197" s="352"/>
      <c r="I197" s="352"/>
      <c r="J197" s="352"/>
      <c r="K197" s="352"/>
      <c r="L197" s="352"/>
      <c r="M197" s="352"/>
      <c r="N197" s="352"/>
      <c r="O197" s="352"/>
      <c r="P197" s="352"/>
      <c r="Q197" s="352"/>
      <c r="R197" s="352"/>
      <c r="S197" s="352"/>
      <c r="T197" s="352"/>
      <c r="U197" s="352"/>
      <c r="V197" s="352"/>
      <c r="W197" s="352"/>
      <c r="X197" s="352"/>
      <c r="Y197" s="352"/>
      <c r="Z197" s="352"/>
      <c r="AA197" s="352"/>
    </row>
    <row r="198" spans="2:29" ht="6" customHeight="1" x14ac:dyDescent="0.2"/>
    <row r="199" spans="2:29" x14ac:dyDescent="0.2">
      <c r="B199" s="93"/>
      <c r="C199" s="1" t="s">
        <v>63</v>
      </c>
      <c r="H199" s="322" t="s">
        <v>175</v>
      </c>
      <c r="I199" s="322"/>
      <c r="J199" s="322"/>
      <c r="K199" s="322"/>
      <c r="L199" s="322"/>
      <c r="M199" s="322"/>
      <c r="N199" s="322"/>
      <c r="O199" s="322"/>
      <c r="P199" s="322"/>
      <c r="Q199" s="322"/>
      <c r="R199" s="322"/>
      <c r="S199" s="322"/>
      <c r="T199" s="322"/>
      <c r="U199" s="322"/>
      <c r="V199" s="322"/>
      <c r="W199" s="322"/>
      <c r="X199" s="322"/>
      <c r="Y199" s="322"/>
      <c r="Z199" s="322"/>
      <c r="AA199" s="322"/>
      <c r="AC199" s="3">
        <f>IF(AND(B199="✔",N204&gt;=10),2,IF(AND(B199="✔",N204&gt;=5),1,0))</f>
        <v>0</v>
      </c>
    </row>
    <row r="200" spans="2:29" x14ac:dyDescent="0.2">
      <c r="C200" s="1" t="s">
        <v>94</v>
      </c>
      <c r="H200" s="322"/>
      <c r="I200" s="322"/>
      <c r="J200" s="322"/>
      <c r="K200" s="322"/>
      <c r="L200" s="322"/>
      <c r="M200" s="322"/>
      <c r="N200" s="322"/>
      <c r="O200" s="322"/>
      <c r="P200" s="322"/>
      <c r="Q200" s="322"/>
      <c r="R200" s="322"/>
      <c r="S200" s="322"/>
      <c r="T200" s="322"/>
      <c r="U200" s="322"/>
      <c r="V200" s="322"/>
      <c r="W200" s="322"/>
      <c r="X200" s="322"/>
      <c r="Y200" s="322"/>
      <c r="Z200" s="322"/>
      <c r="AA200" s="322"/>
    </row>
    <row r="201" spans="2:29" x14ac:dyDescent="0.2">
      <c r="C201" s="348" t="s">
        <v>160</v>
      </c>
      <c r="D201" s="349"/>
      <c r="E201" s="350"/>
      <c r="F201" s="50" t="str">
        <f>IF(AC199=0,"",AC199)</f>
        <v/>
      </c>
      <c r="H201" s="322"/>
      <c r="I201" s="322"/>
      <c r="J201" s="322"/>
      <c r="K201" s="322"/>
      <c r="L201" s="322"/>
      <c r="M201" s="322"/>
      <c r="N201" s="322"/>
      <c r="O201" s="322"/>
      <c r="P201" s="322"/>
      <c r="Q201" s="322"/>
      <c r="R201" s="322"/>
      <c r="S201" s="322"/>
      <c r="T201" s="322"/>
      <c r="U201" s="322"/>
      <c r="V201" s="322"/>
      <c r="W201" s="322"/>
      <c r="X201" s="322"/>
      <c r="Y201" s="322"/>
      <c r="Z201" s="322"/>
      <c r="AA201" s="322"/>
    </row>
    <row r="202" spans="2:29" ht="13.5" customHeight="1" x14ac:dyDescent="0.2">
      <c r="H202" s="324"/>
      <c r="I202" s="324"/>
      <c r="J202" s="324"/>
      <c r="K202" s="324"/>
      <c r="L202" s="324"/>
      <c r="M202" s="324"/>
      <c r="N202" s="324"/>
      <c r="O202" s="324"/>
      <c r="P202" s="322"/>
      <c r="Q202" s="322"/>
      <c r="R202" s="322"/>
      <c r="S202" s="322"/>
      <c r="T202" s="322"/>
      <c r="U202" s="322"/>
      <c r="V202" s="322"/>
      <c r="W202" s="322"/>
      <c r="X202" s="322"/>
      <c r="Y202" s="322"/>
      <c r="Z202" s="322"/>
      <c r="AA202" s="322"/>
    </row>
    <row r="203" spans="2:29" x14ac:dyDescent="0.2">
      <c r="H203" s="324"/>
      <c r="I203" s="324"/>
      <c r="J203" s="324"/>
      <c r="K203" s="324"/>
      <c r="L203" s="324"/>
      <c r="M203" s="324"/>
      <c r="N203" s="324"/>
      <c r="O203" s="324"/>
      <c r="P203" s="324"/>
      <c r="Q203" s="324"/>
      <c r="R203" s="324"/>
      <c r="S203" s="324"/>
      <c r="T203" s="324"/>
      <c r="U203" s="324"/>
      <c r="V203" s="324"/>
      <c r="W203" s="324"/>
      <c r="X203" s="324"/>
      <c r="Y203" s="324"/>
      <c r="Z203" s="324"/>
      <c r="AA203" s="324"/>
    </row>
    <row r="204" spans="2:29" x14ac:dyDescent="0.2">
      <c r="G204" s="1" t="s">
        <v>101</v>
      </c>
      <c r="N204" s="327"/>
      <c r="O204" s="328"/>
      <c r="P204" s="329"/>
      <c r="Q204" s="1" t="s">
        <v>91</v>
      </c>
      <c r="AB204" s="4" t="str">
        <f>IF(AND(B199="✔",N204=""),"←見付面積を入力してください。","")</f>
        <v/>
      </c>
    </row>
    <row r="205" spans="2:29" x14ac:dyDescent="0.2">
      <c r="C205" s="352" t="s">
        <v>181</v>
      </c>
      <c r="D205" s="352"/>
      <c r="E205" s="352"/>
      <c r="F205" s="352"/>
      <c r="G205" s="352"/>
      <c r="H205" s="352"/>
      <c r="I205" s="352"/>
      <c r="J205" s="352"/>
      <c r="K205" s="352"/>
      <c r="L205" s="352"/>
      <c r="M205" s="352"/>
      <c r="N205" s="352"/>
      <c r="O205" s="352"/>
      <c r="P205" s="352"/>
      <c r="Q205" s="352"/>
      <c r="R205" s="352"/>
      <c r="S205" s="352"/>
      <c r="T205" s="352"/>
      <c r="U205" s="352"/>
      <c r="V205" s="352"/>
      <c r="W205" s="352"/>
      <c r="X205" s="352"/>
      <c r="Y205" s="352"/>
      <c r="Z205" s="352"/>
      <c r="AA205" s="352"/>
    </row>
    <row r="206" spans="2:29" x14ac:dyDescent="0.2">
      <c r="C206" s="352"/>
      <c r="D206" s="352"/>
      <c r="E206" s="352"/>
      <c r="F206" s="352"/>
      <c r="G206" s="352"/>
      <c r="H206" s="352"/>
      <c r="I206" s="352"/>
      <c r="J206" s="352"/>
      <c r="K206" s="352"/>
      <c r="L206" s="352"/>
      <c r="M206" s="352"/>
      <c r="N206" s="352"/>
      <c r="O206" s="352"/>
      <c r="P206" s="352"/>
      <c r="Q206" s="352"/>
      <c r="R206" s="352"/>
      <c r="S206" s="352"/>
      <c r="T206" s="352"/>
      <c r="U206" s="352"/>
      <c r="V206" s="352"/>
      <c r="W206" s="352"/>
      <c r="X206" s="352"/>
      <c r="Y206" s="352"/>
      <c r="Z206" s="352"/>
      <c r="AA206" s="352"/>
    </row>
    <row r="207" spans="2:29" x14ac:dyDescent="0.2">
      <c r="C207" s="352"/>
      <c r="D207" s="352"/>
      <c r="E207" s="352"/>
      <c r="F207" s="352"/>
      <c r="G207" s="352"/>
      <c r="H207" s="352"/>
      <c r="I207" s="352"/>
      <c r="J207" s="352"/>
      <c r="K207" s="352"/>
      <c r="L207" s="352"/>
      <c r="M207" s="352"/>
      <c r="N207" s="352"/>
      <c r="O207" s="352"/>
      <c r="P207" s="352"/>
      <c r="Q207" s="352"/>
      <c r="R207" s="352"/>
      <c r="S207" s="352"/>
      <c r="T207" s="352"/>
      <c r="U207" s="352"/>
      <c r="V207" s="352"/>
      <c r="W207" s="352"/>
      <c r="X207" s="352"/>
      <c r="Y207" s="352"/>
      <c r="Z207" s="352"/>
      <c r="AA207" s="352"/>
    </row>
    <row r="208" spans="2:29" ht="8.1" customHeight="1" x14ac:dyDescent="0.2">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row>
    <row r="209" spans="2:29" x14ac:dyDescent="0.2">
      <c r="B209" s="93"/>
      <c r="C209" s="1" t="s">
        <v>102</v>
      </c>
      <c r="H209" s="322" t="s">
        <v>173</v>
      </c>
      <c r="I209" s="322"/>
      <c r="J209" s="322"/>
      <c r="K209" s="322"/>
      <c r="L209" s="322"/>
      <c r="M209" s="322"/>
      <c r="N209" s="322"/>
      <c r="O209" s="322"/>
      <c r="P209" s="322"/>
      <c r="Q209" s="322"/>
      <c r="R209" s="322"/>
      <c r="S209" s="322"/>
      <c r="T209" s="322"/>
      <c r="U209" s="322"/>
      <c r="V209" s="322"/>
      <c r="W209" s="322"/>
      <c r="X209" s="322"/>
      <c r="Y209" s="322"/>
      <c r="Z209" s="322"/>
      <c r="AA209" s="322"/>
      <c r="AC209" s="3">
        <f>IF(AND(B209="✔",N211&gt;=6),1,0)</f>
        <v>0</v>
      </c>
    </row>
    <row r="210" spans="2:29" x14ac:dyDescent="0.2">
      <c r="C210" s="1" t="s">
        <v>103</v>
      </c>
      <c r="H210" s="322"/>
      <c r="I210" s="322"/>
      <c r="J210" s="322"/>
      <c r="K210" s="322"/>
      <c r="L210" s="322"/>
      <c r="M210" s="322"/>
      <c r="N210" s="322"/>
      <c r="O210" s="322"/>
      <c r="P210" s="322"/>
      <c r="Q210" s="322"/>
      <c r="R210" s="322"/>
      <c r="S210" s="322"/>
      <c r="T210" s="322"/>
      <c r="U210" s="322"/>
      <c r="V210" s="322"/>
      <c r="W210" s="322"/>
      <c r="X210" s="322"/>
      <c r="Y210" s="322"/>
      <c r="Z210" s="322"/>
      <c r="AA210" s="322"/>
    </row>
    <row r="211" spans="2:29" x14ac:dyDescent="0.2">
      <c r="C211" s="348" t="s">
        <v>160</v>
      </c>
      <c r="D211" s="349"/>
      <c r="E211" s="350"/>
      <c r="F211" s="50" t="str">
        <f>IF(AC209=0,"",AC209)</f>
        <v/>
      </c>
      <c r="I211" s="1" t="s">
        <v>104</v>
      </c>
      <c r="N211" s="327"/>
      <c r="O211" s="328"/>
      <c r="P211" s="329"/>
      <c r="Q211" s="1" t="s">
        <v>105</v>
      </c>
      <c r="AB211" s="4" t="str">
        <f>IF(AND(B209="✔",N211=""),"←畳の数量を入力してください。","")</f>
        <v/>
      </c>
    </row>
    <row r="212" spans="2:29" x14ac:dyDescent="0.2">
      <c r="C212" s="352" t="s">
        <v>182</v>
      </c>
      <c r="D212" s="352"/>
      <c r="E212" s="352"/>
      <c r="F212" s="352"/>
      <c r="G212" s="352"/>
      <c r="H212" s="352"/>
      <c r="I212" s="352"/>
      <c r="J212" s="352"/>
      <c r="K212" s="352"/>
      <c r="L212" s="352"/>
      <c r="M212" s="352"/>
      <c r="N212" s="352"/>
      <c r="O212" s="352"/>
      <c r="P212" s="352"/>
      <c r="Q212" s="352"/>
      <c r="R212" s="352"/>
      <c r="S212" s="352"/>
      <c r="T212" s="352"/>
      <c r="U212" s="352"/>
      <c r="V212" s="352"/>
      <c r="W212" s="352"/>
      <c r="X212" s="352"/>
      <c r="Y212" s="352"/>
      <c r="Z212" s="352"/>
      <c r="AA212" s="352"/>
    </row>
    <row r="213" spans="2:29" x14ac:dyDescent="0.2">
      <c r="C213" s="352"/>
      <c r="D213" s="352"/>
      <c r="E213" s="352"/>
      <c r="F213" s="352"/>
      <c r="G213" s="352"/>
      <c r="H213" s="352"/>
      <c r="I213" s="352"/>
      <c r="J213" s="352"/>
      <c r="K213" s="352"/>
      <c r="L213" s="352"/>
      <c r="M213" s="352"/>
      <c r="N213" s="352"/>
      <c r="O213" s="352"/>
      <c r="P213" s="352"/>
      <c r="Q213" s="352"/>
      <c r="R213" s="352"/>
      <c r="S213" s="352"/>
      <c r="T213" s="352"/>
      <c r="U213" s="352"/>
      <c r="V213" s="352"/>
      <c r="W213" s="352"/>
      <c r="X213" s="352"/>
      <c r="Y213" s="352"/>
      <c r="Z213" s="352"/>
      <c r="AA213" s="352"/>
    </row>
    <row r="214" spans="2:29" x14ac:dyDescent="0.2">
      <c r="C214" s="352"/>
      <c r="D214" s="352"/>
      <c r="E214" s="352"/>
      <c r="F214" s="352"/>
      <c r="G214" s="352"/>
      <c r="H214" s="352"/>
      <c r="I214" s="352"/>
      <c r="J214" s="352"/>
      <c r="K214" s="352"/>
      <c r="L214" s="352"/>
      <c r="M214" s="352"/>
      <c r="N214" s="352"/>
      <c r="O214" s="352"/>
      <c r="P214" s="352"/>
      <c r="Q214" s="352"/>
      <c r="R214" s="352"/>
      <c r="S214" s="352"/>
      <c r="T214" s="352"/>
      <c r="U214" s="352"/>
      <c r="V214" s="352"/>
      <c r="W214" s="352"/>
      <c r="X214" s="352"/>
      <c r="Y214" s="352"/>
      <c r="Z214" s="352"/>
      <c r="AA214" s="352"/>
    </row>
    <row r="216" spans="2:29" ht="13.5" customHeight="1" x14ac:dyDescent="0.2">
      <c r="B216" s="93"/>
      <c r="C216" s="354" t="s">
        <v>170</v>
      </c>
      <c r="D216" s="355"/>
      <c r="E216" s="355"/>
      <c r="F216" s="355"/>
      <c r="G216" s="355"/>
      <c r="H216" s="357" t="s">
        <v>433</v>
      </c>
      <c r="I216" s="357"/>
      <c r="J216" s="357"/>
      <c r="K216" s="357"/>
      <c r="L216" s="357"/>
      <c r="M216" s="357"/>
      <c r="N216" s="357"/>
      <c r="O216" s="357"/>
      <c r="P216" s="357"/>
      <c r="Q216" s="357"/>
      <c r="R216" s="357"/>
      <c r="S216" s="357"/>
      <c r="T216" s="357"/>
      <c r="U216" s="357"/>
      <c r="V216" s="357"/>
      <c r="W216" s="357"/>
      <c r="X216" s="357"/>
      <c r="Y216" s="357"/>
      <c r="Z216" s="357"/>
      <c r="AA216" s="357"/>
      <c r="AC216" s="3">
        <f>IF(AND(B216="✔",N222&gt;=20),2,IF(AND(B216="✔",N222&gt;=10),1,0))</f>
        <v>0</v>
      </c>
    </row>
    <row r="217" spans="2:29" ht="13.5" customHeight="1" x14ac:dyDescent="0.2">
      <c r="C217" s="1" t="s">
        <v>94</v>
      </c>
      <c r="H217" s="357"/>
      <c r="I217" s="357"/>
      <c r="J217" s="357"/>
      <c r="K217" s="357"/>
      <c r="L217" s="357"/>
      <c r="M217" s="357"/>
      <c r="N217" s="357"/>
      <c r="O217" s="357"/>
      <c r="P217" s="357"/>
      <c r="Q217" s="357"/>
      <c r="R217" s="357"/>
      <c r="S217" s="357"/>
      <c r="T217" s="357"/>
      <c r="U217" s="357"/>
      <c r="V217" s="357"/>
      <c r="W217" s="357"/>
      <c r="X217" s="357"/>
      <c r="Y217" s="357"/>
      <c r="Z217" s="357"/>
      <c r="AA217" s="357"/>
    </row>
    <row r="218" spans="2:29" x14ac:dyDescent="0.2">
      <c r="C218" s="348" t="s">
        <v>160</v>
      </c>
      <c r="D218" s="349"/>
      <c r="E218" s="350"/>
      <c r="F218" s="50" t="str">
        <f>IF(AC216=0,"",AC216)</f>
        <v/>
      </c>
      <c r="H218" s="357"/>
      <c r="I218" s="357"/>
      <c r="J218" s="357"/>
      <c r="K218" s="357"/>
      <c r="L218" s="357"/>
      <c r="M218" s="357"/>
      <c r="N218" s="357"/>
      <c r="O218" s="357"/>
      <c r="P218" s="357"/>
      <c r="Q218" s="357"/>
      <c r="R218" s="357"/>
      <c r="S218" s="357"/>
      <c r="T218" s="357"/>
      <c r="U218" s="357"/>
      <c r="V218" s="357"/>
      <c r="W218" s="357"/>
      <c r="X218" s="357"/>
      <c r="Y218" s="357"/>
      <c r="Z218" s="357"/>
      <c r="AA218" s="357"/>
    </row>
    <row r="219" spans="2:29" x14ac:dyDescent="0.2">
      <c r="D219" s="37"/>
      <c r="E219" s="37"/>
      <c r="F219" s="37"/>
      <c r="H219" s="357"/>
      <c r="I219" s="357"/>
      <c r="J219" s="357"/>
      <c r="K219" s="357"/>
      <c r="L219" s="357"/>
      <c r="M219" s="357"/>
      <c r="N219" s="357"/>
      <c r="O219" s="357"/>
      <c r="P219" s="357"/>
      <c r="Q219" s="357"/>
      <c r="R219" s="357"/>
      <c r="S219" s="357"/>
      <c r="T219" s="357"/>
      <c r="U219" s="357"/>
      <c r="V219" s="357"/>
      <c r="W219" s="357"/>
      <c r="X219" s="357"/>
      <c r="Y219" s="357"/>
      <c r="Z219" s="357"/>
      <c r="AA219" s="357"/>
    </row>
    <row r="220" spans="2:29" ht="13.5" customHeight="1" x14ac:dyDescent="0.2">
      <c r="H220" s="357"/>
      <c r="I220" s="357"/>
      <c r="J220" s="357"/>
      <c r="K220" s="357"/>
      <c r="L220" s="357"/>
      <c r="M220" s="357"/>
      <c r="N220" s="357"/>
      <c r="O220" s="357"/>
      <c r="P220" s="357"/>
      <c r="Q220" s="357"/>
      <c r="R220" s="357"/>
      <c r="S220" s="357"/>
      <c r="T220" s="357"/>
      <c r="U220" s="357"/>
      <c r="V220" s="357"/>
      <c r="W220" s="357"/>
      <c r="X220" s="357"/>
      <c r="Y220" s="357"/>
      <c r="Z220" s="357"/>
      <c r="AA220" s="357"/>
    </row>
    <row r="221" spans="2:29" x14ac:dyDescent="0.2">
      <c r="C221" s="322" t="s">
        <v>169</v>
      </c>
      <c r="D221" s="322"/>
      <c r="E221" s="322"/>
      <c r="F221" s="322"/>
      <c r="G221" s="322"/>
      <c r="H221" s="322"/>
      <c r="I221" s="322"/>
      <c r="J221" s="322"/>
      <c r="K221" s="322"/>
      <c r="L221" s="322"/>
    </row>
    <row r="222" spans="2:29" x14ac:dyDescent="0.2">
      <c r="C222" s="322"/>
      <c r="D222" s="322"/>
      <c r="E222" s="322"/>
      <c r="F222" s="322"/>
      <c r="G222" s="322"/>
      <c r="H222" s="322"/>
      <c r="I222" s="322"/>
      <c r="J222" s="322"/>
      <c r="K222" s="322"/>
      <c r="L222" s="322"/>
      <c r="N222" s="327"/>
      <c r="O222" s="328"/>
      <c r="P222" s="329"/>
      <c r="Q222" s="1" t="s">
        <v>91</v>
      </c>
      <c r="AB222" s="4" t="str">
        <f>IF(AND(B216="✔",N222=""),"←小屋組又は床組みの県産材構造現し見上げ面積を入力してください。","")</f>
        <v/>
      </c>
    </row>
    <row r="223" spans="2:29" ht="42" customHeight="1" x14ac:dyDescent="0.2">
      <c r="C223" s="352" t="s">
        <v>432</v>
      </c>
      <c r="D223" s="352"/>
      <c r="E223" s="352"/>
      <c r="F223" s="352"/>
      <c r="G223" s="352"/>
      <c r="H223" s="352"/>
      <c r="I223" s="352"/>
      <c r="J223" s="352"/>
      <c r="K223" s="352"/>
      <c r="L223" s="352"/>
      <c r="M223" s="352"/>
      <c r="N223" s="352"/>
      <c r="O223" s="352"/>
      <c r="P223" s="352"/>
      <c r="Q223" s="352"/>
      <c r="R223" s="352"/>
      <c r="S223" s="352"/>
      <c r="T223" s="352"/>
      <c r="U223" s="352"/>
      <c r="V223" s="352"/>
      <c r="W223" s="352"/>
      <c r="X223" s="352"/>
      <c r="Y223" s="352"/>
      <c r="Z223" s="352"/>
      <c r="AA223" s="352"/>
    </row>
    <row r="224" spans="2:29" x14ac:dyDescent="0.2">
      <c r="B224" s="377" t="s">
        <v>161</v>
      </c>
      <c r="C224" s="377"/>
      <c r="D224" s="377"/>
      <c r="E224" s="377"/>
      <c r="F224" s="51" t="str">
        <f>IF(SUM(F173,F178,F185,F193,F201,F211,F218)=0,"",SUM(F173,F178,F185,F193,F201,F211,F218))</f>
        <v/>
      </c>
      <c r="G224" s="47"/>
      <c r="H224" s="47"/>
      <c r="I224" s="47"/>
      <c r="J224" s="47"/>
      <c r="K224" s="47"/>
      <c r="L224" s="47"/>
      <c r="M224" s="47"/>
      <c r="N224" s="47"/>
      <c r="O224" s="47"/>
      <c r="P224" s="47"/>
      <c r="Q224" s="47"/>
      <c r="R224" s="47"/>
      <c r="S224" s="47"/>
      <c r="T224" s="47"/>
      <c r="U224" s="47"/>
      <c r="V224" s="47"/>
      <c r="W224" s="47"/>
      <c r="X224" s="47"/>
      <c r="Y224" s="47"/>
      <c r="Z224" s="47"/>
      <c r="AA224" s="47"/>
    </row>
    <row r="225" spans="1:28" x14ac:dyDescent="0.2">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5" t="s">
        <v>73</v>
      </c>
    </row>
    <row r="226" spans="1:28" x14ac:dyDescent="0.2">
      <c r="K226" s="323">
        <f>IFERROR(IF(T230="","",T230+T231),T230)</f>
        <v>0</v>
      </c>
      <c r="L226" s="323"/>
      <c r="M226" s="323"/>
      <c r="AB226" s="100">
        <f>SUM(Y104,Y105,Y109,Y111,Y131,Y146,Y164)</f>
        <v>0</v>
      </c>
    </row>
    <row r="227" spans="1:28" x14ac:dyDescent="0.2">
      <c r="C227" s="1" t="s">
        <v>192</v>
      </c>
      <c r="K227" s="323"/>
      <c r="L227" s="323"/>
      <c r="M227" s="323"/>
      <c r="N227" s="1" t="s">
        <v>66</v>
      </c>
    </row>
    <row r="229" spans="1:28" x14ac:dyDescent="0.2">
      <c r="D229" s="1" t="s">
        <v>227</v>
      </c>
    </row>
    <row r="230" spans="1:28" ht="27" customHeight="1" x14ac:dyDescent="0.2">
      <c r="D230" s="474" t="s">
        <v>228</v>
      </c>
      <c r="E230" s="475"/>
      <c r="F230" s="475"/>
      <c r="G230" s="475"/>
      <c r="H230" s="475"/>
      <c r="I230" s="475"/>
      <c r="J230" s="475"/>
      <c r="K230" s="475"/>
      <c r="L230" s="475"/>
      <c r="M230" s="475"/>
      <c r="N230" s="475"/>
      <c r="O230" s="475"/>
      <c r="P230" s="475"/>
      <c r="Q230" s="475"/>
      <c r="R230" s="475"/>
      <c r="S230" s="476"/>
      <c r="T230" s="472">
        <f>IF(Y112="",0,MIN(SUM(Y112,Y131,Y146,Y164),100))</f>
        <v>0</v>
      </c>
      <c r="U230" s="473"/>
      <c r="V230" s="473"/>
      <c r="W230" s="10" t="s">
        <v>230</v>
      </c>
      <c r="X230" s="11"/>
    </row>
    <row r="231" spans="1:28" ht="28.5" customHeight="1" x14ac:dyDescent="0.2">
      <c r="D231" s="477" t="s">
        <v>229</v>
      </c>
      <c r="E231" s="478"/>
      <c r="F231" s="478"/>
      <c r="G231" s="478"/>
      <c r="H231" s="478"/>
      <c r="I231" s="478"/>
      <c r="J231" s="478"/>
      <c r="K231" s="478"/>
      <c r="L231" s="478"/>
      <c r="M231" s="478"/>
      <c r="N231" s="478"/>
      <c r="O231" s="478"/>
      <c r="P231" s="478"/>
      <c r="Q231" s="478"/>
      <c r="R231" s="478"/>
      <c r="S231" s="478"/>
      <c r="T231" s="472">
        <f>IF(B92="",IF(B71="",0,AB231),AB231)</f>
        <v>0</v>
      </c>
      <c r="U231" s="473"/>
      <c r="V231" s="473"/>
      <c r="W231" s="10" t="s">
        <v>230</v>
      </c>
      <c r="X231" s="11"/>
      <c r="AB231" s="3" t="str">
        <f>IF(U59="","",IF(AND(B65="",B68=""),"",IF(AND(B65="✔",B68="✔"),"error",IF(B85="✔",IF(U59="T-G1",5,IF(U59="T-G2",15,IF(U59="T-G3",25,0))),(IF(U59="T-G1",10,IF(U59="T-G2",30,IF(U59="T-G3",50,0)))))))+IF(B81="",IF(B83="",IF(B85="",(IF(AND(B62="✔",U65="『ZEH』"),50,IF(AND(B62="✔",U65="Nearly ZEH（多雪地域に限る）"),50,0)))))))</f>
        <v/>
      </c>
    </row>
    <row r="234" spans="1:28" x14ac:dyDescent="0.2">
      <c r="A234" s="13" t="s">
        <v>80</v>
      </c>
    </row>
    <row r="236" spans="1:28" x14ac:dyDescent="0.2">
      <c r="C236" s="1" t="s">
        <v>70</v>
      </c>
    </row>
    <row r="237" spans="1:28" x14ac:dyDescent="0.2">
      <c r="C237" s="22" t="s">
        <v>108</v>
      </c>
    </row>
    <row r="239" spans="1:28" x14ac:dyDescent="0.2">
      <c r="C239" s="1" t="s">
        <v>441</v>
      </c>
    </row>
    <row r="240" spans="1:28" x14ac:dyDescent="0.2">
      <c r="C240" s="1" t="s">
        <v>442</v>
      </c>
    </row>
    <row r="241" spans="1:28" x14ac:dyDescent="0.2">
      <c r="C241" s="1" t="s">
        <v>203</v>
      </c>
    </row>
    <row r="252" spans="1:28" x14ac:dyDescent="0.2">
      <c r="A252" s="322" t="s">
        <v>407</v>
      </c>
      <c r="B252" s="322"/>
      <c r="C252" s="322"/>
      <c r="D252" s="322"/>
      <c r="E252" s="322"/>
      <c r="F252" s="322"/>
      <c r="G252" s="322"/>
      <c r="H252" s="322"/>
      <c r="I252" s="322"/>
      <c r="J252" s="322"/>
      <c r="K252" s="322"/>
      <c r="L252" s="322"/>
      <c r="M252" s="322"/>
      <c r="N252" s="322"/>
      <c r="O252" s="322"/>
      <c r="P252" s="322"/>
      <c r="Q252" s="322"/>
      <c r="R252" s="322"/>
      <c r="S252" s="322"/>
      <c r="T252" s="322"/>
      <c r="U252" s="322"/>
      <c r="V252" s="322"/>
      <c r="W252" s="322"/>
      <c r="X252" s="322"/>
      <c r="Y252" s="322"/>
      <c r="Z252" s="322"/>
      <c r="AA252" s="322"/>
    </row>
    <row r="253" spans="1:28" x14ac:dyDescent="0.2">
      <c r="A253" s="322"/>
      <c r="B253" s="322"/>
      <c r="C253" s="322"/>
      <c r="D253" s="322"/>
      <c r="E253" s="322"/>
      <c r="F253" s="322"/>
      <c r="G253" s="322"/>
      <c r="H253" s="322"/>
      <c r="I253" s="322"/>
      <c r="J253" s="322"/>
      <c r="K253" s="322"/>
      <c r="L253" s="322"/>
      <c r="M253" s="322"/>
      <c r="N253" s="322"/>
      <c r="O253" s="322"/>
      <c r="P253" s="322"/>
      <c r="Q253" s="322"/>
      <c r="R253" s="322"/>
      <c r="S253" s="322"/>
      <c r="T253" s="322"/>
      <c r="U253" s="322"/>
      <c r="V253" s="322"/>
      <c r="W253" s="322"/>
      <c r="X253" s="322"/>
      <c r="Y253" s="322"/>
      <c r="Z253" s="322"/>
      <c r="AA253" s="322"/>
    </row>
    <row r="255" spans="1:28" ht="17.25" customHeight="1" x14ac:dyDescent="0.2">
      <c r="J255" s="353" t="s">
        <v>190</v>
      </c>
      <c r="K255" s="345"/>
      <c r="L255" s="345"/>
      <c r="M255" s="345"/>
      <c r="N255" s="345"/>
      <c r="O255" s="345"/>
      <c r="P255" s="345"/>
      <c r="Q255" s="345"/>
      <c r="R255" s="345"/>
      <c r="S255" s="345"/>
      <c r="T255" s="345"/>
      <c r="U255" s="345"/>
      <c r="V255" s="345"/>
      <c r="W255" s="345"/>
      <c r="X255" s="345"/>
      <c r="Y255" s="345"/>
      <c r="Z255" s="345"/>
      <c r="AA255" s="345"/>
      <c r="AB255" s="4" t="str">
        <f>IF(P255="","←工事監理者氏名（工事監理者が不要な場合は工事施工者氏名を選択し、当該内容）を入力してください。","")</f>
        <v>←工事監理者氏名（工事監理者が不要な場合は工事施工者氏名を選択し、当該内容）を入力してください。</v>
      </c>
    </row>
    <row r="256" spans="1:28" ht="17.25" customHeight="1" x14ac:dyDescent="0.2">
      <c r="J256" s="340" t="s">
        <v>162</v>
      </c>
      <c r="K256" s="340"/>
      <c r="L256" s="340"/>
      <c r="M256" s="340"/>
      <c r="N256" s="340"/>
      <c r="O256" s="340"/>
      <c r="P256" s="345"/>
      <c r="Q256" s="345"/>
      <c r="R256" s="345"/>
      <c r="S256" s="345"/>
      <c r="T256" s="345"/>
      <c r="U256" s="345"/>
      <c r="V256" s="345"/>
      <c r="W256" s="345"/>
      <c r="X256" s="345"/>
      <c r="Y256" s="345"/>
      <c r="Z256" s="345"/>
      <c r="AA256" s="345"/>
      <c r="AB256" s="4" t="str">
        <f>IF(P256="","←建築士事務所名を入力してください。","")</f>
        <v>←建築士事務所名を入力してください。</v>
      </c>
    </row>
    <row r="257" spans="1:28" ht="17.25" customHeight="1" x14ac:dyDescent="0.2">
      <c r="J257" s="361" t="s">
        <v>163</v>
      </c>
      <c r="K257" s="362"/>
      <c r="L257" s="362"/>
      <c r="M257" s="362"/>
      <c r="N257" s="362"/>
      <c r="O257" s="363"/>
      <c r="P257" s="316" t="s">
        <v>51</v>
      </c>
      <c r="Q257" s="317"/>
      <c r="R257" s="317"/>
      <c r="S257" s="317"/>
      <c r="T257" s="328"/>
      <c r="U257" s="328"/>
      <c r="V257" s="328"/>
      <c r="W257" s="328"/>
      <c r="X257" s="328"/>
      <c r="Y257" s="328"/>
      <c r="Z257" s="328"/>
      <c r="AA257" s="329"/>
      <c r="AB257" s="4" t="str">
        <f>IF(T257="","←建築士事務所の登録区分を選択（１級、２級、木造）してください。","")</f>
        <v>←建築士事務所の登録区分を選択（１級、２級、木造）してください。</v>
      </c>
    </row>
    <row r="258" spans="1:28" ht="17.25" customHeight="1" x14ac:dyDescent="0.2">
      <c r="J258" s="364"/>
      <c r="K258" s="356"/>
      <c r="L258" s="356"/>
      <c r="M258" s="356"/>
      <c r="N258" s="356"/>
      <c r="O258" s="365"/>
      <c r="P258" s="316" t="s">
        <v>165</v>
      </c>
      <c r="Q258" s="317"/>
      <c r="R258" s="317"/>
      <c r="S258" s="317"/>
      <c r="T258" s="328"/>
      <c r="U258" s="328"/>
      <c r="V258" s="328"/>
      <c r="W258" s="328"/>
      <c r="X258" s="328"/>
      <c r="Y258" s="328"/>
      <c r="Z258" s="317" t="s">
        <v>166</v>
      </c>
      <c r="AA258" s="318"/>
      <c r="AB258" s="4" t="str">
        <f>IF(T258="","←建築士事務所の登録を受けた都道府県名入力してください。","")</f>
        <v>←建築士事務所の登録を受けた都道府県名入力してください。</v>
      </c>
    </row>
    <row r="259" spans="1:28" ht="17.25" customHeight="1" x14ac:dyDescent="0.2">
      <c r="J259" s="366"/>
      <c r="K259" s="367"/>
      <c r="L259" s="367"/>
      <c r="M259" s="367"/>
      <c r="N259" s="367"/>
      <c r="O259" s="368"/>
      <c r="P259" s="316" t="s">
        <v>164</v>
      </c>
      <c r="Q259" s="317"/>
      <c r="R259" s="317"/>
      <c r="S259" s="317"/>
      <c r="T259" s="369"/>
      <c r="U259" s="369"/>
      <c r="V259" s="369"/>
      <c r="W259" s="369"/>
      <c r="X259" s="369"/>
      <c r="Y259" s="369"/>
      <c r="Z259" s="369"/>
      <c r="AA259" s="370"/>
      <c r="AB259" s="4" t="str">
        <f>IF(T259="","←建築士事務所の登録番号を入力してください。","")</f>
        <v>←建築士事務所の登録番号を入力してください。</v>
      </c>
    </row>
    <row r="260" spans="1:28" x14ac:dyDescent="0.2">
      <c r="A260" s="1" t="s">
        <v>183</v>
      </c>
    </row>
    <row r="261" spans="1:28" ht="31.5" customHeight="1" x14ac:dyDescent="0.2">
      <c r="A261" s="322" t="s">
        <v>191</v>
      </c>
      <c r="B261" s="322"/>
      <c r="C261" s="322"/>
      <c r="D261" s="322"/>
      <c r="E261" s="322"/>
      <c r="F261" s="322"/>
      <c r="G261" s="322"/>
      <c r="H261" s="322"/>
      <c r="I261" s="322"/>
      <c r="J261" s="322"/>
      <c r="K261" s="322"/>
      <c r="L261" s="322"/>
      <c r="M261" s="322"/>
      <c r="N261" s="322"/>
      <c r="O261" s="322"/>
      <c r="P261" s="322"/>
      <c r="Q261" s="322"/>
      <c r="R261" s="322"/>
      <c r="S261" s="322"/>
      <c r="T261" s="322"/>
      <c r="U261" s="322"/>
      <c r="V261" s="322"/>
      <c r="W261" s="322"/>
      <c r="X261" s="322"/>
      <c r="Y261" s="322"/>
      <c r="Z261" s="322"/>
      <c r="AA261" s="322"/>
    </row>
  </sheetData>
  <sheetProtection algorithmName="SHA-512" hashValue="+JzUH26UzNmQ4iUyjPB7lQyo12gDMQqtdJXikwgEoc6OVLCJ39l+y7D9FZBVe1bol0OPxpHgycpe/3ZkjsDFFA==" saltValue="ZNnYZ7AimJwkzkoGDUPH7A==" spinCount="100000" sheet="1" selectLockedCells="1"/>
  <mergeCells count="209">
    <mergeCell ref="N45:Q45"/>
    <mergeCell ref="S45:T45"/>
    <mergeCell ref="V45:W45"/>
    <mergeCell ref="T230:V230"/>
    <mergeCell ref="T231:V231"/>
    <mergeCell ref="D230:S230"/>
    <mergeCell ref="D231:S231"/>
    <mergeCell ref="Y105:Z105"/>
    <mergeCell ref="D53:H53"/>
    <mergeCell ref="D103:P103"/>
    <mergeCell ref="O54:Q54"/>
    <mergeCell ref="D88:H88"/>
    <mergeCell ref="I88:X88"/>
    <mergeCell ref="D77:O77"/>
    <mergeCell ref="Q110:T110"/>
    <mergeCell ref="G109:P109"/>
    <mergeCell ref="Q105:T105"/>
    <mergeCell ref="Q102:T102"/>
    <mergeCell ref="U105:X105"/>
    <mergeCell ref="E104:P104"/>
    <mergeCell ref="F105:P105"/>
    <mergeCell ref="U104:X104"/>
    <mergeCell ref="P77:T77"/>
    <mergeCell ref="O155:Z155"/>
    <mergeCell ref="B99:AA100"/>
    <mergeCell ref="U76:Z76"/>
    <mergeCell ref="G106:P106"/>
    <mergeCell ref="G107:P107"/>
    <mergeCell ref="G108:P108"/>
    <mergeCell ref="Y111:Z111"/>
    <mergeCell ref="Q134:AA135"/>
    <mergeCell ref="U102:X103"/>
    <mergeCell ref="Y102:AA103"/>
    <mergeCell ref="Y129:AA130"/>
    <mergeCell ref="Q106:T107"/>
    <mergeCell ref="Q108:T109"/>
    <mergeCell ref="U106:X107"/>
    <mergeCell ref="U108:X109"/>
    <mergeCell ref="A118:AA119"/>
    <mergeCell ref="Y112:Z112"/>
    <mergeCell ref="Y109:Z109"/>
    <mergeCell ref="D48:H48"/>
    <mergeCell ref="I50:X50"/>
    <mergeCell ref="U59:Z59"/>
    <mergeCell ref="U62:Z62"/>
    <mergeCell ref="U65:Z65"/>
    <mergeCell ref="D54:N54"/>
    <mergeCell ref="U77:Z77"/>
    <mergeCell ref="D78:O78"/>
    <mergeCell ref="P78:T78"/>
    <mergeCell ref="I49:X49"/>
    <mergeCell ref="A8:AA8"/>
    <mergeCell ref="U110:X110"/>
    <mergeCell ref="U111:X111"/>
    <mergeCell ref="Q111:T111"/>
    <mergeCell ref="F110:P110"/>
    <mergeCell ref="F111:P111"/>
    <mergeCell ref="D95:H95"/>
    <mergeCell ref="I95:X95"/>
    <mergeCell ref="I35:X35"/>
    <mergeCell ref="D34:H35"/>
    <mergeCell ref="I34:L34"/>
    <mergeCell ref="M34:X34"/>
    <mergeCell ref="I37:N37"/>
    <mergeCell ref="M38:Q39"/>
    <mergeCell ref="D38:H39"/>
    <mergeCell ref="I38:K39"/>
    <mergeCell ref="N43:Q43"/>
    <mergeCell ref="D43:H44"/>
    <mergeCell ref="U78:Z78"/>
    <mergeCell ref="D79:O79"/>
    <mergeCell ref="P79:T79"/>
    <mergeCell ref="U79:Z79"/>
    <mergeCell ref="D76:O76"/>
    <mergeCell ref="P76:T76"/>
    <mergeCell ref="A10:AA11"/>
    <mergeCell ref="D40:H40"/>
    <mergeCell ref="D42:H42"/>
    <mergeCell ref="I42:X42"/>
    <mergeCell ref="D37:H37"/>
    <mergeCell ref="V38:W38"/>
    <mergeCell ref="V39:W39"/>
    <mergeCell ref="R38:U38"/>
    <mergeCell ref="R39:U39"/>
    <mergeCell ref="H13:I13"/>
    <mergeCell ref="K13:L13"/>
    <mergeCell ref="N17:Z17"/>
    <mergeCell ref="N19:Z19"/>
    <mergeCell ref="N16:Z16"/>
    <mergeCell ref="I41:K41"/>
    <mergeCell ref="E13:F13"/>
    <mergeCell ref="C13:D13"/>
    <mergeCell ref="J17:M17"/>
    <mergeCell ref="J18:M18"/>
    <mergeCell ref="J19:M19"/>
    <mergeCell ref="N18:Z18"/>
    <mergeCell ref="O15:Z15"/>
    <mergeCell ref="O37:R37"/>
    <mergeCell ref="A22:AA22"/>
    <mergeCell ref="B224:E224"/>
    <mergeCell ref="C26:AA27"/>
    <mergeCell ref="I44:M44"/>
    <mergeCell ref="V44:W44"/>
    <mergeCell ref="I40:N40"/>
    <mergeCell ref="W37:X37"/>
    <mergeCell ref="S37:V37"/>
    <mergeCell ref="S43:T43"/>
    <mergeCell ref="S44:T44"/>
    <mergeCell ref="V43:W43"/>
    <mergeCell ref="L38:L39"/>
    <mergeCell ref="I43:M43"/>
    <mergeCell ref="S40:U40"/>
    <mergeCell ref="V40:W40"/>
    <mergeCell ref="N44:Q44"/>
    <mergeCell ref="I48:X48"/>
    <mergeCell ref="D49:H49"/>
    <mergeCell ref="D50:H50"/>
    <mergeCell ref="U74:Z74"/>
    <mergeCell ref="P74:T74"/>
    <mergeCell ref="D74:O74"/>
    <mergeCell ref="D75:O75"/>
    <mergeCell ref="P75:T75"/>
    <mergeCell ref="U75:Z75"/>
    <mergeCell ref="P203:AA203"/>
    <mergeCell ref="H199:AA201"/>
    <mergeCell ref="D45:M45"/>
    <mergeCell ref="J257:O259"/>
    <mergeCell ref="T258:Y258"/>
    <mergeCell ref="Z258:AA258"/>
    <mergeCell ref="P259:S259"/>
    <mergeCell ref="T259:AA259"/>
    <mergeCell ref="C165:AA166"/>
    <mergeCell ref="Y162:AA163"/>
    <mergeCell ref="Y164:Z164"/>
    <mergeCell ref="N187:P187"/>
    <mergeCell ref="N188:P188"/>
    <mergeCell ref="N194:P194"/>
    <mergeCell ref="R187:U187"/>
    <mergeCell ref="R188:U188"/>
    <mergeCell ref="V187:Z187"/>
    <mergeCell ref="V188:Z188"/>
    <mergeCell ref="P258:S258"/>
    <mergeCell ref="C218:E218"/>
    <mergeCell ref="N204:P204"/>
    <mergeCell ref="H209:AA210"/>
    <mergeCell ref="N222:P222"/>
    <mergeCell ref="B163:X164"/>
    <mergeCell ref="C195:AA197"/>
    <mergeCell ref="H202:O202"/>
    <mergeCell ref="P177:AA177"/>
    <mergeCell ref="A261:AA261"/>
    <mergeCell ref="P257:S257"/>
    <mergeCell ref="J255:O255"/>
    <mergeCell ref="P255:AA255"/>
    <mergeCell ref="J256:O256"/>
    <mergeCell ref="P256:AA256"/>
    <mergeCell ref="C216:G216"/>
    <mergeCell ref="C178:E178"/>
    <mergeCell ref="C185:E185"/>
    <mergeCell ref="C193:E193"/>
    <mergeCell ref="C201:E201"/>
    <mergeCell ref="C211:E211"/>
    <mergeCell ref="C205:AA207"/>
    <mergeCell ref="C212:AA214"/>
    <mergeCell ref="C223:AA223"/>
    <mergeCell ref="I194:L194"/>
    <mergeCell ref="H216:AA220"/>
    <mergeCell ref="C221:L222"/>
    <mergeCell ref="T257:AA257"/>
    <mergeCell ref="P202:AA202"/>
    <mergeCell ref="H203:O203"/>
    <mergeCell ref="H155:N155"/>
    <mergeCell ref="H191:AA192"/>
    <mergeCell ref="N180:P180"/>
    <mergeCell ref="N179:S179"/>
    <mergeCell ref="C181:AA181"/>
    <mergeCell ref="H156:N156"/>
    <mergeCell ref="O156:Z156"/>
    <mergeCell ref="H157:N157"/>
    <mergeCell ref="O157:Z157"/>
    <mergeCell ref="B156:G157"/>
    <mergeCell ref="P178:AA178"/>
    <mergeCell ref="C174:AA174"/>
    <mergeCell ref="C173:E173"/>
    <mergeCell ref="B155:G155"/>
    <mergeCell ref="A9:AA9"/>
    <mergeCell ref="D36:H36"/>
    <mergeCell ref="I36:X36"/>
    <mergeCell ref="A252:AA253"/>
    <mergeCell ref="K226:M227"/>
    <mergeCell ref="H171:AA173"/>
    <mergeCell ref="H177:O177"/>
    <mergeCell ref="H178:O178"/>
    <mergeCell ref="C137:N138"/>
    <mergeCell ref="I53:N53"/>
    <mergeCell ref="D102:P102"/>
    <mergeCell ref="Q103:T103"/>
    <mergeCell ref="Q104:T104"/>
    <mergeCell ref="Y104:Z104"/>
    <mergeCell ref="S54:T54"/>
    <mergeCell ref="V54:W54"/>
    <mergeCell ref="Q137:AA138"/>
    <mergeCell ref="N211:P211"/>
    <mergeCell ref="Y131:Z131"/>
    <mergeCell ref="C140:N140"/>
    <mergeCell ref="Q140:AA140"/>
    <mergeCell ref="Y146:Z146"/>
    <mergeCell ref="Y144:AA145"/>
    <mergeCell ref="C142:Z143"/>
  </mergeCells>
  <phoneticPr fontId="1"/>
  <conditionalFormatting sqref="B26 O155:Z157">
    <cfRule type="containsBlanks" dxfId="78" priority="215">
      <formula>LEN(TRIM(B26))=0</formula>
    </cfRule>
  </conditionalFormatting>
  <conditionalFormatting sqref="B29">
    <cfRule type="containsBlanks" dxfId="77" priority="216">
      <formula>LEN(TRIM(B29))=0</formula>
    </cfRule>
  </conditionalFormatting>
  <conditionalFormatting sqref="B47">
    <cfRule type="containsBlanks" dxfId="76" priority="217">
      <formula>LEN(TRIM(B47))=0</formula>
    </cfRule>
  </conditionalFormatting>
  <conditionalFormatting sqref="B52">
    <cfRule type="containsBlanks" dxfId="75" priority="218">
      <formula>LEN(TRIM(B52))=0</formula>
    </cfRule>
  </conditionalFormatting>
  <conditionalFormatting sqref="B57">
    <cfRule type="containsBlanks" dxfId="74" priority="219">
      <formula>LEN(TRIM(B57))=0</formula>
    </cfRule>
  </conditionalFormatting>
  <conditionalFormatting sqref="B59">
    <cfRule type="containsBlanks" dxfId="73" priority="39">
      <formula>LEN(TRIM(B59))=0</formula>
    </cfRule>
  </conditionalFormatting>
  <conditionalFormatting sqref="B62">
    <cfRule type="containsBlanks" dxfId="72" priority="30">
      <formula>LEN(TRIM(B62))=0</formula>
    </cfRule>
  </conditionalFormatting>
  <conditionalFormatting sqref="B65">
    <cfRule type="containsBlanks" dxfId="71" priority="29">
      <formula>LEN(TRIM(B65))=0</formula>
    </cfRule>
  </conditionalFormatting>
  <conditionalFormatting sqref="B68">
    <cfRule type="containsBlanks" dxfId="70" priority="24">
      <formula>LEN(TRIM(B68))=0</formula>
    </cfRule>
  </conditionalFormatting>
  <conditionalFormatting sqref="B71">
    <cfRule type="containsBlanks" dxfId="69" priority="22">
      <formula>LEN(TRIM(B71))=0</formula>
    </cfRule>
  </conditionalFormatting>
  <conditionalFormatting sqref="B81">
    <cfRule type="containsBlanks" dxfId="68" priority="41">
      <formula>LEN(TRIM(B81))=0</formula>
    </cfRule>
  </conditionalFormatting>
  <conditionalFormatting sqref="B83">
    <cfRule type="containsBlanks" dxfId="67" priority="31">
      <formula>LEN(TRIM(B83))=0</formula>
    </cfRule>
  </conditionalFormatting>
  <conditionalFormatting sqref="B85">
    <cfRule type="containsBlanks" dxfId="66" priority="2">
      <formula>LEN(TRIM(B85))=0</formula>
    </cfRule>
  </conditionalFormatting>
  <conditionalFormatting sqref="B87">
    <cfRule type="containsBlanks" dxfId="65" priority="220">
      <formula>LEN(TRIM(B87))=0</formula>
    </cfRule>
  </conditionalFormatting>
  <conditionalFormatting sqref="B89">
    <cfRule type="containsBlanks" dxfId="64" priority="43">
      <formula>LEN(TRIM(B89))=0</formula>
    </cfRule>
  </conditionalFormatting>
  <conditionalFormatting sqref="B92">
    <cfRule type="containsBlanks" dxfId="63" priority="221">
      <formula>LEN(TRIM(B92))=0</formula>
    </cfRule>
  </conditionalFormatting>
  <conditionalFormatting sqref="B94">
    <cfRule type="containsBlanks" dxfId="62" priority="222">
      <formula>LEN(TRIM(B94))=0</formula>
    </cfRule>
  </conditionalFormatting>
  <conditionalFormatting sqref="B98">
    <cfRule type="containsBlanks" dxfId="61" priority="214">
      <formula>LEN(TRIM(B98))=0</formula>
    </cfRule>
  </conditionalFormatting>
  <conditionalFormatting sqref="B133">
    <cfRule type="containsBlanks" dxfId="60" priority="190">
      <formula>LEN(TRIM(B133))=0</formula>
    </cfRule>
  </conditionalFormatting>
  <conditionalFormatting sqref="B147">
    <cfRule type="containsBlanks" dxfId="59" priority="195">
      <formula>LEN(TRIM(B147))=0</formula>
    </cfRule>
  </conditionalFormatting>
  <conditionalFormatting sqref="B150">
    <cfRule type="containsBlanks" dxfId="58" priority="196">
      <formula>LEN(TRIM(B150))=0</formula>
    </cfRule>
  </conditionalFormatting>
  <conditionalFormatting sqref="B152">
    <cfRule type="containsBlanks" dxfId="57" priority="40">
      <formula>LEN(TRIM(B152))=0</formula>
    </cfRule>
  </conditionalFormatting>
  <conditionalFormatting sqref="B168">
    <cfRule type="containsBlanks" dxfId="56" priority="197">
      <formula>LEN(TRIM(B168))=0</formula>
    </cfRule>
  </conditionalFormatting>
  <conditionalFormatting sqref="B171">
    <cfRule type="containsBlanks" dxfId="55" priority="198">
      <formula>LEN(TRIM(B171))=0</formula>
    </cfRule>
  </conditionalFormatting>
  <conditionalFormatting sqref="B176">
    <cfRule type="containsBlanks" dxfId="54" priority="199">
      <formula>LEN(TRIM(B176))=0</formula>
    </cfRule>
  </conditionalFormatting>
  <conditionalFormatting sqref="B183">
    <cfRule type="containsBlanks" dxfId="53" priority="200">
      <formula>LEN(TRIM(B183))=0</formula>
    </cfRule>
  </conditionalFormatting>
  <conditionalFormatting sqref="B191">
    <cfRule type="containsBlanks" dxfId="52" priority="206">
      <formula>LEN(TRIM(B191))=0</formula>
    </cfRule>
  </conditionalFormatting>
  <conditionalFormatting sqref="B199">
    <cfRule type="containsBlanks" dxfId="51" priority="212">
      <formula>LEN(TRIM(B199))=0</formula>
    </cfRule>
  </conditionalFormatting>
  <conditionalFormatting sqref="B209">
    <cfRule type="containsBlanks" dxfId="50" priority="210">
      <formula>LEN(TRIM(B209))=0</formula>
    </cfRule>
  </conditionalFormatting>
  <conditionalFormatting sqref="B216">
    <cfRule type="containsBlanks" dxfId="49" priority="204">
      <formula>LEN(TRIM(B216))=0</formula>
    </cfRule>
  </conditionalFormatting>
  <conditionalFormatting sqref="C13 E13">
    <cfRule type="containsBlanks" dxfId="48" priority="102">
      <formula>LEN(TRIM(C13))=0</formula>
    </cfRule>
  </conditionalFormatting>
  <conditionalFormatting sqref="D75:Z79">
    <cfRule type="cellIs" dxfId="47" priority="32" operator="equal">
      <formula>""</formula>
    </cfRule>
  </conditionalFormatting>
  <conditionalFormatting sqref="H13">
    <cfRule type="containsBlanks" dxfId="46" priority="104">
      <formula>LEN(TRIM(H13))=0</formula>
    </cfRule>
  </conditionalFormatting>
  <conditionalFormatting sqref="I40">
    <cfRule type="containsBlanks" dxfId="45" priority="47">
      <formula>LEN(TRIM(I40))=0</formula>
    </cfRule>
  </conditionalFormatting>
  <conditionalFormatting sqref="I53:N53">
    <cfRule type="containsBlanks" dxfId="44" priority="94">
      <formula>LEN(TRIM(I53))=0</formula>
    </cfRule>
  </conditionalFormatting>
  <conditionalFormatting sqref="I73:X73 I88:X88">
    <cfRule type="expression" dxfId="43" priority="44">
      <formula>AND($I$42="その他",#REF!="")</formula>
    </cfRule>
  </conditionalFormatting>
  <conditionalFormatting sqref="I95:X95">
    <cfRule type="containsBlanks" dxfId="42" priority="62">
      <formula>LEN(TRIM(I95))=0</formula>
    </cfRule>
  </conditionalFormatting>
  <conditionalFormatting sqref="K13">
    <cfRule type="containsBlanks" dxfId="41" priority="103">
      <formula>LEN(TRIM(K13))=0</formula>
    </cfRule>
  </conditionalFormatting>
  <conditionalFormatting sqref="L41 Q41">
    <cfRule type="containsBlanks" dxfId="40" priority="182">
      <formula>LEN(TRIM(L41))=0</formula>
    </cfRule>
  </conditionalFormatting>
  <conditionalFormatting sqref="N180:P180">
    <cfRule type="containsBlanks" dxfId="39" priority="202">
      <formula>LEN(TRIM(N180))=0</formula>
    </cfRule>
  </conditionalFormatting>
  <conditionalFormatting sqref="N187:P188">
    <cfRule type="containsBlanks" dxfId="38" priority="203">
      <formula>LEN(TRIM(N187))=0</formula>
    </cfRule>
  </conditionalFormatting>
  <conditionalFormatting sqref="N194:P194">
    <cfRule type="containsBlanks" dxfId="37" priority="207">
      <formula>LEN(TRIM(N194))=0</formula>
    </cfRule>
  </conditionalFormatting>
  <conditionalFormatting sqref="N204:P204">
    <cfRule type="containsBlanks" dxfId="36" priority="208">
      <formula>LEN(TRIM(N204))=0</formula>
    </cfRule>
  </conditionalFormatting>
  <conditionalFormatting sqref="N211:P211">
    <cfRule type="containsBlanks" dxfId="35" priority="209">
      <formula>LEN(TRIM(N211))=0</formula>
    </cfRule>
  </conditionalFormatting>
  <conditionalFormatting sqref="N222:P222">
    <cfRule type="containsBlanks" dxfId="34" priority="211">
      <formula>LEN(TRIM(N222))=0</formula>
    </cfRule>
  </conditionalFormatting>
  <conditionalFormatting sqref="N43:Q45">
    <cfRule type="containsBlanks" dxfId="33" priority="17">
      <formula>LEN(TRIM(N43))=0</formula>
    </cfRule>
  </conditionalFormatting>
  <conditionalFormatting sqref="N179:S179">
    <cfRule type="containsBlanks" dxfId="32" priority="201">
      <formula>LEN(TRIM(N179))=0</formula>
    </cfRule>
  </conditionalFormatting>
  <conditionalFormatting sqref="O15:Z15 N16:Z17 N18 N19:Z19 M34 I35:I38 I42:X42 I48:X50 O54">
    <cfRule type="containsBlanks" dxfId="31" priority="188">
      <formula>LEN(TRIM(I15))=0</formula>
    </cfRule>
  </conditionalFormatting>
  <conditionalFormatting sqref="P74:P79">
    <cfRule type="expression" dxfId="30" priority="33">
      <formula>AND($I$42="その他",#REF!="")</formula>
    </cfRule>
  </conditionalFormatting>
  <conditionalFormatting sqref="P133">
    <cfRule type="containsBlanks" dxfId="29" priority="191">
      <formula>LEN(TRIM(P133))=0</formula>
    </cfRule>
  </conditionalFormatting>
  <conditionalFormatting sqref="P255:AA256">
    <cfRule type="containsBlanks" dxfId="28" priority="64">
      <formula>LEN(TRIM(P255))=0</formula>
    </cfRule>
  </conditionalFormatting>
  <conditionalFormatting sqref="Q103:Q106 Q108 Q110:Q111">
    <cfRule type="containsBlanks" dxfId="27" priority="171">
      <formula>LEN(TRIM(Q103))=0</formula>
    </cfRule>
  </conditionalFormatting>
  <conditionalFormatting sqref="R187:U188">
    <cfRule type="containsBlanks" dxfId="26" priority="205">
      <formula>LEN(TRIM(R187))=0</formula>
    </cfRule>
  </conditionalFormatting>
  <conditionalFormatting sqref="S37">
    <cfRule type="containsBlanks" dxfId="25" priority="112">
      <formula>LEN(TRIM(S37))=0</formula>
    </cfRule>
  </conditionalFormatting>
  <conditionalFormatting sqref="S43:S45 V43:V45">
    <cfRule type="containsBlanks" dxfId="24" priority="18">
      <formula>LEN(TRIM(S43))=0</formula>
    </cfRule>
  </conditionalFormatting>
  <conditionalFormatting sqref="S54 V54">
    <cfRule type="containsBlanks" dxfId="23" priority="46">
      <formula>LEN(TRIM(S54))=0</formula>
    </cfRule>
  </conditionalFormatting>
  <conditionalFormatting sqref="T257:AA257 T258 Z258 T259:AA259">
    <cfRule type="containsBlanks" dxfId="22" priority="63">
      <formula>LEN(TRIM(T257))=0</formula>
    </cfRule>
  </conditionalFormatting>
  <conditionalFormatting sqref="U74:U79">
    <cfRule type="expression" dxfId="21" priority="34">
      <formula>AND($I$42="その他",#REF!="")</formula>
    </cfRule>
  </conditionalFormatting>
  <conditionalFormatting sqref="U102:X111">
    <cfRule type="expression" dxfId="20" priority="4">
      <formula>$I$37="併用住宅"</formula>
    </cfRule>
  </conditionalFormatting>
  <conditionalFormatting sqref="U104:X104">
    <cfRule type="expression" dxfId="19" priority="12">
      <formula>AND($I$37="併用住宅",$U$104="")</formula>
    </cfRule>
  </conditionalFormatting>
  <conditionalFormatting sqref="U105:X105">
    <cfRule type="expression" dxfId="18" priority="10">
      <formula>AND($I$37="併用住宅",$U$105="")</formula>
    </cfRule>
  </conditionalFormatting>
  <conditionalFormatting sqref="U106:X107">
    <cfRule type="expression" dxfId="17" priority="7">
      <formula>AND($I$37="併用住宅",$U$106="")</formula>
    </cfRule>
  </conditionalFormatting>
  <conditionalFormatting sqref="U108:X109">
    <cfRule type="expression" dxfId="16" priority="3">
      <formula>AND($I$37="併用住宅",$U$108="")</formula>
    </cfRule>
  </conditionalFormatting>
  <conditionalFormatting sqref="U110:X110">
    <cfRule type="expression" dxfId="15" priority="14">
      <formula>AND($I$37="併用住宅",$U$110="")</formula>
    </cfRule>
  </conditionalFormatting>
  <conditionalFormatting sqref="U111:X111">
    <cfRule type="expression" dxfId="14" priority="5">
      <formula>AND($I$37="併用住宅",$U$111="")</formula>
    </cfRule>
  </conditionalFormatting>
  <conditionalFormatting sqref="U59:Z59">
    <cfRule type="cellIs" dxfId="13" priority="25" operator="equal">
      <formula>""</formula>
    </cfRule>
  </conditionalFormatting>
  <conditionalFormatting sqref="U62:Z62">
    <cfRule type="cellIs" dxfId="12" priority="26" operator="equal">
      <formula>""</formula>
    </cfRule>
  </conditionalFormatting>
  <conditionalFormatting sqref="U65:Z65">
    <cfRule type="cellIs" dxfId="11" priority="27" operator="equal">
      <formula>""</formula>
    </cfRule>
  </conditionalFormatting>
  <conditionalFormatting sqref="V40:V41">
    <cfRule type="containsBlanks" dxfId="10" priority="107">
      <formula>LEN(TRIM(V40))=0</formula>
    </cfRule>
  </conditionalFormatting>
  <conditionalFormatting sqref="V38:W38">
    <cfRule type="expression" dxfId="9" priority="176">
      <formula>AND($I$37="併用住宅",$V$38="")</formula>
    </cfRule>
  </conditionalFormatting>
  <conditionalFormatting sqref="V39:W39">
    <cfRule type="expression" dxfId="8" priority="175">
      <formula>AND($I$37="併用住宅",$V$39="")</formula>
    </cfRule>
  </conditionalFormatting>
  <conditionalFormatting sqref="V187:Z187">
    <cfRule type="expression" dxfId="7" priority="56">
      <formula>AND($R$187="その他のこて塗り",$V$187="")</formula>
    </cfRule>
    <cfRule type="expression" dxfId="6" priority="57">
      <formula>"$R$158=""その他のこて塗り"""</formula>
    </cfRule>
  </conditionalFormatting>
  <conditionalFormatting sqref="V188:Z188">
    <cfRule type="expression" dxfId="5" priority="55">
      <formula>AND($R$188="その他のこて塗り",$V$188="")</formula>
    </cfRule>
  </conditionalFormatting>
  <dataValidations count="33">
    <dataValidation type="whole" operator="greaterThanOrEqual" allowBlank="1" showInputMessage="1" showErrorMessage="1" error="1か所以上が必須です。" sqref="V41 Q41 L41" xr:uid="{00000000-0002-0000-0000-000000000000}">
      <formula1>1</formula1>
    </dataValidation>
    <dataValidation type="list" allowBlank="1" showInputMessage="1" showErrorMessage="1" sqref="I37" xr:uid="{00000000-0002-0000-0000-000002000000}">
      <formula1>"専用住宅,併用住宅"</formula1>
    </dataValidation>
    <dataValidation type="list" allowBlank="1" showInputMessage="1" showErrorMessage="1" sqref="I42:X42" xr:uid="{00000000-0002-0000-0000-000003000000}">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103:T103" xr:uid="{00000000-0002-0000-0000-000004000000}">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104:T104" xr:uid="{00000000-0002-0000-0000-000005000000}">
      <formula1>10</formula1>
      <formula2>Q103</formula2>
    </dataValidation>
    <dataValidation type="list" showInputMessage="1" showErrorMessage="1" sqref="N194:P194" xr:uid="{00000000-0002-0000-0000-000006000000}">
      <formula1>"　,和瓦,平板瓦,S瓦,"</formula1>
    </dataValidation>
    <dataValidation type="list" allowBlank="1" showInputMessage="1" showErrorMessage="1" sqref="N179:S179" xr:uid="{00000000-0002-0000-0000-000007000000}">
      <formula1>"ささら子下見板,押縁下見板,南京下見板,"</formula1>
    </dataValidation>
    <dataValidation type="list" allowBlank="1" showInputMessage="1" showErrorMessage="1" sqref="M34:X34" xr:uid="{00000000-0002-0000-0000-000008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13:I13 S54:T54 S43:T45" xr:uid="{00000000-0002-0000-0000-000009000000}">
      <formula1>"1,2,3,4,5,6,7,8,9,10,11,12,"</formula1>
    </dataValidation>
    <dataValidation type="list" allowBlank="1" showInputMessage="1" showErrorMessage="1" sqref="V40:W40" xr:uid="{00000000-0002-0000-0000-00000A000000}">
      <formula1>"1,2,3,"</formula1>
    </dataValidation>
    <dataValidation type="list" allowBlank="1" showInputMessage="1" showErrorMessage="1" sqref="K13:L13" xr:uid="{00000000-0002-0000-0000-00000B000000}">
      <formula1>"1,2,3,4,5,6,7,8,9,10,11,12,13,14,15,16,17,18,19,20,21,22,23,24,25,26,27,28,29,30,31, "</formula1>
    </dataValidation>
    <dataValidation type="list" allowBlank="1" showInputMessage="1" showErrorMessage="1" sqref="N43:Q44" xr:uid="{00000000-0002-0000-0000-00000C000000}">
      <formula1>"5,6,7,8,9,10,"</formula1>
    </dataValidation>
    <dataValidation type="list" allowBlank="1" showInputMessage="1" showErrorMessage="1" sqref="I53:N53" xr:uid="{00000000-0002-0000-0000-00000D000000}">
      <formula1>"要,不要,"</formula1>
    </dataValidation>
    <dataValidation type="list" allowBlank="1" showInputMessage="1" showErrorMessage="1" sqref="V54:W54 V43:W45" xr:uid="{00000000-0002-0000-0000-00000E000000}">
      <formula1>"1,2,3,4,5,6,7,8,9,10,11,12,13,14,15,16,17,18,19,20,21,22,23,24,25,26,27,28,29,30,31,"</formula1>
    </dataValidation>
    <dataValidation type="list" allowBlank="1" showInputMessage="1" showErrorMessage="1" sqref="B26 B29 B47 B52 B57 B92 B87 B94 B68 B133 P133 B152 B85 B168 B171 B176 B183 B191 B199 B209 B216 B89 B150 B81 B59 B71 B62 B65 B98 B83 B147" xr:uid="{00000000-0002-0000-0000-00000F000000}">
      <formula1>"✔,"</formula1>
    </dataValidation>
    <dataValidation type="list" allowBlank="1" showInputMessage="1" showErrorMessage="1" sqref="T257:AA257" xr:uid="{00000000-0002-0000-0000-000010000000}">
      <formula1>"一級建築士事務所,二級建築士事務所,木造建築士事務所"</formula1>
    </dataValidation>
    <dataValidation type="list" allowBlank="1" showInputMessage="1" showErrorMessage="1" sqref="J255:O255" xr:uid="{00000000-0002-0000-0000-000011000000}">
      <formula1>"工事監理者氏名,工事施工者氏名"</formula1>
    </dataValidation>
    <dataValidation type="whole" allowBlank="1" showInputMessage="1" showErrorMessage="1" error="県産材の使用材積以下の整数値（小数点以下切捨て）を入力してください。_x000a_" sqref="Q110:T110" xr:uid="{00000000-0002-0000-0000-000012000000}">
      <formula1>0</formula1>
      <formula2>Q104</formula2>
    </dataValidation>
    <dataValidation type="whole" allowBlank="1" showInputMessage="1" showErrorMessage="1" error="整数値（小数点以下切捨て）を入力してください。" sqref="Q111:T111" xr:uid="{00000000-0002-0000-0000-000013000000}">
      <formula1>0</formula1>
      <formula2>1000000</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10:X110 U104:X104" xr:uid="{00000000-0002-0000-0000-000014000000}">
      <formula1>0</formula1>
      <formula2>MIN(Q104,U98)</formula2>
    </dataValidation>
    <dataValidation type="whole" allowBlank="1" showInputMessage="1" showErrorMessage="1" errorTitle="エラー" error="併用住宅全体の県産内外装材、県産木塀の見付面積以下の整数値（小数点以下切捨て）を入力してください。" sqref="U111:X111" xr:uid="{00000000-0002-0000-0000-000015000000}">
      <formula1>0</formula1>
      <formula2>Q111</formula2>
    </dataValidation>
    <dataValidation type="list" showInputMessage="1" showErrorMessage="1" sqref="R187:U187" xr:uid="{00000000-0002-0000-0000-000016000000}">
      <formula1>"　,モルタル塗,漆喰塗,土壁塗,そとん壁,その他のこて塗り"</formula1>
    </dataValidation>
    <dataValidation type="list" showInputMessage="1" showErrorMessage="1" sqref="R188:U188" xr:uid="{00000000-0002-0000-0000-000017000000}">
      <formula1>"　,珪藻土塗,じゅらく塗,その他のこて塗り"</formula1>
    </dataValidation>
    <dataValidation type="list" allowBlank="1" showInputMessage="1" showErrorMessage="1" sqref="U59:Z59" xr:uid="{00000000-0002-0000-0000-000019000000}">
      <formula1>"T-G1,T-G2,T-G3"</formula1>
    </dataValidation>
    <dataValidation type="list" allowBlank="1" showInputMessage="1" showErrorMessage="1" sqref="U62:Z62" xr:uid="{00000000-0002-0000-0000-00001A000000}">
      <formula1>"太陽光発電（自家設置）,太陽光発電（リース）,太陽光発電（PPA）,太陽熱利用設備,バイオマス利用設備,地中熱利用設備,その他"</formula1>
    </dataValidation>
    <dataValidation type="list" allowBlank="1" showInputMessage="1" showErrorMessage="1" sqref="U65:Z65" xr:uid="{00000000-0002-0000-0000-00001B000000}">
      <formula1>"『ZEH』,Nearly ZEH（多雪地域に限る）,ZEH Oriented（補助対象外）"</formula1>
    </dataValidation>
    <dataValidation type="list" allowBlank="1" showInputMessage="1" showErrorMessage="1" sqref="O54:Q54 N45:Q45" xr:uid="{00000000-0002-0000-0000-00001C000000}">
      <formula1>"2,3,4,5,6,7,8,9,10,"</formula1>
    </dataValidation>
    <dataValidation type="whole" showInputMessage="1" showErrorMessage="1" errorTitle="エラー" error="県産材の使用材積以下の整数値（小数点以下切捨て）を入力してください。_x000a_" sqref="Q105:T107" xr:uid="{00000000-0002-0000-0000-00001D000000}">
      <formula1>0</formula1>
      <formula2>Q104</formula2>
    </dataValidation>
    <dataValidation type="whole" showInputMessage="1" showErrorMessage="1" errorTitle="エラー" error="県産材の使用材積以下の整数値（小数点以下切捨て）を入力してください。_x000a_" sqref="Q108:T109" xr:uid="{00000000-0002-0000-0000-00001E000000}">
      <formula1>0</formula1>
      <formula2>Q105</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6:X107" xr:uid="{00000000-0002-0000-0000-00001F000000}">
      <formula1>0</formula1>
      <formula2>MIN(U105,Q106)</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8:X109" xr:uid="{00000000-0002-0000-0000-000020000000}">
      <formula1>0</formula1>
      <formula2>MIN(U105,Q108)</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5:X105" xr:uid="{00000000-0002-0000-0000-000021000000}">
      <formula1>0</formula1>
      <formula2>MIN(Q105,U104)</formula2>
    </dataValidation>
    <dataValidation type="list" allowBlank="1" showInputMessage="1" showErrorMessage="1" sqref="E13:F13" xr:uid="{00000000-0002-0000-0000-000022000000}">
      <formula1>"6,7,8,9,10,"</formula1>
    </dataValidation>
  </dataValidations>
  <printOptions horizontalCentered="1"/>
  <pageMargins left="0.70866141732283472" right="0.70866141732283472" top="0.47244094488188981" bottom="0.35433070866141736" header="0.31496062992125984" footer="0.31496062992125984"/>
  <pageSetup paperSize="9" scale="88" orientation="portrait" verticalDpi="1200" r:id="rId1"/>
  <rowBreaks count="3" manualBreakCount="3">
    <brk id="90" max="26" man="1"/>
    <brk id="161" max="26" man="1"/>
    <brk id="225" max="2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showGridLines="0" view="pageBreakPreview" topLeftCell="A21" zoomScale="85" zoomScaleNormal="100" zoomScaleSheetLayoutView="85" workbookViewId="0">
      <selection activeCell="B15" sqref="B15"/>
    </sheetView>
  </sheetViews>
  <sheetFormatPr defaultColWidth="9" defaultRowHeight="13.2" x14ac:dyDescent="0.2"/>
  <cols>
    <col min="1" max="1" width="4.88671875" style="1" customWidth="1"/>
    <col min="2" max="4" width="24.6640625" style="1" customWidth="1"/>
    <col min="5" max="16384" width="9" style="1"/>
  </cols>
  <sheetData>
    <row r="1" spans="1:6" x14ac:dyDescent="0.2">
      <c r="A1" s="1" t="s">
        <v>153</v>
      </c>
    </row>
    <row r="5" spans="1:6" ht="14.4" x14ac:dyDescent="0.2">
      <c r="A5" s="489" t="s">
        <v>143</v>
      </c>
      <c r="B5" s="489"/>
      <c r="C5" s="489"/>
      <c r="D5" s="489"/>
      <c r="E5" s="489"/>
    </row>
    <row r="7" spans="1:6" ht="38.25" customHeight="1" x14ac:dyDescent="0.2">
      <c r="C7" s="5" t="s">
        <v>39</v>
      </c>
      <c r="D7" s="322" t="str">
        <f>IF('【様式第2号】事業計画書兼チェックシート（新築）'!N16="","",'【様式第2号】事業計画書兼チェックシート（新築）'!N16)</f>
        <v/>
      </c>
      <c r="E7" s="322"/>
    </row>
    <row r="8" spans="1:6" x14ac:dyDescent="0.2">
      <c r="C8" s="5" t="s">
        <v>40</v>
      </c>
      <c r="D8" s="324" t="str">
        <f>IF('【様式第2号】事業計画書兼チェックシート（新築）'!N17="","",'【様式第2号】事業計画書兼チェックシート（新築）'!N17)</f>
        <v/>
      </c>
      <c r="E8" s="324"/>
    </row>
    <row r="10" spans="1:6" x14ac:dyDescent="0.2">
      <c r="A10" s="1" t="s">
        <v>34</v>
      </c>
    </row>
    <row r="11" spans="1:6" x14ac:dyDescent="0.2">
      <c r="A11" s="1" t="s">
        <v>35</v>
      </c>
    </row>
    <row r="13" spans="1:6" x14ac:dyDescent="0.2">
      <c r="B13" s="56" t="s">
        <v>33</v>
      </c>
      <c r="C13" s="56" t="s">
        <v>5</v>
      </c>
      <c r="D13" s="56" t="s">
        <v>38</v>
      </c>
    </row>
    <row r="14" spans="1:6" ht="28.2" customHeight="1" x14ac:dyDescent="0.2">
      <c r="A14" s="38" t="s">
        <v>37</v>
      </c>
      <c r="B14" s="56" t="s">
        <v>209</v>
      </c>
      <c r="C14" s="103" t="s">
        <v>210</v>
      </c>
      <c r="D14" s="102" t="s">
        <v>211</v>
      </c>
    </row>
    <row r="15" spans="1:6" ht="29.7" customHeight="1" x14ac:dyDescent="0.2">
      <c r="A15" s="38" t="s">
        <v>37</v>
      </c>
      <c r="B15" s="58" t="s">
        <v>212</v>
      </c>
      <c r="C15" s="58" t="s">
        <v>213</v>
      </c>
      <c r="D15" s="58" t="s">
        <v>214</v>
      </c>
      <c r="F15" s="98"/>
    </row>
    <row r="16" spans="1:6" x14ac:dyDescent="0.2">
      <c r="B16" s="57"/>
      <c r="C16" s="57"/>
      <c r="D16" s="57"/>
    </row>
    <row r="17" spans="1:7" x14ac:dyDescent="0.2">
      <c r="B17" s="55" t="s">
        <v>33</v>
      </c>
      <c r="C17" s="56" t="s">
        <v>5</v>
      </c>
      <c r="D17" s="56" t="s">
        <v>19</v>
      </c>
    </row>
    <row r="18" spans="1:7" ht="36" customHeight="1" x14ac:dyDescent="0.2">
      <c r="B18" s="95"/>
      <c r="C18" s="95"/>
      <c r="D18" s="96"/>
    </row>
    <row r="19" spans="1:7" ht="36" customHeight="1" x14ac:dyDescent="0.2">
      <c r="B19" s="95"/>
      <c r="C19" s="95"/>
      <c r="D19" s="96"/>
    </row>
    <row r="20" spans="1:7" ht="36" customHeight="1" x14ac:dyDescent="0.2">
      <c r="B20" s="95"/>
      <c r="C20" s="95"/>
      <c r="D20" s="96"/>
    </row>
    <row r="21" spans="1:7" ht="36" customHeight="1" x14ac:dyDescent="0.2">
      <c r="B21" s="95"/>
      <c r="C21" s="95"/>
      <c r="D21" s="96"/>
      <c r="G21" s="1" t="s">
        <v>198</v>
      </c>
    </row>
    <row r="22" spans="1:7" ht="36" customHeight="1" x14ac:dyDescent="0.2">
      <c r="B22" s="95"/>
      <c r="C22" s="95"/>
      <c r="D22" s="96"/>
      <c r="G22" s="1" t="s">
        <v>199</v>
      </c>
    </row>
    <row r="23" spans="1:7" ht="36" customHeight="1" x14ac:dyDescent="0.2">
      <c r="B23" s="95"/>
      <c r="C23" s="95"/>
      <c r="D23" s="96"/>
      <c r="G23" s="1" t="s">
        <v>200</v>
      </c>
    </row>
    <row r="24" spans="1:7" ht="36" customHeight="1" x14ac:dyDescent="0.2">
      <c r="B24" s="95"/>
      <c r="C24" s="95"/>
      <c r="D24" s="96"/>
      <c r="G24" s="1" t="s">
        <v>201</v>
      </c>
    </row>
    <row r="26" spans="1:7" x14ac:dyDescent="0.2">
      <c r="A26" s="1" t="s">
        <v>45</v>
      </c>
    </row>
    <row r="27" spans="1:7" x14ac:dyDescent="0.2">
      <c r="A27" s="59" t="s">
        <v>44</v>
      </c>
      <c r="B27" s="490" t="s">
        <v>43</v>
      </c>
      <c r="C27" s="490"/>
      <c r="D27" s="490"/>
      <c r="E27" s="490"/>
    </row>
    <row r="28" spans="1:7" x14ac:dyDescent="0.2">
      <c r="A28" s="60"/>
      <c r="B28" s="490"/>
      <c r="C28" s="490"/>
      <c r="D28" s="490"/>
      <c r="E28" s="490"/>
    </row>
    <row r="29" spans="1:7" x14ac:dyDescent="0.2">
      <c r="A29" s="59" t="s">
        <v>46</v>
      </c>
      <c r="B29" s="490" t="s">
        <v>47</v>
      </c>
      <c r="C29" s="490"/>
      <c r="D29" s="490"/>
      <c r="E29" s="490"/>
    </row>
    <row r="30" spans="1:7" x14ac:dyDescent="0.2">
      <c r="A30" s="59"/>
      <c r="B30" s="490"/>
      <c r="C30" s="490"/>
      <c r="D30" s="490"/>
      <c r="E30" s="490"/>
    </row>
    <row r="31" spans="1:7" x14ac:dyDescent="0.2">
      <c r="A31" s="59"/>
      <c r="B31" s="490"/>
      <c r="C31" s="490"/>
      <c r="D31" s="490"/>
      <c r="E31" s="490"/>
    </row>
    <row r="32" spans="1:7" x14ac:dyDescent="0.2">
      <c r="A32" s="60"/>
      <c r="B32" s="490"/>
      <c r="C32" s="490"/>
      <c r="D32" s="490"/>
      <c r="E32" s="490"/>
    </row>
  </sheetData>
  <mergeCells count="5">
    <mergeCell ref="A5:E5"/>
    <mergeCell ref="D7:E7"/>
    <mergeCell ref="D8:E8"/>
    <mergeCell ref="B27:E28"/>
    <mergeCell ref="B29:E32"/>
  </mergeCells>
  <phoneticPr fontId="1"/>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5"/>
  <sheetViews>
    <sheetView view="pageBreakPreview" zoomScaleNormal="100" zoomScaleSheetLayoutView="100" workbookViewId="0">
      <selection activeCell="A4" sqref="A4"/>
    </sheetView>
  </sheetViews>
  <sheetFormatPr defaultColWidth="3.109375" defaultRowHeight="18" customHeight="1" x14ac:dyDescent="0.2"/>
  <cols>
    <col min="1" max="23" width="3.109375" style="61"/>
    <col min="24" max="24" width="3.109375" style="61" customWidth="1"/>
    <col min="25" max="26" width="3.109375" style="61"/>
    <col min="27" max="27" width="3.109375" style="62"/>
    <col min="28" max="16384" width="3.109375" style="61"/>
  </cols>
  <sheetData>
    <row r="1" spans="1:27" ht="18" customHeight="1" x14ac:dyDescent="0.2">
      <c r="A1" s="61" t="s">
        <v>145</v>
      </c>
    </row>
    <row r="2" spans="1:27" ht="18" customHeight="1" x14ac:dyDescent="0.2">
      <c r="A2" s="492" t="s">
        <v>412</v>
      </c>
      <c r="B2" s="492"/>
      <c r="C2" s="492"/>
      <c r="D2" s="492"/>
      <c r="E2" s="492"/>
      <c r="F2" s="492"/>
      <c r="G2" s="492"/>
      <c r="H2" s="492"/>
      <c r="I2" s="492"/>
      <c r="J2" s="492"/>
      <c r="K2" s="492"/>
      <c r="L2" s="492"/>
      <c r="M2" s="492"/>
      <c r="N2" s="492"/>
      <c r="O2" s="492"/>
      <c r="P2" s="492"/>
      <c r="Q2" s="492"/>
      <c r="R2" s="492"/>
      <c r="S2" s="492"/>
      <c r="T2" s="492"/>
      <c r="U2" s="492"/>
      <c r="V2" s="492"/>
      <c r="W2" s="492"/>
      <c r="X2" s="492"/>
      <c r="Y2" s="492"/>
      <c r="Z2" s="492"/>
    </row>
    <row r="4" spans="1:27" ht="18" customHeight="1" x14ac:dyDescent="0.2">
      <c r="A4" s="105"/>
      <c r="B4" s="105"/>
      <c r="C4" s="105"/>
      <c r="D4" s="105"/>
      <c r="E4" s="105"/>
      <c r="F4" s="105"/>
      <c r="G4" s="105"/>
      <c r="H4" s="105"/>
      <c r="I4" s="105"/>
      <c r="J4" s="105"/>
      <c r="K4" s="105"/>
      <c r="L4" s="105"/>
      <c r="M4" s="105"/>
      <c r="N4" s="105"/>
      <c r="O4" s="106" t="s">
        <v>216</v>
      </c>
      <c r="P4" s="106"/>
      <c r="Q4" s="493" t="str">
        <f>IF('【様式第2号】事業計画書兼チェックシート（新築）'!E13="","",'【様式第2号】事業計画書兼チェックシート（新築）'!E13)</f>
        <v/>
      </c>
      <c r="R4" s="493"/>
      <c r="S4" s="105" t="s">
        <v>7</v>
      </c>
      <c r="T4" s="493" t="str">
        <f>IF('【様式第2号】事業計画書兼チェックシート（新築）'!H13="","",'【様式第2号】事業計画書兼チェックシート（新築）'!H13)</f>
        <v/>
      </c>
      <c r="U4" s="493"/>
      <c r="V4" s="105" t="s">
        <v>215</v>
      </c>
      <c r="W4" s="493" t="str">
        <f>IF('【様式第2号】事業計画書兼チェックシート（新築）'!K13="","",'【様式第2号】事業計画書兼チェックシート（新築）'!K13)</f>
        <v/>
      </c>
      <c r="X4" s="493"/>
      <c r="Y4" s="105" t="s">
        <v>6</v>
      </c>
      <c r="Z4" s="105"/>
      <c r="AA4" s="62" t="s">
        <v>217</v>
      </c>
    </row>
    <row r="5" spans="1:27" ht="18" hidden="1" customHeight="1" x14ac:dyDescent="0.2">
      <c r="A5" s="63"/>
      <c r="B5" s="63"/>
      <c r="C5" s="63"/>
      <c r="D5" s="63"/>
      <c r="E5" s="63"/>
      <c r="F5" s="63"/>
      <c r="G5" s="63"/>
      <c r="H5" s="63"/>
      <c r="I5" s="63"/>
      <c r="J5" s="63"/>
      <c r="K5" s="63"/>
      <c r="L5" s="63"/>
      <c r="M5" s="63"/>
      <c r="N5" s="63"/>
      <c r="O5" s="63"/>
      <c r="P5" s="63"/>
      <c r="Q5" s="63"/>
      <c r="R5" s="63"/>
      <c r="S5" s="63"/>
      <c r="T5" s="63"/>
      <c r="U5" s="63"/>
      <c r="V5" s="63"/>
      <c r="W5" s="63"/>
      <c r="X5" s="63"/>
      <c r="Y5" s="63"/>
      <c r="Z5" s="63"/>
    </row>
    <row r="6" spans="1:27" ht="18" customHeight="1" x14ac:dyDescent="0.2">
      <c r="B6" s="61" t="str">
        <f>IF('[1]【様式第２号】事業計画書兼チェックシート（新築）'!BG29="","鳥取県　　　　　所長　様",'[1]【様式第２号】事業計画書兼チェックシート（新築）'!BG29&amp;"　様")</f>
        <v>鳥取県　　　　　所長　様</v>
      </c>
    </row>
    <row r="8" spans="1:27" ht="13.2" x14ac:dyDescent="0.2">
      <c r="M8" s="61" t="s">
        <v>11</v>
      </c>
    </row>
    <row r="9" spans="1:27" ht="13.2" x14ac:dyDescent="0.2">
      <c r="M9" s="61" t="s">
        <v>10</v>
      </c>
      <c r="O9" s="61" t="s">
        <v>9</v>
      </c>
      <c r="P9" s="494" t="str">
        <f>IF('【様式第2号】事業計画書兼チェックシート（新築）'!O15="","",'【様式第2号】事業計画書兼チェックシート（新築）'!O15)</f>
        <v/>
      </c>
      <c r="Q9" s="494"/>
      <c r="R9" s="494"/>
      <c r="S9" s="494"/>
      <c r="T9" s="494"/>
      <c r="U9" s="494"/>
      <c r="V9" s="494"/>
      <c r="W9" s="494"/>
      <c r="X9" s="494"/>
    </row>
    <row r="10" spans="1:27" ht="50.25" customHeight="1" x14ac:dyDescent="0.2">
      <c r="O10" s="501" t="str">
        <f>IF('【様式第2号】事業計画書兼チェックシート（新築）'!N16="","",'【様式第2号】事業計画書兼チェックシート（新築）'!N16)</f>
        <v/>
      </c>
      <c r="P10" s="501"/>
      <c r="Q10" s="501"/>
      <c r="R10" s="501"/>
      <c r="S10" s="501"/>
      <c r="T10" s="501"/>
      <c r="U10" s="501"/>
      <c r="V10" s="501"/>
      <c r="W10" s="501"/>
      <c r="X10" s="501"/>
    </row>
    <row r="11" spans="1:27" ht="18" customHeight="1" x14ac:dyDescent="0.2">
      <c r="A11" s="82"/>
      <c r="B11" s="82"/>
      <c r="C11" s="82"/>
      <c r="D11" s="82"/>
      <c r="E11" s="82"/>
      <c r="F11" s="82"/>
      <c r="G11" s="82"/>
      <c r="H11" s="82"/>
      <c r="I11" s="82"/>
      <c r="J11" s="308" t="s">
        <v>454</v>
      </c>
      <c r="K11" s="82"/>
      <c r="L11" s="82"/>
      <c r="M11" s="82"/>
      <c r="N11" s="82"/>
      <c r="O11" s="495" t="str">
        <f>IF('【様式第2号】事業計画書兼チェックシート（新築）'!N17="","",'【様式第2号】事業計画書兼チェックシート（新築）'!N17)</f>
        <v/>
      </c>
      <c r="P11" s="495"/>
      <c r="Q11" s="495"/>
      <c r="R11" s="495"/>
      <c r="S11" s="495"/>
      <c r="T11" s="495"/>
      <c r="U11" s="495"/>
      <c r="V11" s="495"/>
      <c r="W11" s="495"/>
      <c r="X11" s="495"/>
      <c r="Y11" s="495"/>
      <c r="Z11" s="495"/>
    </row>
    <row r="12" spans="1:27" ht="18" customHeight="1" x14ac:dyDescent="0.2">
      <c r="A12" s="82"/>
      <c r="B12" s="82"/>
      <c r="C12" s="82"/>
      <c r="D12" s="82"/>
      <c r="E12" s="82"/>
      <c r="F12" s="82"/>
      <c r="G12" s="82"/>
      <c r="H12" s="82"/>
      <c r="I12" s="82"/>
      <c r="J12" s="82" t="s">
        <v>413</v>
      </c>
      <c r="K12" s="82"/>
      <c r="L12" s="82"/>
      <c r="M12" s="82"/>
      <c r="N12" s="82"/>
      <c r="O12" s="495" t="str">
        <f>IF('【様式第2号】事業計画書兼チェックシート（新築）'!N18="","",'【様式第2号】事業計画書兼チェックシート（新築）'!N18)</f>
        <v/>
      </c>
      <c r="P12" s="495"/>
      <c r="Q12" s="495"/>
      <c r="R12" s="495"/>
      <c r="S12" s="495"/>
      <c r="T12" s="495"/>
      <c r="U12" s="495"/>
      <c r="V12" s="495"/>
      <c r="W12" s="495"/>
      <c r="X12" s="495"/>
      <c r="Y12" s="82"/>
      <c r="Z12" s="82"/>
      <c r="AA12" s="62" t="s">
        <v>67</v>
      </c>
    </row>
    <row r="13" spans="1:27" ht="18" customHeight="1" x14ac:dyDescent="0.2">
      <c r="J13" s="494" t="s">
        <v>8</v>
      </c>
      <c r="K13" s="494"/>
      <c r="L13" s="494"/>
      <c r="M13" s="494"/>
      <c r="O13" s="495" t="str">
        <f>IF('【様式第2号】事業計画書兼チェックシート（新築）'!N19="","",'【様式第2号】事業計画書兼チェックシート（新築）'!N19)</f>
        <v/>
      </c>
      <c r="P13" s="495"/>
      <c r="Q13" s="495"/>
      <c r="R13" s="495"/>
      <c r="S13" s="495"/>
      <c r="T13" s="495"/>
      <c r="U13" s="495"/>
      <c r="V13" s="495"/>
      <c r="W13" s="495"/>
      <c r="X13" s="495"/>
    </row>
    <row r="14" spans="1:27" ht="18" hidden="1" customHeight="1" x14ac:dyDescent="0.2"/>
    <row r="16" spans="1:27" ht="13.2" x14ac:dyDescent="0.2"/>
    <row r="17" spans="1:27" ht="30.75" customHeight="1" x14ac:dyDescent="0.2">
      <c r="A17" s="496" t="s">
        <v>456</v>
      </c>
      <c r="B17" s="496"/>
      <c r="C17" s="496"/>
      <c r="D17" s="496"/>
      <c r="E17" s="496"/>
      <c r="F17" s="496"/>
      <c r="G17" s="496"/>
      <c r="H17" s="496"/>
      <c r="I17" s="496"/>
      <c r="J17" s="496"/>
      <c r="K17" s="496"/>
      <c r="L17" s="496"/>
      <c r="M17" s="496"/>
      <c r="N17" s="496"/>
      <c r="O17" s="496"/>
      <c r="P17" s="496"/>
      <c r="Q17" s="496"/>
      <c r="R17" s="496"/>
      <c r="S17" s="496"/>
      <c r="T17" s="496"/>
      <c r="U17" s="496"/>
      <c r="V17" s="496"/>
      <c r="W17" s="496"/>
      <c r="X17" s="496"/>
      <c r="Y17" s="496"/>
      <c r="Z17" s="496"/>
    </row>
    <row r="19" spans="1:27" ht="18" customHeight="1" x14ac:dyDescent="0.2">
      <c r="A19" s="497" t="s">
        <v>12</v>
      </c>
      <c r="B19" s="497"/>
      <c r="C19" s="497"/>
      <c r="D19" s="497"/>
      <c r="E19" s="497"/>
      <c r="F19" s="497"/>
      <c r="G19" s="497"/>
      <c r="H19" s="497"/>
      <c r="I19" s="497"/>
      <c r="J19" s="497"/>
      <c r="K19" s="497"/>
      <c r="L19" s="497"/>
      <c r="M19" s="497"/>
      <c r="N19" s="497"/>
      <c r="O19" s="497"/>
      <c r="P19" s="497"/>
      <c r="Q19" s="497"/>
      <c r="R19" s="497"/>
      <c r="S19" s="497"/>
      <c r="T19" s="497"/>
      <c r="U19" s="497"/>
      <c r="V19" s="497"/>
      <c r="W19" s="497"/>
      <c r="X19" s="497"/>
      <c r="Y19" s="497"/>
      <c r="Z19" s="497"/>
    </row>
    <row r="20" spans="1:27" ht="18" hidden="1" customHeight="1" x14ac:dyDescent="0.2"/>
    <row r="21" spans="1:27" ht="18" customHeight="1" x14ac:dyDescent="0.2">
      <c r="B21" s="64" t="s">
        <v>13</v>
      </c>
      <c r="C21" s="65"/>
      <c r="D21" s="65"/>
      <c r="E21" s="65"/>
      <c r="F21" s="65"/>
      <c r="G21" s="66"/>
      <c r="H21" s="498" t="s">
        <v>14</v>
      </c>
      <c r="I21" s="499"/>
      <c r="J21" s="499"/>
      <c r="K21" s="499"/>
      <c r="L21" s="499"/>
      <c r="M21" s="499"/>
      <c r="N21" s="499"/>
      <c r="O21" s="499"/>
      <c r="P21" s="499"/>
      <c r="Q21" s="499"/>
      <c r="R21" s="499"/>
      <c r="S21" s="499"/>
      <c r="T21" s="499"/>
      <c r="U21" s="499"/>
      <c r="V21" s="499"/>
      <c r="W21" s="499"/>
      <c r="X21" s="499"/>
      <c r="Y21" s="500"/>
    </row>
    <row r="22" spans="1:27" ht="18" customHeight="1" x14ac:dyDescent="0.2">
      <c r="B22" s="64" t="s">
        <v>15</v>
      </c>
      <c r="C22" s="65"/>
      <c r="D22" s="65"/>
      <c r="E22" s="65"/>
      <c r="F22" s="65"/>
      <c r="G22" s="66"/>
      <c r="H22" s="67"/>
      <c r="I22" s="68"/>
      <c r="J22" s="68"/>
      <c r="K22" s="68"/>
      <c r="L22" s="298" t="s">
        <v>20</v>
      </c>
      <c r="M22" s="491">
        <f>IF('【様式第2号】事業計画書兼チェックシート（新築）'!T230="","",'【様式第2号】事業計画書兼チェックシート（新築）'!AB226*10000)</f>
        <v>0</v>
      </c>
      <c r="N22" s="491"/>
      <c r="O22" s="491"/>
      <c r="P22" s="491"/>
      <c r="Q22" s="491"/>
      <c r="R22" s="491"/>
      <c r="S22" s="68" t="s">
        <v>16</v>
      </c>
      <c r="T22" s="68"/>
      <c r="U22" s="68"/>
      <c r="V22" s="68"/>
      <c r="W22" s="68"/>
      <c r="X22" s="68"/>
      <c r="Y22" s="69"/>
      <c r="AA22" s="62" t="s">
        <v>68</v>
      </c>
    </row>
    <row r="23" spans="1:27" ht="18" customHeight="1" x14ac:dyDescent="0.2">
      <c r="B23" s="64" t="s">
        <v>17</v>
      </c>
      <c r="C23" s="65"/>
      <c r="D23" s="65"/>
      <c r="E23" s="65"/>
      <c r="F23" s="65"/>
      <c r="G23" s="66"/>
      <c r="H23" s="70"/>
      <c r="I23" s="71"/>
      <c r="J23" s="71"/>
      <c r="K23" s="71"/>
      <c r="L23" s="72" t="s">
        <v>20</v>
      </c>
      <c r="M23" s="491">
        <f>IF('【様式第2号】事業計画書兼チェックシート（新築）'!T230="","",'【様式第2号】事業計画書兼チェックシート（新築）'!T230*10000)</f>
        <v>0</v>
      </c>
      <c r="N23" s="491"/>
      <c r="O23" s="491"/>
      <c r="P23" s="491"/>
      <c r="Q23" s="491"/>
      <c r="R23" s="491"/>
      <c r="S23" s="68" t="s">
        <v>16</v>
      </c>
      <c r="T23" s="71"/>
      <c r="U23" s="71"/>
      <c r="V23" s="71"/>
      <c r="W23" s="71"/>
      <c r="X23" s="71"/>
      <c r="Y23" s="73"/>
      <c r="AA23" s="62" t="s">
        <v>68</v>
      </c>
    </row>
    <row r="24" spans="1:27" ht="18" customHeight="1" x14ac:dyDescent="0.2">
      <c r="B24" s="74" t="s">
        <v>18</v>
      </c>
      <c r="C24" s="75"/>
      <c r="D24" s="75"/>
      <c r="E24" s="75"/>
      <c r="F24" s="75"/>
      <c r="G24" s="76"/>
      <c r="H24" s="77"/>
      <c r="I24" s="78"/>
      <c r="J24" s="75"/>
      <c r="K24" s="75"/>
      <c r="L24" s="75"/>
      <c r="M24" s="75"/>
      <c r="N24" s="75"/>
      <c r="O24" s="75"/>
      <c r="P24" s="75"/>
      <c r="Q24" s="75"/>
      <c r="R24" s="75"/>
      <c r="S24" s="75"/>
      <c r="T24" s="75"/>
      <c r="U24" s="75"/>
      <c r="V24" s="75"/>
      <c r="W24" s="75"/>
      <c r="X24" s="75"/>
      <c r="Y24" s="76"/>
    </row>
    <row r="25" spans="1:27" ht="18" customHeight="1" x14ac:dyDescent="0.2">
      <c r="B25" s="79"/>
      <c r="G25" s="80"/>
      <c r="H25" s="81" t="s">
        <v>414</v>
      </c>
      <c r="I25" s="82"/>
      <c r="Y25" s="80"/>
      <c r="AA25" s="62" t="s">
        <v>69</v>
      </c>
    </row>
    <row r="26" spans="1:27" ht="18" hidden="1" customHeight="1" x14ac:dyDescent="0.2">
      <c r="B26" s="79"/>
      <c r="G26" s="80"/>
      <c r="H26" s="81" t="str">
        <f>IF('[1]【様式第２号】事業計画書兼チェックシート（新築）'!I77="有","・他に利用する補助金一覧表（様式第６号別紙）","")</f>
        <v/>
      </c>
      <c r="I26" s="82"/>
      <c r="Y26" s="80"/>
    </row>
    <row r="27" spans="1:27" ht="18" customHeight="1" x14ac:dyDescent="0.2">
      <c r="B27" s="79"/>
      <c r="G27" s="80"/>
      <c r="H27" s="81" t="str">
        <f>IF('【様式第2号】事業計画書兼チェックシート（新築）'!C241="","","・"&amp;'【様式第2号】事業計画書兼チェックシート（新築）'!C241)</f>
        <v>・各階平面図、配置図</v>
      </c>
      <c r="I27" s="82"/>
      <c r="Y27" s="80"/>
    </row>
    <row r="28" spans="1:27" ht="18" customHeight="1" x14ac:dyDescent="0.2">
      <c r="B28" s="79"/>
      <c r="G28" s="80"/>
      <c r="H28" s="81"/>
      <c r="I28" s="82"/>
      <c r="Y28" s="80"/>
    </row>
    <row r="29" spans="1:27" ht="18" customHeight="1" x14ac:dyDescent="0.2">
      <c r="B29" s="79"/>
      <c r="G29" s="80"/>
      <c r="H29" s="81"/>
      <c r="I29" s="82"/>
      <c r="Y29" s="80"/>
    </row>
    <row r="30" spans="1:27" ht="18" customHeight="1" x14ac:dyDescent="0.2">
      <c r="B30" s="79"/>
      <c r="G30" s="80"/>
      <c r="H30" s="81"/>
      <c r="I30" s="82"/>
      <c r="Y30" s="80"/>
    </row>
    <row r="31" spans="1:27" ht="18" customHeight="1" x14ac:dyDescent="0.2">
      <c r="B31" s="79"/>
      <c r="G31" s="80"/>
      <c r="H31" s="81"/>
      <c r="I31" s="82"/>
      <c r="Y31" s="80"/>
    </row>
    <row r="32" spans="1:27" ht="13.2" x14ac:dyDescent="0.2">
      <c r="B32" s="83"/>
      <c r="C32" s="84"/>
      <c r="D32" s="84"/>
      <c r="E32" s="84"/>
      <c r="F32" s="84"/>
      <c r="G32" s="85"/>
      <c r="H32" s="86"/>
      <c r="I32" s="87"/>
      <c r="J32" s="84"/>
      <c r="K32" s="84"/>
      <c r="L32" s="84"/>
      <c r="M32" s="84"/>
      <c r="N32" s="84"/>
      <c r="O32" s="84"/>
      <c r="P32" s="84"/>
      <c r="Q32" s="84"/>
      <c r="R32" s="84"/>
      <c r="S32" s="84"/>
      <c r="T32" s="84"/>
      <c r="U32" s="84"/>
      <c r="V32" s="84"/>
      <c r="W32" s="84"/>
      <c r="X32" s="84"/>
      <c r="Y32" s="85"/>
    </row>
    <row r="33" spans="27:35" ht="11.25" customHeight="1" x14ac:dyDescent="0.2"/>
    <row r="34" spans="27:35" ht="11.25" customHeight="1" x14ac:dyDescent="0.2"/>
    <row r="35" spans="27:35" s="54" customFormat="1" ht="18" customHeight="1" x14ac:dyDescent="0.2">
      <c r="AA35" s="91"/>
      <c r="AB35" s="91"/>
      <c r="AC35" s="91"/>
      <c r="AD35" s="91"/>
      <c r="AE35" s="91"/>
      <c r="AF35" s="91"/>
      <c r="AG35" s="91"/>
      <c r="AH35" s="91"/>
      <c r="AI35" s="91"/>
    </row>
  </sheetData>
  <sheetProtection algorithmName="SHA-512" hashValue="dz/znOncQ9nRf8USziF+6WqNRl1RXpOMUQNMdJkqJqrQNkSDzzjD1gMPxEYuY2kReWfloq1tpcJkdkfVX9KT6w==" saltValue="qXT7D9AWYUbyattcOjenHQ==" spinCount="100000" sheet="1" selectLockedCells="1"/>
  <mergeCells count="15">
    <mergeCell ref="M23:R23"/>
    <mergeCell ref="A2:Z2"/>
    <mergeCell ref="Q4:R4"/>
    <mergeCell ref="T4:U4"/>
    <mergeCell ref="W4:X4"/>
    <mergeCell ref="P9:X9"/>
    <mergeCell ref="M22:R22"/>
    <mergeCell ref="O11:Z11"/>
    <mergeCell ref="O12:X12"/>
    <mergeCell ref="O13:X13"/>
    <mergeCell ref="A17:Z17"/>
    <mergeCell ref="A19:Z19"/>
    <mergeCell ref="H21:Y21"/>
    <mergeCell ref="O10:X10"/>
    <mergeCell ref="J13:M13"/>
  </mergeCells>
  <phoneticPr fontId="1"/>
  <conditionalFormatting sqref="A4:O4 S4:T4 V4:W4 Y4:Z4">
    <cfRule type="cellIs" dxfId="4" priority="1" operator="equal">
      <formula>"令和　年　月　日"</formula>
    </cfRule>
  </conditionalFormatting>
  <pageMargins left="0.98425196850393704" right="0.98425196850393704" top="0.78740157480314965" bottom="0.59055118110236227" header="0.31496062992125984" footer="0.31496062992125984"/>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1"/>
  <sheetViews>
    <sheetView view="pageBreakPreview" topLeftCell="A4" zoomScaleNormal="100" zoomScaleSheetLayoutView="100" workbookViewId="0">
      <selection activeCell="J37" sqref="J37"/>
    </sheetView>
  </sheetViews>
  <sheetFormatPr defaultColWidth="3.109375" defaultRowHeight="18" customHeight="1" x14ac:dyDescent="0.2"/>
  <cols>
    <col min="1" max="26" width="3.109375" style="61"/>
    <col min="27" max="27" width="3.109375" style="62"/>
    <col min="28" max="16384" width="3.109375" style="61"/>
  </cols>
  <sheetData>
    <row r="1" spans="1:27" ht="18" customHeight="1" x14ac:dyDescent="0.2">
      <c r="A1" s="61" t="s">
        <v>145</v>
      </c>
    </row>
    <row r="2" spans="1:27" ht="18" customHeight="1" x14ac:dyDescent="0.2">
      <c r="A2" s="497" t="s">
        <v>417</v>
      </c>
      <c r="B2" s="497"/>
      <c r="C2" s="497"/>
      <c r="D2" s="497"/>
      <c r="E2" s="497"/>
      <c r="F2" s="497"/>
      <c r="G2" s="497"/>
      <c r="H2" s="497"/>
      <c r="I2" s="497"/>
      <c r="J2" s="497"/>
      <c r="K2" s="497"/>
      <c r="L2" s="497"/>
      <c r="M2" s="497"/>
      <c r="N2" s="497"/>
      <c r="O2" s="497"/>
      <c r="P2" s="497"/>
      <c r="Q2" s="497"/>
      <c r="R2" s="497"/>
      <c r="S2" s="497"/>
      <c r="T2" s="497"/>
      <c r="U2" s="497"/>
      <c r="V2" s="497"/>
      <c r="W2" s="497"/>
      <c r="X2" s="497"/>
      <c r="Y2" s="497"/>
      <c r="Z2" s="497"/>
    </row>
    <row r="3" spans="1:27" ht="18" customHeight="1" x14ac:dyDescent="0.2">
      <c r="A3" s="303"/>
      <c r="B3" s="303"/>
      <c r="C3" s="303"/>
      <c r="D3" s="303"/>
      <c r="E3" s="303"/>
      <c r="F3" s="303"/>
      <c r="G3" s="303"/>
      <c r="H3" s="303"/>
      <c r="I3" s="303"/>
      <c r="J3" s="303"/>
      <c r="K3" s="303"/>
      <c r="L3" s="303"/>
      <c r="M3" s="303"/>
      <c r="N3" s="303"/>
      <c r="O3" s="303"/>
      <c r="P3" s="303"/>
      <c r="Q3" s="303"/>
      <c r="R3" s="303"/>
      <c r="S3" s="303"/>
      <c r="T3" s="303"/>
      <c r="U3" s="303"/>
      <c r="V3" s="303"/>
      <c r="W3" s="303"/>
      <c r="X3" s="303"/>
      <c r="Y3" s="303"/>
      <c r="Z3" s="303"/>
    </row>
    <row r="4" spans="1:27" ht="18" customHeight="1" x14ac:dyDescent="0.2">
      <c r="A4" s="105"/>
      <c r="B4" s="105"/>
      <c r="C4" s="105"/>
      <c r="D4" s="105"/>
      <c r="E4" s="105"/>
      <c r="F4" s="105"/>
      <c r="G4" s="105"/>
      <c r="H4" s="105"/>
      <c r="I4" s="105"/>
      <c r="J4" s="105"/>
      <c r="K4" s="105"/>
      <c r="L4" s="105"/>
      <c r="M4" s="105"/>
      <c r="N4" s="105"/>
      <c r="O4" s="106" t="s">
        <v>216</v>
      </c>
      <c r="P4" s="106"/>
      <c r="Q4" s="493" t="str">
        <f>IF('【様式第2号】事業計画書兼チェックシート（新築）'!E13="","",'【様式第2号】事業計画書兼チェックシート（新築）'!E13)</f>
        <v/>
      </c>
      <c r="R4" s="493"/>
      <c r="S4" s="105" t="s">
        <v>7</v>
      </c>
      <c r="T4" s="493" t="str">
        <f>IF('【様式第2号】事業計画書兼チェックシート（新築）'!H13="","",'【様式第2号】事業計画書兼チェックシート（新築）'!H13)</f>
        <v/>
      </c>
      <c r="U4" s="493"/>
      <c r="V4" s="105" t="s">
        <v>215</v>
      </c>
      <c r="W4" s="493" t="str">
        <f>IF('【様式第2号】事業計画書兼チェックシート（新築）'!K13="","",'【様式第2号】事業計画書兼チェックシート（新築）'!K13)</f>
        <v/>
      </c>
      <c r="X4" s="493"/>
      <c r="Y4" s="105" t="s">
        <v>6</v>
      </c>
      <c r="Z4" s="105"/>
      <c r="AA4" s="62" t="s">
        <v>217</v>
      </c>
    </row>
    <row r="5" spans="1:27" ht="18" hidden="1" customHeight="1" x14ac:dyDescent="0.2"/>
    <row r="6" spans="1:27" ht="18" customHeight="1" x14ac:dyDescent="0.2">
      <c r="B6" s="61" t="str">
        <f>IF('[1]【様式第２号】事業計画書兼チェックシート（新築）'!BG29="","鳥取県　　　　　所長　様",'[1]【様式第２号】事業計画書兼チェックシート（新築）'!BG29&amp;"　様")</f>
        <v>鳥取県　　　　　所長　様</v>
      </c>
    </row>
    <row r="8" spans="1:27" ht="13.2" x14ac:dyDescent="0.2">
      <c r="M8" s="61" t="s">
        <v>11</v>
      </c>
    </row>
    <row r="9" spans="1:27" ht="13.2" x14ac:dyDescent="0.2">
      <c r="M9" s="61" t="s">
        <v>10</v>
      </c>
      <c r="O9" s="61" t="s">
        <v>9</v>
      </c>
      <c r="P9" s="494" t="str">
        <f>IF('【様式第2号】事業計画書兼チェックシート（新築）'!O15="","",'【様式第2号】事業計画書兼チェックシート（新築）'!O15)</f>
        <v/>
      </c>
      <c r="Q9" s="494"/>
      <c r="R9" s="494"/>
      <c r="S9" s="494"/>
      <c r="T9" s="494"/>
      <c r="U9" s="494"/>
      <c r="V9" s="494"/>
      <c r="W9" s="494"/>
      <c r="X9" s="494"/>
    </row>
    <row r="10" spans="1:27" ht="50.25" customHeight="1" x14ac:dyDescent="0.2">
      <c r="O10" s="501" t="str">
        <f>IF('【様式第2号】事業計画書兼チェックシート（新築）'!N16="","",'【様式第2号】事業計画書兼チェックシート（新築）'!N16)</f>
        <v/>
      </c>
      <c r="P10" s="501"/>
      <c r="Q10" s="501"/>
      <c r="R10" s="501"/>
      <c r="S10" s="501"/>
      <c r="T10" s="501"/>
      <c r="U10" s="501"/>
      <c r="V10" s="501"/>
      <c r="W10" s="501"/>
      <c r="X10" s="501"/>
    </row>
    <row r="11" spans="1:27" ht="18" customHeight="1" x14ac:dyDescent="0.2">
      <c r="A11" s="82"/>
      <c r="B11" s="82"/>
      <c r="C11" s="82"/>
      <c r="D11" s="82"/>
      <c r="E11" s="82"/>
      <c r="F11" s="82"/>
      <c r="G11" s="82"/>
      <c r="H11" s="82"/>
      <c r="I11" s="82"/>
      <c r="J11" s="308" t="s">
        <v>454</v>
      </c>
      <c r="K11" s="82"/>
      <c r="L11" s="82"/>
      <c r="M11" s="82"/>
      <c r="N11" s="82"/>
      <c r="O11" s="495" t="str">
        <f>IF('【様式第2号】事業計画書兼チェックシート（新築）'!N17="","",'【様式第2号】事業計画書兼チェックシート（新築）'!N17)</f>
        <v/>
      </c>
      <c r="P11" s="495"/>
      <c r="Q11" s="495"/>
      <c r="R11" s="495"/>
      <c r="S11" s="495"/>
      <c r="T11" s="495"/>
      <c r="U11" s="495"/>
      <c r="V11" s="495"/>
      <c r="W11" s="495"/>
      <c r="X11" s="495"/>
      <c r="Y11" s="495"/>
      <c r="Z11" s="495"/>
    </row>
    <row r="12" spans="1:27" ht="18" customHeight="1" x14ac:dyDescent="0.2">
      <c r="A12" s="82"/>
      <c r="B12" s="82"/>
      <c r="C12" s="82"/>
      <c r="D12" s="82"/>
      <c r="E12" s="82"/>
      <c r="F12" s="82"/>
      <c r="G12" s="82"/>
      <c r="H12" s="82"/>
      <c r="I12" s="82"/>
      <c r="J12" s="82" t="s">
        <v>413</v>
      </c>
      <c r="K12" s="82"/>
      <c r="L12" s="82"/>
      <c r="M12" s="82"/>
      <c r="N12" s="82"/>
      <c r="O12" s="495" t="str">
        <f>IF('【様式第2号】事業計画書兼チェックシート（新築）'!N18="","",'【様式第2号】事業計画書兼チェックシート（新築）'!N18)</f>
        <v/>
      </c>
      <c r="P12" s="495"/>
      <c r="Q12" s="495"/>
      <c r="R12" s="495"/>
      <c r="S12" s="495"/>
      <c r="T12" s="495"/>
      <c r="U12" s="495"/>
      <c r="V12" s="495"/>
      <c r="W12" s="495"/>
      <c r="X12" s="495"/>
      <c r="Y12" s="82"/>
      <c r="Z12" s="82"/>
      <c r="AA12" s="62" t="s">
        <v>67</v>
      </c>
    </row>
    <row r="13" spans="1:27" ht="18" customHeight="1" x14ac:dyDescent="0.2">
      <c r="J13" s="494" t="s">
        <v>8</v>
      </c>
      <c r="K13" s="494"/>
      <c r="L13" s="494"/>
      <c r="M13" s="494"/>
      <c r="O13" s="495" t="str">
        <f>IF('【様式第2号】事業計画書兼チェックシート（新築）'!N19="","",'【様式第2号】事業計画書兼チェックシート（新築）'!N19)</f>
        <v/>
      </c>
      <c r="P13" s="495"/>
      <c r="Q13" s="495"/>
      <c r="R13" s="495"/>
      <c r="S13" s="495"/>
      <c r="T13" s="495"/>
      <c r="U13" s="495"/>
      <c r="V13" s="495"/>
      <c r="W13" s="495"/>
      <c r="X13" s="495"/>
    </row>
    <row r="14" spans="1:27" ht="18" hidden="1" customHeight="1" x14ac:dyDescent="0.2"/>
    <row r="16" spans="1:27" ht="13.2" x14ac:dyDescent="0.2"/>
    <row r="17" spans="1:27" ht="31.5" customHeight="1" x14ac:dyDescent="0.2">
      <c r="A17" s="496" t="s">
        <v>455</v>
      </c>
      <c r="B17" s="496"/>
      <c r="C17" s="496"/>
      <c r="D17" s="496"/>
      <c r="E17" s="496"/>
      <c r="F17" s="496"/>
      <c r="G17" s="496"/>
      <c r="H17" s="496"/>
      <c r="I17" s="496"/>
      <c r="J17" s="496"/>
      <c r="K17" s="496"/>
      <c r="L17" s="496"/>
      <c r="M17" s="496"/>
      <c r="N17" s="496"/>
      <c r="O17" s="496"/>
      <c r="P17" s="496"/>
      <c r="Q17" s="496"/>
      <c r="R17" s="496"/>
      <c r="S17" s="496"/>
      <c r="T17" s="496"/>
      <c r="U17" s="496"/>
      <c r="V17" s="496"/>
      <c r="W17" s="496"/>
      <c r="X17" s="496"/>
      <c r="Y17" s="496"/>
      <c r="Z17" s="496"/>
    </row>
    <row r="19" spans="1:27" ht="18" customHeight="1" x14ac:dyDescent="0.2">
      <c r="A19" s="497" t="s">
        <v>12</v>
      </c>
      <c r="B19" s="497"/>
      <c r="C19" s="497"/>
      <c r="D19" s="497"/>
      <c r="E19" s="497"/>
      <c r="F19" s="497"/>
      <c r="G19" s="497"/>
      <c r="H19" s="497"/>
      <c r="I19" s="497"/>
      <c r="J19" s="497"/>
      <c r="K19" s="497"/>
      <c r="L19" s="497"/>
      <c r="M19" s="497"/>
      <c r="N19" s="497"/>
      <c r="O19" s="497"/>
      <c r="P19" s="497"/>
      <c r="Q19" s="497"/>
      <c r="R19" s="497"/>
      <c r="S19" s="497"/>
      <c r="T19" s="497"/>
      <c r="U19" s="497"/>
      <c r="V19" s="497"/>
      <c r="W19" s="497"/>
      <c r="X19" s="497"/>
      <c r="Y19" s="497"/>
      <c r="Z19" s="497"/>
    </row>
    <row r="20" spans="1:27" ht="18" hidden="1" customHeight="1" x14ac:dyDescent="0.2"/>
    <row r="21" spans="1:27" ht="18" customHeight="1" x14ac:dyDescent="0.2">
      <c r="B21" s="64" t="s">
        <v>13</v>
      </c>
      <c r="C21" s="65"/>
      <c r="D21" s="65"/>
      <c r="E21" s="65"/>
      <c r="F21" s="65"/>
      <c r="G21" s="66"/>
      <c r="H21" s="498" t="s">
        <v>226</v>
      </c>
      <c r="I21" s="499"/>
      <c r="J21" s="499"/>
      <c r="K21" s="499"/>
      <c r="L21" s="499"/>
      <c r="M21" s="499"/>
      <c r="N21" s="499"/>
      <c r="O21" s="499"/>
      <c r="P21" s="499"/>
      <c r="Q21" s="499"/>
      <c r="R21" s="499"/>
      <c r="S21" s="499"/>
      <c r="T21" s="499"/>
      <c r="U21" s="499"/>
      <c r="V21" s="499"/>
      <c r="W21" s="499"/>
      <c r="X21" s="499"/>
      <c r="Y21" s="500"/>
    </row>
    <row r="22" spans="1:27" ht="18" customHeight="1" x14ac:dyDescent="0.2">
      <c r="B22" s="64" t="s">
        <v>15</v>
      </c>
      <c r="C22" s="65"/>
      <c r="D22" s="65"/>
      <c r="E22" s="65"/>
      <c r="F22" s="65"/>
      <c r="G22" s="66"/>
      <c r="H22" s="67"/>
      <c r="I22" s="68"/>
      <c r="J22" s="68"/>
      <c r="K22" s="68"/>
      <c r="L22" s="298" t="s">
        <v>20</v>
      </c>
      <c r="M22" s="491">
        <f>IF('【様式第2号】事業計画書兼チェックシート（新築）'!T231="","",'【様式第2号】事業計画書兼チェックシート（新築）'!T231*10000)</f>
        <v>0</v>
      </c>
      <c r="N22" s="491"/>
      <c r="O22" s="491"/>
      <c r="P22" s="491"/>
      <c r="Q22" s="491"/>
      <c r="R22" s="491"/>
      <c r="S22" s="68" t="s">
        <v>16</v>
      </c>
      <c r="T22" s="68"/>
      <c r="U22" s="68"/>
      <c r="V22" s="68"/>
      <c r="W22" s="68"/>
      <c r="X22" s="68"/>
      <c r="Y22" s="69"/>
      <c r="AA22" s="62" t="s">
        <v>68</v>
      </c>
    </row>
    <row r="23" spans="1:27" ht="18" customHeight="1" x14ac:dyDescent="0.2">
      <c r="B23" s="64" t="s">
        <v>17</v>
      </c>
      <c r="C23" s="65"/>
      <c r="D23" s="65"/>
      <c r="E23" s="65"/>
      <c r="F23" s="65"/>
      <c r="G23" s="66"/>
      <c r="H23" s="70"/>
      <c r="I23" s="71"/>
      <c r="J23" s="71"/>
      <c r="K23" s="71"/>
      <c r="L23" s="72" t="s">
        <v>20</v>
      </c>
      <c r="M23" s="491">
        <f>IF('【様式第2号】事業計画書兼チェックシート（新築）'!T231="","",'【様式第2号】事業計画書兼チェックシート（新築）'!T231*10000)</f>
        <v>0</v>
      </c>
      <c r="N23" s="491"/>
      <c r="O23" s="491"/>
      <c r="P23" s="491"/>
      <c r="Q23" s="491"/>
      <c r="R23" s="491"/>
      <c r="S23" s="68" t="s">
        <v>16</v>
      </c>
      <c r="T23" s="71"/>
      <c r="U23" s="71"/>
      <c r="V23" s="71"/>
      <c r="W23" s="71"/>
      <c r="X23" s="71"/>
      <c r="Y23" s="73"/>
      <c r="AA23" s="62" t="s">
        <v>68</v>
      </c>
    </row>
    <row r="24" spans="1:27" ht="18" customHeight="1" x14ac:dyDescent="0.2">
      <c r="B24" s="74" t="s">
        <v>18</v>
      </c>
      <c r="C24" s="75"/>
      <c r="D24" s="75"/>
      <c r="E24" s="75"/>
      <c r="F24" s="75"/>
      <c r="G24" s="76"/>
      <c r="H24" s="77"/>
      <c r="I24" s="78"/>
      <c r="J24" s="75"/>
      <c r="K24" s="75"/>
      <c r="L24" s="75"/>
      <c r="M24" s="75"/>
      <c r="N24" s="75"/>
      <c r="O24" s="75"/>
      <c r="P24" s="75"/>
      <c r="Q24" s="75"/>
      <c r="R24" s="75"/>
      <c r="S24" s="75"/>
      <c r="T24" s="75"/>
      <c r="U24" s="75"/>
      <c r="V24" s="75"/>
      <c r="W24" s="75"/>
      <c r="X24" s="75"/>
      <c r="Y24" s="76"/>
    </row>
    <row r="25" spans="1:27" ht="18" customHeight="1" x14ac:dyDescent="0.2">
      <c r="B25" s="79"/>
      <c r="G25" s="80"/>
      <c r="H25" s="81" t="s">
        <v>414</v>
      </c>
      <c r="I25" s="82"/>
      <c r="Y25" s="80"/>
      <c r="AA25" s="62" t="s">
        <v>69</v>
      </c>
    </row>
    <row r="26" spans="1:27" ht="18" hidden="1" customHeight="1" x14ac:dyDescent="0.2">
      <c r="B26" s="79"/>
      <c r="G26" s="80"/>
      <c r="H26" s="81" t="str">
        <f>IF('[1]【様式第２号】事業計画書兼チェックシート（新築）'!I77="有","・他に利用する補助金一覧表（様式第６号別紙）","")</f>
        <v/>
      </c>
      <c r="I26" s="82"/>
      <c r="Y26" s="80"/>
    </row>
    <row r="27" spans="1:27" ht="18" customHeight="1" x14ac:dyDescent="0.2">
      <c r="B27" s="79"/>
      <c r="G27" s="80"/>
      <c r="H27" s="81" t="str">
        <f>IF('【様式第2号】事業計画書兼チェックシート（新築）'!T230=0,IF('【様式第2号】事業計画書兼チェックシート（新築）'!C241="","","・"&amp;'【様式第2号】事業計画書兼チェックシート（新築）'!C241),"")</f>
        <v>・各階平面図、配置図</v>
      </c>
      <c r="I27" s="82"/>
      <c r="Y27" s="80"/>
    </row>
    <row r="28" spans="1:27" ht="18" customHeight="1" x14ac:dyDescent="0.2">
      <c r="B28" s="79"/>
      <c r="G28" s="80"/>
      <c r="H28" s="81"/>
      <c r="I28" s="82"/>
      <c r="Y28" s="80"/>
    </row>
    <row r="29" spans="1:27" ht="18" customHeight="1" x14ac:dyDescent="0.2">
      <c r="B29" s="79"/>
      <c r="G29" s="80"/>
      <c r="H29" s="81"/>
      <c r="I29" s="82"/>
      <c r="Y29" s="80"/>
    </row>
    <row r="30" spans="1:27" ht="18" customHeight="1" x14ac:dyDescent="0.2">
      <c r="B30" s="79"/>
      <c r="G30" s="80"/>
      <c r="H30" s="81"/>
      <c r="I30" s="82"/>
      <c r="Y30" s="80"/>
    </row>
    <row r="31" spans="1:27" ht="18" customHeight="1" x14ac:dyDescent="0.2">
      <c r="B31" s="79"/>
      <c r="G31" s="80"/>
      <c r="H31" s="81"/>
      <c r="I31" s="82"/>
      <c r="Y31" s="80"/>
    </row>
    <row r="32" spans="1:27" ht="11.25" customHeight="1" x14ac:dyDescent="0.2">
      <c r="B32" s="83"/>
      <c r="C32" s="84"/>
      <c r="D32" s="84"/>
      <c r="E32" s="84"/>
      <c r="F32" s="84"/>
      <c r="G32" s="85"/>
      <c r="H32" s="86"/>
      <c r="I32" s="87"/>
      <c r="J32" s="84"/>
      <c r="K32" s="84"/>
      <c r="L32" s="84"/>
      <c r="M32" s="84"/>
      <c r="N32" s="84"/>
      <c r="O32" s="84"/>
      <c r="P32" s="84"/>
      <c r="Q32" s="84"/>
      <c r="R32" s="84"/>
      <c r="S32" s="84"/>
      <c r="T32" s="84"/>
      <c r="U32" s="84"/>
      <c r="V32" s="84"/>
      <c r="W32" s="84"/>
      <c r="X32" s="84"/>
      <c r="Y32" s="85"/>
    </row>
    <row r="33" spans="1:35" ht="13.2" x14ac:dyDescent="0.2"/>
    <row r="34" spans="1:35" ht="12" customHeight="1" x14ac:dyDescent="0.2"/>
    <row r="35" spans="1:35" s="54" customFormat="1" ht="18" customHeight="1" x14ac:dyDescent="0.15">
      <c r="A35" s="88"/>
      <c r="B35" s="89"/>
      <c r="C35" s="89"/>
      <c r="D35" s="89"/>
      <c r="E35" s="89"/>
      <c r="F35" s="89"/>
      <c r="G35" s="89"/>
      <c r="H35" s="89"/>
      <c r="I35" s="89"/>
      <c r="J35" s="89"/>
      <c r="K35" s="89"/>
      <c r="L35" s="89"/>
      <c r="M35" s="89"/>
      <c r="N35" s="89"/>
      <c r="O35" s="89"/>
      <c r="P35" s="89"/>
      <c r="Q35" s="90"/>
      <c r="R35" s="89"/>
      <c r="S35" s="89"/>
      <c r="T35" s="89"/>
      <c r="U35" s="89"/>
      <c r="V35" s="89"/>
      <c r="W35" s="89"/>
      <c r="X35" s="89"/>
      <c r="Y35" s="89"/>
      <c r="Z35" s="89"/>
      <c r="AA35" s="91"/>
    </row>
    <row r="36" spans="1:35" s="54" customFormat="1" ht="18" customHeight="1" x14ac:dyDescent="0.15">
      <c r="A36" s="88"/>
      <c r="AA36" s="91"/>
    </row>
    <row r="37" spans="1:35" s="54" customFormat="1" ht="18" customHeight="1" x14ac:dyDescent="0.2">
      <c r="B37" s="89"/>
      <c r="C37" s="89"/>
      <c r="D37" s="89"/>
      <c r="E37" s="89"/>
      <c r="F37" s="89"/>
      <c r="G37" s="89"/>
      <c r="H37" s="89"/>
      <c r="I37" s="299"/>
      <c r="J37" s="300"/>
      <c r="K37" s="300"/>
      <c r="L37" s="300"/>
      <c r="M37" s="301"/>
      <c r="N37" s="301"/>
      <c r="O37" s="301"/>
      <c r="P37" s="301"/>
      <c r="Q37" s="301"/>
      <c r="R37" s="301"/>
      <c r="S37" s="301"/>
      <c r="T37" s="301"/>
      <c r="U37" s="301"/>
      <c r="V37" s="301"/>
      <c r="W37" s="301"/>
      <c r="X37" s="301"/>
      <c r="Y37" s="301"/>
      <c r="AA37" s="62"/>
    </row>
    <row r="38" spans="1:35" s="54" customFormat="1" ht="24" customHeight="1" x14ac:dyDescent="0.2">
      <c r="B38" s="89"/>
      <c r="C38" s="89"/>
      <c r="D38" s="89"/>
      <c r="E38" s="89"/>
      <c r="F38" s="89"/>
      <c r="G38" s="89"/>
      <c r="H38" s="89"/>
      <c r="I38" s="301"/>
      <c r="J38" s="301"/>
      <c r="K38" s="301"/>
      <c r="L38" s="301"/>
      <c r="M38" s="301"/>
      <c r="N38" s="301"/>
      <c r="O38" s="301"/>
      <c r="P38" s="301"/>
      <c r="Q38" s="301"/>
      <c r="R38" s="301"/>
      <c r="S38" s="301"/>
      <c r="T38" s="301"/>
      <c r="U38" s="301"/>
      <c r="V38" s="301"/>
      <c r="W38" s="301"/>
      <c r="X38" s="301"/>
      <c r="Y38" s="301"/>
      <c r="AA38" s="91"/>
      <c r="AB38" s="91"/>
      <c r="AC38" s="91"/>
      <c r="AD38" s="91"/>
      <c r="AE38" s="91"/>
      <c r="AF38" s="91"/>
      <c r="AG38" s="91"/>
      <c r="AH38" s="91"/>
      <c r="AI38" s="91"/>
    </row>
    <row r="39" spans="1:35" s="54" customFormat="1" ht="26.25" customHeight="1" x14ac:dyDescent="0.2">
      <c r="B39" s="89"/>
      <c r="C39" s="89"/>
      <c r="D39" s="89"/>
      <c r="E39" s="89"/>
      <c r="F39" s="89"/>
      <c r="G39" s="89"/>
      <c r="H39" s="89"/>
      <c r="I39" s="301"/>
      <c r="J39" s="301"/>
      <c r="K39" s="301"/>
      <c r="L39" s="301"/>
      <c r="M39" s="301"/>
      <c r="N39" s="301"/>
      <c r="O39" s="301"/>
      <c r="P39" s="301"/>
      <c r="Q39" s="301"/>
      <c r="R39" s="301"/>
      <c r="S39" s="301"/>
      <c r="T39" s="301"/>
      <c r="U39" s="301"/>
      <c r="V39" s="301"/>
      <c r="W39" s="301"/>
      <c r="X39" s="301"/>
      <c r="Y39" s="301"/>
      <c r="AA39" s="91"/>
      <c r="AB39" s="91"/>
      <c r="AC39" s="91"/>
      <c r="AD39" s="91"/>
      <c r="AE39" s="91"/>
      <c r="AF39" s="91"/>
      <c r="AG39" s="91"/>
      <c r="AH39" s="91"/>
      <c r="AI39" s="91"/>
    </row>
    <row r="40" spans="1:35" s="54" customFormat="1" ht="18" customHeight="1" x14ac:dyDescent="0.2">
      <c r="B40" s="89"/>
      <c r="C40" s="89"/>
      <c r="D40" s="89"/>
      <c r="E40" s="89"/>
      <c r="F40" s="89"/>
      <c r="G40" s="89"/>
      <c r="H40" s="89"/>
      <c r="I40" s="301"/>
      <c r="J40" s="301"/>
      <c r="K40" s="301"/>
      <c r="L40" s="301"/>
      <c r="M40" s="301"/>
      <c r="Q40" s="302"/>
      <c r="R40" s="302"/>
      <c r="S40" s="302"/>
      <c r="T40" s="302"/>
      <c r="U40" s="302"/>
      <c r="V40" s="302"/>
      <c r="W40" s="302"/>
      <c r="X40" s="302"/>
      <c r="Y40" s="302"/>
      <c r="AA40" s="91"/>
      <c r="AB40" s="91"/>
      <c r="AC40" s="91"/>
      <c r="AD40" s="91"/>
      <c r="AE40" s="91"/>
      <c r="AF40" s="91"/>
      <c r="AG40" s="91"/>
      <c r="AH40" s="92"/>
      <c r="AI40" s="91"/>
    </row>
    <row r="41" spans="1:35" s="54" customFormat="1" ht="18" customHeight="1" x14ac:dyDescent="0.2">
      <c r="AA41" s="91"/>
      <c r="AB41" s="91"/>
      <c r="AC41" s="91"/>
      <c r="AD41" s="91"/>
      <c r="AE41" s="91"/>
      <c r="AF41" s="91"/>
      <c r="AG41" s="91"/>
      <c r="AH41" s="91"/>
      <c r="AI41" s="91"/>
    </row>
  </sheetData>
  <sheetProtection algorithmName="SHA-512" hashValue="IecRK6EwcWZCNYPNX8gajMbHyrjWImsaBiyksNwYPPgpqMWX6Qt+LF3RAu64OGVTwfCxQ/NtD0cXllBBJu8NeQ==" saltValue="SgfB3tXp6Mm8WLMtE/ijCA==" spinCount="100000" sheet="1" selectLockedCells="1"/>
  <mergeCells count="15">
    <mergeCell ref="A17:Z17"/>
    <mergeCell ref="A19:Z19"/>
    <mergeCell ref="M22:R22"/>
    <mergeCell ref="H21:Y21"/>
    <mergeCell ref="M23:R23"/>
    <mergeCell ref="J13:M13"/>
    <mergeCell ref="A2:Z2"/>
    <mergeCell ref="Q4:R4"/>
    <mergeCell ref="T4:U4"/>
    <mergeCell ref="W4:X4"/>
    <mergeCell ref="P9:X9"/>
    <mergeCell ref="O10:X10"/>
    <mergeCell ref="O11:Z11"/>
    <mergeCell ref="O12:X12"/>
    <mergeCell ref="O13:X13"/>
  </mergeCells>
  <phoneticPr fontId="1"/>
  <conditionalFormatting sqref="A4:O4 S4:T4 V4:W4 Y4:Z4">
    <cfRule type="cellIs" dxfId="3" priority="1" operator="equal">
      <formula>"令和　年　月　日"</formula>
    </cfRule>
  </conditionalFormatting>
  <pageMargins left="0.98425196850393704" right="0.98425196850393704" top="0.78740157480314965" bottom="0.59055118110236227" header="0.31496062992125984" footer="0.31496062992125984"/>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9494E-C4E9-4387-8136-C5E98502013D}">
  <dimension ref="A1:B54"/>
  <sheetViews>
    <sheetView workbookViewId="0">
      <selection activeCell="B6" sqref="B6"/>
    </sheetView>
  </sheetViews>
  <sheetFormatPr defaultRowHeight="13.2" x14ac:dyDescent="0.2"/>
  <cols>
    <col min="1" max="1" width="18.33203125" style="61" customWidth="1"/>
    <col min="2" max="2" width="27.33203125" style="61" customWidth="1"/>
    <col min="3" max="16384" width="8.88671875" style="61"/>
  </cols>
  <sheetData>
    <row r="1" spans="1:2" x14ac:dyDescent="0.2">
      <c r="A1" s="62" t="s">
        <v>469</v>
      </c>
    </row>
    <row r="2" spans="1:2" x14ac:dyDescent="0.2">
      <c r="A2" s="310" t="s">
        <v>470</v>
      </c>
    </row>
    <row r="3" spans="1:2" ht="13.8" thickBot="1" x14ac:dyDescent="0.25"/>
    <row r="4" spans="1:2" x14ac:dyDescent="0.2">
      <c r="A4" s="61" t="s">
        <v>471</v>
      </c>
      <c r="B4" s="311">
        <f>'【様式第2号】事業計画書兼チェックシート（新築）'!M34</f>
        <v>0</v>
      </c>
    </row>
    <row r="5" spans="1:2" x14ac:dyDescent="0.2">
      <c r="A5" s="61" t="s">
        <v>472</v>
      </c>
      <c r="B5" s="312">
        <f>'【様式第2号】事業計画書兼チェックシート（新築）'!I35</f>
        <v>0</v>
      </c>
    </row>
    <row r="6" spans="1:2" x14ac:dyDescent="0.2">
      <c r="A6" s="61" t="s">
        <v>406</v>
      </c>
      <c r="B6" s="312">
        <f>'【様式第2号】事業計画書兼チェックシート（新築）'!I36</f>
        <v>0</v>
      </c>
    </row>
    <row r="7" spans="1:2" x14ac:dyDescent="0.2">
      <c r="A7" s="61" t="s">
        <v>24</v>
      </c>
      <c r="B7" s="312">
        <f>'【様式第2号】事業計画書兼チェックシート（新築）'!I37</f>
        <v>0</v>
      </c>
    </row>
    <row r="8" spans="1:2" x14ac:dyDescent="0.2">
      <c r="A8" s="61" t="s">
        <v>113</v>
      </c>
      <c r="B8" s="313">
        <f>'【様式第2号】事業計画書兼チェックシート（新築）'!S37</f>
        <v>0</v>
      </c>
    </row>
    <row r="9" spans="1:2" x14ac:dyDescent="0.2">
      <c r="A9" s="61" t="s">
        <v>146</v>
      </c>
      <c r="B9" s="312">
        <f>'【様式第2号】事業計画書兼チェックシート（新築）'!I38</f>
        <v>0</v>
      </c>
    </row>
    <row r="10" spans="1:2" x14ac:dyDescent="0.2">
      <c r="A10" s="61" t="s">
        <v>473</v>
      </c>
      <c r="B10" s="313">
        <f>'【様式第2号】事業計画書兼チェックシート（新築）'!V38</f>
        <v>0</v>
      </c>
    </row>
    <row r="11" spans="1:2" x14ac:dyDescent="0.2">
      <c r="A11" s="61" t="s">
        <v>474</v>
      </c>
      <c r="B11" s="312">
        <f>'【様式第2号】事業計画書兼チェックシート（新築）'!V39</f>
        <v>0</v>
      </c>
    </row>
    <row r="12" spans="1:2" x14ac:dyDescent="0.2">
      <c r="A12" s="61" t="s">
        <v>30</v>
      </c>
      <c r="B12" s="312">
        <f>'【様式第2号】事業計画書兼チェックシート（新築）'!I40</f>
        <v>0</v>
      </c>
    </row>
    <row r="13" spans="1:2" x14ac:dyDescent="0.2">
      <c r="A13" s="61" t="s">
        <v>114</v>
      </c>
      <c r="B13" s="312">
        <f>'【様式第2号】事業計画書兼チェックシート（新築）'!V40</f>
        <v>0</v>
      </c>
    </row>
    <row r="14" spans="1:2" x14ac:dyDescent="0.2">
      <c r="A14" s="61" t="s">
        <v>85</v>
      </c>
      <c r="B14" s="312">
        <f>'【様式第2号】事業計画書兼チェックシート（新築）'!L41</f>
        <v>0</v>
      </c>
    </row>
    <row r="15" spans="1:2" x14ac:dyDescent="0.2">
      <c r="A15" s="61" t="s">
        <v>27</v>
      </c>
      <c r="B15" s="312">
        <f>'【様式第2号】事業計画書兼チェックシート（新築）'!Q41</f>
        <v>0</v>
      </c>
    </row>
    <row r="16" spans="1:2" x14ac:dyDescent="0.2">
      <c r="A16" s="61" t="s">
        <v>28</v>
      </c>
      <c r="B16" s="312">
        <f>'【様式第2号】事業計画書兼チェックシート（新築）'!V41</f>
        <v>0</v>
      </c>
    </row>
    <row r="17" spans="1:2" x14ac:dyDescent="0.2">
      <c r="A17" s="61" t="s">
        <v>26</v>
      </c>
      <c r="B17" s="312">
        <f>'【様式第2号】事業計画書兼チェックシート（新築）'!I42</f>
        <v>0</v>
      </c>
    </row>
    <row r="18" spans="1:2" x14ac:dyDescent="0.2">
      <c r="A18" s="61" t="s">
        <v>475</v>
      </c>
      <c r="B18" s="312">
        <f>'【様式第2号】事業計画書兼チェックシート（新築）'!N43</f>
        <v>0</v>
      </c>
    </row>
    <row r="19" spans="1:2" x14ac:dyDescent="0.2">
      <c r="A19" s="61" t="s">
        <v>476</v>
      </c>
      <c r="B19" s="312">
        <f>'【様式第2号】事業計画書兼チェックシート（新築）'!S43</f>
        <v>0</v>
      </c>
    </row>
    <row r="20" spans="1:2" x14ac:dyDescent="0.2">
      <c r="A20" s="61" t="s">
        <v>477</v>
      </c>
      <c r="B20" s="312">
        <f>'【様式第2号】事業計画書兼チェックシート（新築）'!V43</f>
        <v>0</v>
      </c>
    </row>
    <row r="21" spans="1:2" x14ac:dyDescent="0.2">
      <c r="A21" s="61" t="s">
        <v>478</v>
      </c>
      <c r="B21" s="312">
        <f>'【様式第2号】事業計画書兼チェックシート（新築）'!N44</f>
        <v>0</v>
      </c>
    </row>
    <row r="22" spans="1:2" x14ac:dyDescent="0.2">
      <c r="A22" s="61" t="s">
        <v>479</v>
      </c>
      <c r="B22" s="312">
        <f>'【様式第2号】事業計画書兼チェックシート（新築）'!S44</f>
        <v>0</v>
      </c>
    </row>
    <row r="23" spans="1:2" x14ac:dyDescent="0.2">
      <c r="A23" s="61" t="s">
        <v>480</v>
      </c>
      <c r="B23" s="312">
        <f>'【様式第2号】事業計画書兼チェックシート（新築）'!V44</f>
        <v>0</v>
      </c>
    </row>
    <row r="24" spans="1:2" x14ac:dyDescent="0.2">
      <c r="A24" s="61" t="s">
        <v>3</v>
      </c>
      <c r="B24" s="312">
        <f>'【様式第2号】事業計画書兼チェックシート（新築）'!I48</f>
        <v>0</v>
      </c>
    </row>
    <row r="25" spans="1:2" x14ac:dyDescent="0.2">
      <c r="A25" s="61" t="s">
        <v>4</v>
      </c>
      <c r="B25" s="312">
        <f>'【様式第2号】事業計画書兼チェックシート（新築）'!I49</f>
        <v>0</v>
      </c>
    </row>
    <row r="26" spans="1:2" x14ac:dyDescent="0.2">
      <c r="A26" s="61" t="s">
        <v>23</v>
      </c>
      <c r="B26" s="312">
        <f>'【様式第2号】事業計画書兼チェックシート（新築）'!I50</f>
        <v>0</v>
      </c>
    </row>
    <row r="27" spans="1:2" x14ac:dyDescent="0.2">
      <c r="A27" s="61" t="s">
        <v>31</v>
      </c>
      <c r="B27" s="312">
        <f>'【様式第2号】事業計画書兼チェックシート（新築）'!I53</f>
        <v>0</v>
      </c>
    </row>
    <row r="28" spans="1:2" x14ac:dyDescent="0.2">
      <c r="A28" s="61" t="s">
        <v>481</v>
      </c>
      <c r="B28" s="312">
        <f>'【様式第2号】事業計画書兼チェックシート（新築）'!O54</f>
        <v>0</v>
      </c>
    </row>
    <row r="29" spans="1:2" x14ac:dyDescent="0.2">
      <c r="A29" s="61" t="s">
        <v>482</v>
      </c>
      <c r="B29" s="312">
        <f>'【様式第2号】事業計画書兼チェックシート（新築）'!S54</f>
        <v>0</v>
      </c>
    </row>
    <row r="30" spans="1:2" x14ac:dyDescent="0.2">
      <c r="A30" s="61" t="s">
        <v>483</v>
      </c>
      <c r="B30" s="312">
        <f>'【様式第2号】事業計画書兼チェックシート（新築）'!V54</f>
        <v>0</v>
      </c>
    </row>
    <row r="31" spans="1:2" x14ac:dyDescent="0.2">
      <c r="A31" s="61" t="s">
        <v>484</v>
      </c>
      <c r="B31" s="312">
        <f>'【様式第2号】事業計画書兼チェックシート（新築）'!D75</f>
        <v>0</v>
      </c>
    </row>
    <row r="32" spans="1:2" x14ac:dyDescent="0.2">
      <c r="A32" s="61" t="s">
        <v>485</v>
      </c>
      <c r="B32" s="312">
        <f>'【様式第2号】事業計画書兼チェックシート（新築）'!P75</f>
        <v>0</v>
      </c>
    </row>
    <row r="33" spans="1:2" x14ac:dyDescent="0.2">
      <c r="A33" s="61" t="s">
        <v>486</v>
      </c>
      <c r="B33" s="312">
        <f>'【様式第2号】事業計画書兼チェックシート（新築）'!U75</f>
        <v>0</v>
      </c>
    </row>
    <row r="34" spans="1:2" x14ac:dyDescent="0.2">
      <c r="A34" s="61" t="s">
        <v>487</v>
      </c>
      <c r="B34" s="312">
        <f>'【様式第2号】事業計画書兼チェックシート（新築）'!D76</f>
        <v>0</v>
      </c>
    </row>
    <row r="35" spans="1:2" x14ac:dyDescent="0.2">
      <c r="A35" s="61" t="s">
        <v>488</v>
      </c>
      <c r="B35" s="312">
        <f>'【様式第2号】事業計画書兼チェックシート（新築）'!P76</f>
        <v>0</v>
      </c>
    </row>
    <row r="36" spans="1:2" x14ac:dyDescent="0.2">
      <c r="A36" s="61" t="s">
        <v>489</v>
      </c>
      <c r="B36" s="312">
        <f>'【様式第2号】事業計画書兼チェックシート（新築）'!U76</f>
        <v>0</v>
      </c>
    </row>
    <row r="37" spans="1:2" x14ac:dyDescent="0.2">
      <c r="A37" s="61" t="s">
        <v>490</v>
      </c>
      <c r="B37" s="312">
        <f>'【様式第2号】事業計画書兼チェックシート（新築）'!D77</f>
        <v>0</v>
      </c>
    </row>
    <row r="38" spans="1:2" x14ac:dyDescent="0.2">
      <c r="A38" s="61" t="s">
        <v>491</v>
      </c>
      <c r="B38" s="312">
        <f>'【様式第2号】事業計画書兼チェックシート（新築）'!P77</f>
        <v>0</v>
      </c>
    </row>
    <row r="39" spans="1:2" x14ac:dyDescent="0.2">
      <c r="A39" s="61" t="s">
        <v>492</v>
      </c>
      <c r="B39" s="312">
        <f>'【様式第2号】事業計画書兼チェックシート（新築）'!U77</f>
        <v>0</v>
      </c>
    </row>
    <row r="40" spans="1:2" x14ac:dyDescent="0.2">
      <c r="A40" s="61" t="s">
        <v>493</v>
      </c>
      <c r="B40" s="312">
        <f>'【様式第2号】事業計画書兼チェックシート（新築）'!D78</f>
        <v>0</v>
      </c>
    </row>
    <row r="41" spans="1:2" x14ac:dyDescent="0.2">
      <c r="A41" s="61" t="s">
        <v>494</v>
      </c>
      <c r="B41" s="312">
        <f>'【様式第2号】事業計画書兼チェックシート（新築）'!P78</f>
        <v>0</v>
      </c>
    </row>
    <row r="42" spans="1:2" x14ac:dyDescent="0.2">
      <c r="A42" s="61" t="s">
        <v>495</v>
      </c>
      <c r="B42" s="312">
        <f>'【様式第2号】事業計画書兼チェックシート（新築）'!U78</f>
        <v>0</v>
      </c>
    </row>
    <row r="43" spans="1:2" x14ac:dyDescent="0.2">
      <c r="A43" s="61" t="s">
        <v>496</v>
      </c>
      <c r="B43" s="312">
        <f>'【様式第2号】事業計画書兼チェックシート（新築）'!D79</f>
        <v>0</v>
      </c>
    </row>
    <row r="44" spans="1:2" x14ac:dyDescent="0.2">
      <c r="A44" s="61" t="s">
        <v>497</v>
      </c>
      <c r="B44" s="312">
        <f>'【様式第2号】事業計画書兼チェックシート（新築）'!P79</f>
        <v>0</v>
      </c>
    </row>
    <row r="45" spans="1:2" x14ac:dyDescent="0.2">
      <c r="A45" s="61" t="s">
        <v>498</v>
      </c>
      <c r="B45" s="312">
        <f>'【様式第2号】事業計画書兼チェックシート（新築）'!U79</f>
        <v>0</v>
      </c>
    </row>
    <row r="46" spans="1:2" x14ac:dyDescent="0.2">
      <c r="A46" s="61" t="s">
        <v>87</v>
      </c>
      <c r="B46" s="312">
        <f>'【様式第2号】事業計画書兼チェックシート（新築）'!I95</f>
        <v>0</v>
      </c>
    </row>
    <row r="47" spans="1:2" x14ac:dyDescent="0.2">
      <c r="A47" s="61" t="s">
        <v>154</v>
      </c>
      <c r="B47" s="312">
        <f>'【様式第2号】事業計画書兼チェックシート（新築）'!O155</f>
        <v>0</v>
      </c>
    </row>
    <row r="48" spans="1:2" x14ac:dyDescent="0.2">
      <c r="A48" s="61" t="s">
        <v>499</v>
      </c>
      <c r="B48" s="312">
        <f>'【様式第2号】事業計画書兼チェックシート（新築）'!O156</f>
        <v>0</v>
      </c>
    </row>
    <row r="49" spans="1:2" x14ac:dyDescent="0.2">
      <c r="A49" s="61" t="s">
        <v>500</v>
      </c>
      <c r="B49" s="312">
        <f>'【様式第2号】事業計画書兼チェックシート（新築）'!O157</f>
        <v>0</v>
      </c>
    </row>
    <row r="50" spans="1:2" x14ac:dyDescent="0.2">
      <c r="A50" s="61" t="s">
        <v>190</v>
      </c>
      <c r="B50" s="312">
        <f>'【様式第2号】事業計画書兼チェックシート（新築）'!P255</f>
        <v>0</v>
      </c>
    </row>
    <row r="51" spans="1:2" x14ac:dyDescent="0.2">
      <c r="A51" s="61" t="s">
        <v>162</v>
      </c>
      <c r="B51" s="312">
        <f>'【様式第2号】事業計画書兼チェックシート（新築）'!P256</f>
        <v>0</v>
      </c>
    </row>
    <row r="52" spans="1:2" x14ac:dyDescent="0.2">
      <c r="A52" s="61" t="s">
        <v>501</v>
      </c>
      <c r="B52" s="312">
        <f>'【様式第2号】事業計画書兼チェックシート（新築）'!T257</f>
        <v>0</v>
      </c>
    </row>
    <row r="53" spans="1:2" x14ac:dyDescent="0.2">
      <c r="A53" s="61" t="s">
        <v>165</v>
      </c>
      <c r="B53" s="312">
        <f>'【様式第2号】事業計画書兼チェックシート（新築）'!T258</f>
        <v>0</v>
      </c>
    </row>
    <row r="54" spans="1:2" ht="13.8" thickBot="1" x14ac:dyDescent="0.25">
      <c r="A54" s="61" t="s">
        <v>164</v>
      </c>
      <c r="B54" s="314">
        <f>'【様式第2号】事業計画書兼チェックシート（新築）'!T259</f>
        <v>0</v>
      </c>
    </row>
  </sheetData>
  <sheetProtection algorithmName="SHA-512" hashValue="Nl/kYInuW5rg79yKMio9HFWScccXkL7ZT/daPeezokf3gKxplRgWutv78LWCPqa0J2jwJirSET47LX3/p+KtVA==" saltValue="5njovv1FDJKLA5v2pHGb6A==" spinCount="100000" sheet="1" objects="1" scenario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GV22"/>
  <sheetViews>
    <sheetView zoomScale="70" zoomScaleNormal="70" workbookViewId="0">
      <selection activeCell="K3" sqref="K3"/>
    </sheetView>
  </sheetViews>
  <sheetFormatPr defaultColWidth="9" defaultRowHeight="13.2" outlineLevelRow="1" outlineLevelCol="1" x14ac:dyDescent="0.2"/>
  <cols>
    <col min="1" max="1" width="9" style="111"/>
    <col min="2" max="2" width="6.6640625" style="109" customWidth="1"/>
    <col min="3" max="3" width="6.6640625" customWidth="1"/>
    <col min="4" max="5" width="7.6640625" style="110" customWidth="1"/>
    <col min="6" max="6" width="9.6640625" style="111" bestFit="1" customWidth="1"/>
    <col min="7" max="7" width="8.88671875" style="111" bestFit="1" customWidth="1"/>
    <col min="8" max="8" width="11.6640625" style="112" customWidth="1"/>
    <col min="9" max="9" width="26.44140625" style="111" customWidth="1"/>
    <col min="10" max="10" width="10.6640625" style="110" customWidth="1"/>
    <col min="11" max="11" width="50" style="111" customWidth="1"/>
    <col min="12" max="12" width="16.6640625" style="110" customWidth="1"/>
    <col min="13" max="13" width="10.6640625" style="110" customWidth="1"/>
    <col min="14" max="14" width="57" style="111" customWidth="1"/>
    <col min="15" max="35" width="6.6640625" style="114" customWidth="1"/>
    <col min="36" max="37" width="6.6640625" style="114" customWidth="1" outlineLevel="1"/>
    <col min="38" max="38" width="8.88671875" style="114" bestFit="1" customWidth="1"/>
    <col min="39" max="39" width="6.6640625" style="114" customWidth="1"/>
    <col min="40" max="41" width="6.6640625" style="114" customWidth="1" outlineLevel="1"/>
    <col min="42" max="56" width="6.6640625" style="114" customWidth="1"/>
    <col min="57" max="57" width="9" style="114" customWidth="1"/>
    <col min="58" max="61" width="6.6640625" style="114" customWidth="1"/>
    <col min="62" max="63" width="6.6640625" style="114" customWidth="1" outlineLevel="1"/>
    <col min="64" max="65" width="6.6640625" style="114" customWidth="1"/>
    <col min="66" max="68" width="6.6640625" style="114" customWidth="1" outlineLevel="1"/>
    <col min="69" max="70" width="6.6640625" style="114" customWidth="1"/>
    <col min="71" max="73" width="6.6640625" style="114" customWidth="1" outlineLevel="1"/>
    <col min="74" max="76" width="6.6640625" style="114" customWidth="1"/>
    <col min="77" max="77" width="10.6640625" style="112" customWidth="1"/>
    <col min="78" max="78" width="3.33203125" style="112" bestFit="1" customWidth="1"/>
    <col min="79" max="79" width="4.33203125" style="112" customWidth="1"/>
    <col min="80" max="80" width="3.33203125" style="112" bestFit="1" customWidth="1"/>
    <col min="81" max="81" width="4.88671875" style="112" customWidth="1"/>
    <col min="82" max="82" width="3.33203125" style="112" bestFit="1" customWidth="1"/>
    <col min="83" max="83" width="10.6640625" style="112" customWidth="1"/>
    <col min="84" max="84" width="3.33203125" style="112" bestFit="1" customWidth="1"/>
    <col min="85" max="85" width="4.33203125" style="112" customWidth="1"/>
    <col min="86" max="86" width="3.33203125" style="112" bestFit="1" customWidth="1"/>
    <col min="87" max="87" width="4.88671875" style="112" customWidth="1"/>
    <col min="88" max="88" width="3.33203125" style="112" bestFit="1" customWidth="1"/>
    <col min="89" max="89" width="10.6640625" style="112" customWidth="1"/>
    <col min="90" max="90" width="9" style="115" customWidth="1"/>
    <col min="91" max="91" width="29.33203125" style="111" customWidth="1"/>
    <col min="92" max="92" width="40.6640625" style="111" customWidth="1"/>
    <col min="93" max="93" width="10.88671875" style="110" customWidth="1"/>
    <col min="94" max="95" width="9" style="111" customWidth="1"/>
    <col min="96" max="96" width="9" style="110" customWidth="1"/>
    <col min="97" max="97" width="9" style="112" customWidth="1"/>
    <col min="98" max="99" width="9" style="111" customWidth="1"/>
    <col min="100" max="101" width="9" style="112" customWidth="1"/>
    <col min="102" max="103" width="11" style="111" customWidth="1"/>
    <col min="104" max="105" width="13" style="111" customWidth="1"/>
    <col min="106" max="106" width="16.109375" style="111" customWidth="1"/>
    <col min="107" max="107" width="13" style="111" customWidth="1"/>
    <col min="108" max="108" width="16.109375" style="111" customWidth="1"/>
    <col min="109" max="109" width="13" style="111" customWidth="1"/>
    <col min="110" max="110" width="16.109375" style="111" customWidth="1"/>
    <col min="111" max="111" width="13" style="111" customWidth="1"/>
    <col min="112" max="112" width="16.109375" style="111" customWidth="1"/>
    <col min="113" max="113" width="13" style="111" customWidth="1"/>
    <col min="114" max="114" width="16.109375" style="111" customWidth="1"/>
    <col min="115" max="115" width="13" style="111" customWidth="1"/>
    <col min="116" max="116" width="9" style="111" customWidth="1"/>
    <col min="117" max="118" width="6.6640625" style="114" hidden="1" customWidth="1"/>
    <col min="119" max="119" width="10.109375" style="114" hidden="1" customWidth="1"/>
    <col min="120" max="123" width="6.6640625" style="114" hidden="1" customWidth="1"/>
    <col min="124" max="124" width="10.109375" style="114" hidden="1" customWidth="1"/>
    <col min="125" max="128" width="6.6640625" style="114" hidden="1" customWidth="1"/>
    <col min="129" max="129" width="10" style="114" hidden="1" customWidth="1"/>
    <col min="130" max="133" width="6.6640625" style="114" hidden="1" customWidth="1"/>
    <col min="134" max="134" width="9.6640625" style="114" hidden="1" customWidth="1"/>
    <col min="135" max="141" width="6.6640625" style="114" hidden="1" customWidth="1"/>
    <col min="142" max="143" width="6.6640625" style="114" hidden="1" customWidth="1" outlineLevel="1"/>
    <col min="144" max="146" width="6.6640625" style="114" hidden="1" customWidth="1"/>
    <col min="147" max="148" width="6.6640625" style="114" hidden="1" customWidth="1" outlineLevel="1"/>
    <col min="149" max="163" width="6.6640625" style="114" hidden="1" customWidth="1"/>
    <col min="164" max="165" width="8.6640625" style="114" hidden="1" customWidth="1"/>
    <col min="166" max="167" width="6.6640625" style="114" hidden="1" customWidth="1"/>
    <col min="168" max="168" width="9" style="114" hidden="1" customWidth="1"/>
    <col min="169" max="169" width="6.6640625" style="114" hidden="1" customWidth="1"/>
    <col min="170" max="170" width="10.109375" style="114" hidden="1" customWidth="1"/>
    <col min="171" max="171" width="6.6640625" style="114" hidden="1" customWidth="1"/>
    <col min="172" max="172" width="10" style="114" hidden="1" customWidth="1"/>
    <col min="173" max="175" width="6.6640625" style="114" hidden="1" customWidth="1"/>
    <col min="176" max="177" width="6.6640625" style="114" hidden="1" customWidth="1" outlineLevel="1"/>
    <col min="178" max="180" width="6.6640625" style="114" hidden="1" customWidth="1"/>
    <col min="181" max="183" width="6.6640625" style="114" hidden="1" customWidth="1" outlineLevel="1"/>
    <col min="184" max="186" width="6.6640625" style="114" hidden="1" customWidth="1"/>
    <col min="187" max="189" width="6.6640625" style="114" hidden="1" customWidth="1" outlineLevel="1"/>
    <col min="190" max="192" width="6.6640625" style="114" hidden="1" customWidth="1"/>
    <col min="193" max="193" width="10.88671875" style="114" hidden="1" customWidth="1"/>
    <col min="194" max="195" width="6.6640625" style="114" hidden="1" customWidth="1"/>
    <col min="196" max="196" width="6.6640625" style="111" hidden="1" customWidth="1"/>
    <col min="197" max="197" width="9.88671875" style="112" hidden="1" customWidth="1"/>
    <col min="198" max="199" width="9.44140625" style="112" hidden="1" customWidth="1"/>
    <col min="200" max="202" width="9" style="115" hidden="1" customWidth="1"/>
    <col min="203" max="16384" width="9" style="111"/>
  </cols>
  <sheetData>
    <row r="1" spans="1:880" x14ac:dyDescent="0.2">
      <c r="C1" t="s">
        <v>468</v>
      </c>
      <c r="I1" s="113" t="s">
        <v>231</v>
      </c>
    </row>
    <row r="2" spans="1:880" x14ac:dyDescent="0.2">
      <c r="H2" s="116" t="s">
        <v>232</v>
      </c>
      <c r="I2" s="117"/>
      <c r="J2" s="118"/>
      <c r="K2" s="117"/>
      <c r="L2" s="118"/>
      <c r="M2" s="118"/>
      <c r="N2" s="117"/>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6"/>
      <c r="BZ2" s="116"/>
      <c r="CA2" s="116"/>
      <c r="CB2" s="116"/>
      <c r="CC2" s="116"/>
      <c r="CD2" s="116"/>
      <c r="CE2" s="116"/>
      <c r="CF2" s="116"/>
      <c r="CG2" s="116"/>
      <c r="CH2" s="116"/>
      <c r="CI2" s="116"/>
      <c r="CJ2" s="116"/>
      <c r="CK2" s="116"/>
      <c r="CL2" s="120"/>
      <c r="CM2" s="117"/>
      <c r="CN2" s="117"/>
      <c r="CO2" s="118"/>
      <c r="CP2" s="117"/>
      <c r="CQ2" s="117"/>
      <c r="CR2" s="118"/>
      <c r="CS2" s="117"/>
      <c r="CT2" s="117"/>
      <c r="CU2" s="117"/>
      <c r="CV2" s="117"/>
      <c r="CW2" s="117"/>
      <c r="CX2" s="117"/>
      <c r="CY2" s="117"/>
      <c r="CZ2" s="117"/>
      <c r="DA2" s="117"/>
      <c r="DB2" s="117"/>
      <c r="DC2" s="117"/>
      <c r="DD2" s="117"/>
      <c r="DE2" s="117"/>
      <c r="DF2" s="117"/>
      <c r="DG2" s="117"/>
      <c r="DH2" s="117"/>
      <c r="DI2" s="117"/>
      <c r="DJ2" s="117"/>
      <c r="DK2" s="117"/>
      <c r="DM2" s="121" t="s">
        <v>233</v>
      </c>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c r="EZ2" s="121"/>
      <c r="FA2" s="121"/>
      <c r="FB2" s="121"/>
      <c r="FC2" s="121"/>
      <c r="FD2" s="121"/>
      <c r="FE2" s="121"/>
      <c r="FF2" s="121"/>
      <c r="FG2" s="121"/>
      <c r="FH2" s="121"/>
      <c r="FI2" s="121"/>
      <c r="FJ2" s="121"/>
      <c r="FK2" s="121"/>
      <c r="FL2" s="121"/>
      <c r="FM2" s="121"/>
      <c r="FN2" s="121"/>
      <c r="FO2" s="121"/>
      <c r="FP2" s="121"/>
      <c r="FQ2" s="121"/>
      <c r="FR2" s="121"/>
      <c r="FS2" s="121"/>
      <c r="FT2" s="121"/>
      <c r="FU2" s="121"/>
      <c r="FV2" s="121"/>
      <c r="FW2" s="121"/>
      <c r="FX2" s="121"/>
      <c r="FY2" s="121"/>
      <c r="FZ2" s="121"/>
      <c r="GA2" s="121"/>
      <c r="GB2" s="121"/>
      <c r="GC2" s="121"/>
      <c r="GD2" s="121"/>
      <c r="GE2" s="121"/>
      <c r="GF2" s="121"/>
      <c r="GG2" s="121"/>
      <c r="GH2" s="121"/>
      <c r="GI2" s="121"/>
      <c r="GJ2" s="121"/>
      <c r="GK2" s="121"/>
      <c r="GL2" s="121"/>
      <c r="GM2" s="121"/>
      <c r="GN2" s="121"/>
      <c r="GO2" s="121"/>
      <c r="GP2" s="121"/>
      <c r="GQ2" s="121"/>
      <c r="GR2" s="121"/>
      <c r="GS2" s="121"/>
      <c r="GT2" s="121"/>
    </row>
    <row r="3" spans="1:880" s="146" customFormat="1" ht="54" x14ac:dyDescent="0.2">
      <c r="B3" s="122" t="s">
        <v>234</v>
      </c>
      <c r="C3" s="123" t="s">
        <v>235</v>
      </c>
      <c r="D3" s="124" t="s">
        <v>236</v>
      </c>
      <c r="E3" s="124"/>
      <c r="F3" s="125" t="s">
        <v>237</v>
      </c>
      <c r="G3" s="126" t="s">
        <v>238</v>
      </c>
      <c r="H3" s="127" t="s">
        <v>239</v>
      </c>
      <c r="I3" s="128" t="s">
        <v>240</v>
      </c>
      <c r="J3" s="129"/>
      <c r="K3" s="130"/>
      <c r="L3" s="131"/>
      <c r="M3" s="132" t="s">
        <v>241</v>
      </c>
      <c r="N3" s="133"/>
      <c r="O3" s="134" t="s">
        <v>242</v>
      </c>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508" t="s">
        <v>243</v>
      </c>
      <c r="BE3" s="136" t="s">
        <v>244</v>
      </c>
      <c r="BF3" s="136"/>
      <c r="BG3" s="136"/>
      <c r="BH3" s="136"/>
      <c r="BI3" s="136"/>
      <c r="BJ3" s="136"/>
      <c r="BK3" s="136"/>
      <c r="BL3" s="136"/>
      <c r="BM3" s="136"/>
      <c r="BN3" s="136"/>
      <c r="BO3" s="136"/>
      <c r="BP3" s="136"/>
      <c r="BQ3" s="136"/>
      <c r="BR3" s="136"/>
      <c r="BS3" s="136"/>
      <c r="BT3" s="136"/>
      <c r="BU3" s="136"/>
      <c r="BV3" s="136"/>
      <c r="BW3" s="136"/>
      <c r="BX3" s="136"/>
      <c r="BY3" s="137" t="s">
        <v>245</v>
      </c>
      <c r="BZ3" s="144"/>
      <c r="CA3" s="144"/>
      <c r="CB3" s="144"/>
      <c r="CC3" s="144"/>
      <c r="CD3" s="144"/>
      <c r="CE3" s="144"/>
      <c r="CF3" s="144"/>
      <c r="CG3" s="144"/>
      <c r="CH3" s="144"/>
      <c r="CI3" s="144"/>
      <c r="CJ3" s="144"/>
      <c r="CK3" s="138" t="s">
        <v>246</v>
      </c>
      <c r="CL3" s="139"/>
      <c r="CM3" s="140" t="s">
        <v>247</v>
      </c>
      <c r="CN3" s="141"/>
      <c r="CO3" s="142" t="s">
        <v>248</v>
      </c>
      <c r="CP3" s="125" t="s">
        <v>249</v>
      </c>
      <c r="CQ3" s="125" t="s">
        <v>250</v>
      </c>
      <c r="CR3" s="124" t="s">
        <v>251</v>
      </c>
      <c r="CS3" s="137" t="s">
        <v>252</v>
      </c>
      <c r="CT3" s="141"/>
      <c r="CU3" s="143" t="s">
        <v>253</v>
      </c>
      <c r="CV3" s="144"/>
      <c r="CW3" s="144"/>
      <c r="CX3" s="145"/>
      <c r="CY3" s="141"/>
      <c r="CZ3" s="296" t="s">
        <v>438</v>
      </c>
      <c r="DA3" s="295" t="s">
        <v>439</v>
      </c>
      <c r="DB3" s="509" t="s">
        <v>443</v>
      </c>
      <c r="DC3" s="510"/>
      <c r="DD3" s="510"/>
      <c r="DE3" s="510"/>
      <c r="DF3" s="510"/>
      <c r="DG3" s="510"/>
      <c r="DH3" s="510"/>
      <c r="DI3" s="510"/>
      <c r="DJ3" s="510"/>
      <c r="DK3" s="511"/>
      <c r="DM3" s="134" t="s">
        <v>254</v>
      </c>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47"/>
      <c r="FL3" s="148" t="s">
        <v>255</v>
      </c>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36"/>
      <c r="GK3" s="136"/>
      <c r="GL3" s="136"/>
      <c r="GM3" s="136"/>
      <c r="GN3" s="143" t="s">
        <v>256</v>
      </c>
      <c r="GO3" s="150"/>
      <c r="GP3" s="150"/>
      <c r="GQ3" s="150"/>
      <c r="GR3" s="151"/>
      <c r="GS3" s="151"/>
      <c r="GT3" s="139"/>
    </row>
    <row r="4" spans="1:880" ht="36" x14ac:dyDescent="0.15">
      <c r="B4" s="152"/>
      <c r="C4" s="153"/>
      <c r="D4" s="154"/>
      <c r="E4" s="154"/>
      <c r="F4" s="155"/>
      <c r="G4" s="155"/>
      <c r="H4" s="156"/>
      <c r="I4" s="157" t="s">
        <v>257</v>
      </c>
      <c r="J4" s="158" t="s">
        <v>258</v>
      </c>
      <c r="K4" s="159" t="s">
        <v>259</v>
      </c>
      <c r="L4" s="158" t="s">
        <v>260</v>
      </c>
      <c r="M4" s="158"/>
      <c r="N4" s="157"/>
      <c r="O4" s="160"/>
      <c r="P4" s="161" t="s">
        <v>261</v>
      </c>
      <c r="Q4" s="162"/>
      <c r="R4" s="163" t="s">
        <v>262</v>
      </c>
      <c r="S4" s="164"/>
      <c r="T4" s="165"/>
      <c r="U4" s="166" t="s">
        <v>435</v>
      </c>
      <c r="V4" s="167"/>
      <c r="W4" s="167"/>
      <c r="X4" s="167"/>
      <c r="Y4" s="167"/>
      <c r="Z4" s="167"/>
      <c r="AA4" s="168"/>
      <c r="AB4" s="502" t="s">
        <v>265</v>
      </c>
      <c r="AC4" s="502"/>
      <c r="AD4" s="502"/>
      <c r="AE4" s="504" t="s">
        <v>264</v>
      </c>
      <c r="AF4" s="502"/>
      <c r="AG4" s="503"/>
      <c r="AH4" s="169"/>
      <c r="AI4" s="170" t="s">
        <v>266</v>
      </c>
      <c r="AJ4" s="171"/>
      <c r="AK4" s="171"/>
      <c r="AL4" s="172"/>
      <c r="AM4" s="173" t="s">
        <v>267</v>
      </c>
      <c r="AN4" s="174"/>
      <c r="AO4" s="174"/>
      <c r="AP4" s="175"/>
      <c r="AQ4" s="176" t="s">
        <v>436</v>
      </c>
      <c r="AR4" s="177"/>
      <c r="AS4" s="177"/>
      <c r="AT4" s="177"/>
      <c r="AU4" s="177"/>
      <c r="AV4" s="177"/>
      <c r="AW4" s="177"/>
      <c r="AX4" s="177"/>
      <c r="AY4" s="177"/>
      <c r="AZ4" s="177"/>
      <c r="BA4" s="177"/>
      <c r="BB4" s="178"/>
      <c r="BC4" s="178"/>
      <c r="BD4" s="508"/>
      <c r="BE4" s="160"/>
      <c r="BF4" s="179" t="s">
        <v>269</v>
      </c>
      <c r="BG4" s="179"/>
      <c r="BH4" s="180"/>
      <c r="BI4" s="170" t="s">
        <v>266</v>
      </c>
      <c r="BJ4" s="171"/>
      <c r="BK4" s="171"/>
      <c r="BL4" s="172"/>
      <c r="BM4" s="166" t="s">
        <v>267</v>
      </c>
      <c r="BN4" s="167"/>
      <c r="BO4" s="167"/>
      <c r="BP4" s="167"/>
      <c r="BQ4" s="168"/>
      <c r="BR4" s="176" t="s">
        <v>437</v>
      </c>
      <c r="BS4" s="177"/>
      <c r="BT4" s="177"/>
      <c r="BU4" s="177"/>
      <c r="BV4" s="177"/>
      <c r="BW4" s="178"/>
      <c r="BX4" s="181" t="s">
        <v>271</v>
      </c>
      <c r="BY4" s="262"/>
      <c r="BZ4" s="263"/>
      <c r="CA4" s="263"/>
      <c r="CB4" s="263"/>
      <c r="CC4" s="263"/>
      <c r="CD4" s="263"/>
      <c r="CE4" s="263"/>
      <c r="CF4" s="261"/>
      <c r="CG4" s="261"/>
      <c r="CH4" s="261"/>
      <c r="CI4" s="261"/>
      <c r="CJ4" s="261"/>
      <c r="CK4" s="182"/>
      <c r="CL4" s="183"/>
      <c r="CM4" s="184"/>
      <c r="CN4" s="185"/>
      <c r="CO4" s="186"/>
      <c r="CP4" s="155"/>
      <c r="CQ4" s="187"/>
      <c r="CR4" s="154"/>
      <c r="CS4" s="188"/>
      <c r="CT4" s="189"/>
      <c r="CU4" s="184"/>
      <c r="CY4" s="185"/>
      <c r="CZ4" s="297"/>
      <c r="DA4" s="185"/>
      <c r="DB4" s="184"/>
      <c r="DD4" s="294"/>
      <c r="DF4" s="294"/>
      <c r="DH4" s="294"/>
      <c r="DJ4" s="294"/>
      <c r="DK4" s="185"/>
      <c r="DM4" s="160"/>
      <c r="DN4" s="161" t="s">
        <v>261</v>
      </c>
      <c r="DO4" s="190"/>
      <c r="DP4" s="190"/>
      <c r="DQ4" s="190"/>
      <c r="DR4" s="163" t="s">
        <v>272</v>
      </c>
      <c r="DS4" s="164"/>
      <c r="DT4" s="164"/>
      <c r="DU4" s="164"/>
      <c r="DV4" s="164"/>
      <c r="DW4" s="166" t="s">
        <v>263</v>
      </c>
      <c r="DX4" s="167"/>
      <c r="DY4" s="167"/>
      <c r="DZ4" s="167"/>
      <c r="EA4" s="168"/>
      <c r="EB4" s="502" t="s">
        <v>265</v>
      </c>
      <c r="EC4" s="502"/>
      <c r="ED4" s="502"/>
      <c r="EE4" s="502" t="s">
        <v>264</v>
      </c>
      <c r="EF4" s="502"/>
      <c r="EG4" s="502"/>
      <c r="EH4" s="503"/>
      <c r="EI4" s="191"/>
      <c r="EJ4" s="169"/>
      <c r="EK4" s="170" t="s">
        <v>266</v>
      </c>
      <c r="EL4" s="171"/>
      <c r="EM4" s="171"/>
      <c r="EN4" s="171"/>
      <c r="EO4" s="171"/>
      <c r="EP4" s="173" t="s">
        <v>267</v>
      </c>
      <c r="EQ4" s="174"/>
      <c r="ER4" s="174"/>
      <c r="ES4" s="174"/>
      <c r="ET4" s="175"/>
      <c r="EU4" s="176" t="s">
        <v>268</v>
      </c>
      <c r="EV4" s="177"/>
      <c r="EW4" s="177"/>
      <c r="EX4" s="177"/>
      <c r="EY4" s="177"/>
      <c r="EZ4" s="177"/>
      <c r="FA4" s="177"/>
      <c r="FB4" s="177"/>
      <c r="FC4" s="177"/>
      <c r="FD4" s="177"/>
      <c r="FE4" s="177"/>
      <c r="FF4" s="177"/>
      <c r="FG4" s="177"/>
      <c r="FH4" s="177"/>
      <c r="FI4" s="177"/>
      <c r="FJ4" s="192" t="s">
        <v>273</v>
      </c>
      <c r="FK4" s="192" t="s">
        <v>274</v>
      </c>
      <c r="FM4" s="193" t="s">
        <v>269</v>
      </c>
      <c r="FN4" s="179"/>
      <c r="FO4" s="179"/>
      <c r="FP4" s="179"/>
      <c r="FQ4" s="179"/>
      <c r="FR4" s="180"/>
      <c r="FS4" s="170" t="s">
        <v>266</v>
      </c>
      <c r="FT4" s="171"/>
      <c r="FU4" s="171"/>
      <c r="FV4" s="171"/>
      <c r="FW4" s="172"/>
      <c r="FX4" s="166" t="s">
        <v>267</v>
      </c>
      <c r="FY4" s="167"/>
      <c r="FZ4" s="167"/>
      <c r="GA4" s="167"/>
      <c r="GB4" s="167"/>
      <c r="GC4" s="168"/>
      <c r="GD4" s="176" t="s">
        <v>270</v>
      </c>
      <c r="GE4" s="177"/>
      <c r="GF4" s="177"/>
      <c r="GG4" s="177"/>
      <c r="GH4" s="177"/>
      <c r="GI4" s="177"/>
      <c r="GJ4" s="194"/>
      <c r="GK4" s="194"/>
      <c r="GL4" s="195" t="s">
        <v>275</v>
      </c>
      <c r="GM4" s="195" t="s">
        <v>274</v>
      </c>
      <c r="GN4" s="196"/>
      <c r="GO4" s="197"/>
      <c r="GP4" s="197"/>
      <c r="GQ4" s="197"/>
      <c r="GR4" s="198" t="s">
        <v>276</v>
      </c>
      <c r="GS4" s="198" t="s">
        <v>276</v>
      </c>
      <c r="GT4" s="199" t="s">
        <v>277</v>
      </c>
    </row>
    <row r="5" spans="1:880" s="224" customFormat="1" ht="66" customHeight="1" x14ac:dyDescent="0.2">
      <c r="B5" s="200" t="s">
        <v>278</v>
      </c>
      <c r="C5" s="201"/>
      <c r="D5" s="202"/>
      <c r="E5" s="203" t="s">
        <v>280</v>
      </c>
      <c r="F5" s="204" t="s">
        <v>279</v>
      </c>
      <c r="G5" s="204"/>
      <c r="H5" s="205"/>
      <c r="I5" s="206"/>
      <c r="J5" s="207"/>
      <c r="K5" s="125"/>
      <c r="L5" s="207"/>
      <c r="M5" s="124" t="s">
        <v>374</v>
      </c>
      <c r="N5" s="125" t="s">
        <v>281</v>
      </c>
      <c r="O5" s="208" t="s">
        <v>282</v>
      </c>
      <c r="P5" s="209" t="s">
        <v>283</v>
      </c>
      <c r="Q5" s="195" t="s">
        <v>284</v>
      </c>
      <c r="R5" s="210" t="s">
        <v>285</v>
      </c>
      <c r="S5" s="209" t="s">
        <v>283</v>
      </c>
      <c r="T5" s="195" t="s">
        <v>284</v>
      </c>
      <c r="U5" s="210" t="s">
        <v>285</v>
      </c>
      <c r="V5" s="306" t="s">
        <v>427</v>
      </c>
      <c r="W5" s="211" t="s">
        <v>287</v>
      </c>
      <c r="X5" s="211" t="s">
        <v>285</v>
      </c>
      <c r="Y5" s="306" t="s">
        <v>428</v>
      </c>
      <c r="Z5" s="211" t="s">
        <v>287</v>
      </c>
      <c r="AA5" s="195" t="s">
        <v>284</v>
      </c>
      <c r="AB5" s="211" t="s">
        <v>285</v>
      </c>
      <c r="AC5" s="212" t="s">
        <v>288</v>
      </c>
      <c r="AD5" s="211" t="s">
        <v>287</v>
      </c>
      <c r="AE5" s="211" t="s">
        <v>285</v>
      </c>
      <c r="AF5" s="212" t="s">
        <v>286</v>
      </c>
      <c r="AG5" s="211" t="s">
        <v>287</v>
      </c>
      <c r="AH5" s="213" t="s">
        <v>289</v>
      </c>
      <c r="AI5" s="210" t="s">
        <v>285</v>
      </c>
      <c r="AJ5" s="209" t="s">
        <v>351</v>
      </c>
      <c r="AK5" s="214" t="s">
        <v>352</v>
      </c>
      <c r="AL5" s="195" t="s">
        <v>284</v>
      </c>
      <c r="AM5" s="210" t="s">
        <v>292</v>
      </c>
      <c r="AN5" s="209" t="s">
        <v>353</v>
      </c>
      <c r="AO5" s="209" t="s">
        <v>354</v>
      </c>
      <c r="AP5" s="195" t="s">
        <v>284</v>
      </c>
      <c r="AQ5" s="211" t="s">
        <v>292</v>
      </c>
      <c r="AR5" s="208" t="s">
        <v>355</v>
      </c>
      <c r="AS5" s="208" t="s">
        <v>356</v>
      </c>
      <c r="AT5" s="208" t="s">
        <v>357</v>
      </c>
      <c r="AU5" s="208" t="s">
        <v>358</v>
      </c>
      <c r="AV5" s="208" t="s">
        <v>359</v>
      </c>
      <c r="AW5" s="208" t="s">
        <v>360</v>
      </c>
      <c r="AX5" s="208" t="s">
        <v>361</v>
      </c>
      <c r="AY5" s="211" t="s">
        <v>293</v>
      </c>
      <c r="AZ5" s="213" t="s">
        <v>284</v>
      </c>
      <c r="BA5" s="208" t="s">
        <v>294</v>
      </c>
      <c r="BB5" s="208" t="s">
        <v>295</v>
      </c>
      <c r="BC5" s="208" t="s">
        <v>295</v>
      </c>
      <c r="BD5" s="508"/>
      <c r="BE5" s="215" t="s">
        <v>296</v>
      </c>
      <c r="BF5" s="216" t="s">
        <v>297</v>
      </c>
      <c r="BG5" s="217" t="s">
        <v>298</v>
      </c>
      <c r="BH5" s="213" t="s">
        <v>299</v>
      </c>
      <c r="BI5" s="210" t="s">
        <v>285</v>
      </c>
      <c r="BJ5" s="209" t="s">
        <v>290</v>
      </c>
      <c r="BK5" s="214" t="s">
        <v>291</v>
      </c>
      <c r="BL5" s="195" t="s">
        <v>299</v>
      </c>
      <c r="BM5" s="210" t="s">
        <v>285</v>
      </c>
      <c r="BN5" s="209" t="s">
        <v>300</v>
      </c>
      <c r="BO5" s="209" t="s">
        <v>301</v>
      </c>
      <c r="BP5" s="209" t="s">
        <v>302</v>
      </c>
      <c r="BQ5" s="195" t="s">
        <v>299</v>
      </c>
      <c r="BR5" s="210" t="s">
        <v>292</v>
      </c>
      <c r="BS5" s="209" t="s">
        <v>303</v>
      </c>
      <c r="BT5" s="209" t="s">
        <v>304</v>
      </c>
      <c r="BU5" s="209" t="s">
        <v>305</v>
      </c>
      <c r="BV5" s="195" t="s">
        <v>306</v>
      </c>
      <c r="BW5" s="208" t="s">
        <v>295</v>
      </c>
      <c r="BX5" s="218" t="s">
        <v>307</v>
      </c>
      <c r="BY5" s="505" t="s">
        <v>308</v>
      </c>
      <c r="BZ5" s="506"/>
      <c r="CA5" s="506"/>
      <c r="CB5" s="506"/>
      <c r="CC5" s="506"/>
      <c r="CD5" s="507"/>
      <c r="CE5" s="505" t="s">
        <v>309</v>
      </c>
      <c r="CF5" s="506"/>
      <c r="CG5" s="506"/>
      <c r="CH5" s="506"/>
      <c r="CI5" s="506"/>
      <c r="CJ5" s="507"/>
      <c r="CK5" s="219" t="s">
        <v>310</v>
      </c>
      <c r="CL5" s="220" t="s">
        <v>311</v>
      </c>
      <c r="CM5" s="221" t="s">
        <v>312</v>
      </c>
      <c r="CN5" s="221" t="s">
        <v>313</v>
      </c>
      <c r="CO5" s="222" t="s">
        <v>314</v>
      </c>
      <c r="CP5" s="221" t="s">
        <v>315</v>
      </c>
      <c r="CQ5" s="221" t="s">
        <v>316</v>
      </c>
      <c r="CR5" s="222" t="s">
        <v>317</v>
      </c>
      <c r="CS5" s="219" t="s">
        <v>318</v>
      </c>
      <c r="CT5" s="157" t="s">
        <v>319</v>
      </c>
      <c r="CU5" s="221" t="s">
        <v>320</v>
      </c>
      <c r="CV5" s="223" t="s">
        <v>321</v>
      </c>
      <c r="CW5" s="223" t="s">
        <v>322</v>
      </c>
      <c r="CX5" s="221" t="s">
        <v>323</v>
      </c>
      <c r="CY5" s="221" t="s">
        <v>324</v>
      </c>
      <c r="CZ5" s="221" t="s">
        <v>408</v>
      </c>
      <c r="DA5" s="221" t="s">
        <v>408</v>
      </c>
      <c r="DB5" s="221" t="s">
        <v>326</v>
      </c>
      <c r="DC5" s="221" t="s">
        <v>325</v>
      </c>
      <c r="DD5" s="221" t="s">
        <v>326</v>
      </c>
      <c r="DE5" s="221" t="s">
        <v>325</v>
      </c>
      <c r="DF5" s="221" t="s">
        <v>326</v>
      </c>
      <c r="DG5" s="221" t="s">
        <v>325</v>
      </c>
      <c r="DH5" s="221" t="s">
        <v>326</v>
      </c>
      <c r="DI5" s="221" t="s">
        <v>325</v>
      </c>
      <c r="DJ5" s="221" t="s">
        <v>326</v>
      </c>
      <c r="DK5" s="221" t="s">
        <v>325</v>
      </c>
      <c r="DM5" s="208" t="s">
        <v>282</v>
      </c>
      <c r="DN5" s="208" t="s">
        <v>283</v>
      </c>
      <c r="DO5" s="208" t="s">
        <v>327</v>
      </c>
      <c r="DP5" s="225" t="s">
        <v>328</v>
      </c>
      <c r="DQ5" s="225" t="s">
        <v>329</v>
      </c>
      <c r="DR5" s="211" t="s">
        <v>285</v>
      </c>
      <c r="DS5" s="208" t="s">
        <v>283</v>
      </c>
      <c r="DT5" s="208" t="s">
        <v>330</v>
      </c>
      <c r="DU5" s="226" t="s">
        <v>328</v>
      </c>
      <c r="DV5" s="226" t="s">
        <v>329</v>
      </c>
      <c r="DW5" s="211" t="s">
        <v>285</v>
      </c>
      <c r="DX5" s="208" t="s">
        <v>283</v>
      </c>
      <c r="DY5" s="208" t="s">
        <v>331</v>
      </c>
      <c r="DZ5" s="226" t="s">
        <v>328</v>
      </c>
      <c r="EA5" s="226" t="s">
        <v>329</v>
      </c>
      <c r="EB5" s="211" t="s">
        <v>285</v>
      </c>
      <c r="EC5" s="212" t="s">
        <v>288</v>
      </c>
      <c r="ED5" s="211" t="s">
        <v>287</v>
      </c>
      <c r="EE5" s="211" t="s">
        <v>285</v>
      </c>
      <c r="EF5" s="212" t="s">
        <v>286</v>
      </c>
      <c r="EG5" s="227" t="s">
        <v>332</v>
      </c>
      <c r="EH5" s="211" t="s">
        <v>287</v>
      </c>
      <c r="EI5" s="226" t="s">
        <v>328</v>
      </c>
      <c r="EJ5" s="226" t="s">
        <v>329</v>
      </c>
      <c r="EK5" s="211" t="s">
        <v>285</v>
      </c>
      <c r="EL5" s="208" t="s">
        <v>351</v>
      </c>
      <c r="EM5" s="208" t="s">
        <v>352</v>
      </c>
      <c r="EN5" s="226" t="s">
        <v>328</v>
      </c>
      <c r="EO5" s="226" t="s">
        <v>329</v>
      </c>
      <c r="EP5" s="211" t="s">
        <v>292</v>
      </c>
      <c r="EQ5" s="208" t="s">
        <v>353</v>
      </c>
      <c r="ER5" s="208" t="s">
        <v>354</v>
      </c>
      <c r="ES5" s="226" t="s">
        <v>328</v>
      </c>
      <c r="ET5" s="226" t="s">
        <v>329</v>
      </c>
      <c r="EU5" s="211" t="s">
        <v>292</v>
      </c>
      <c r="EV5" s="208" t="s">
        <v>355</v>
      </c>
      <c r="EW5" s="208" t="s">
        <v>356</v>
      </c>
      <c r="EX5" s="208" t="s">
        <v>357</v>
      </c>
      <c r="EY5" s="208" t="s">
        <v>358</v>
      </c>
      <c r="EZ5" s="208" t="s">
        <v>359</v>
      </c>
      <c r="FA5" s="208" t="s">
        <v>360</v>
      </c>
      <c r="FB5" s="208" t="s">
        <v>361</v>
      </c>
      <c r="FC5" s="211" t="s">
        <v>293</v>
      </c>
      <c r="FD5" s="226" t="s">
        <v>328</v>
      </c>
      <c r="FE5" s="226" t="s">
        <v>329</v>
      </c>
      <c r="FF5" s="208" t="s">
        <v>294</v>
      </c>
      <c r="FG5" s="208" t="s">
        <v>295</v>
      </c>
      <c r="FH5" s="208" t="s">
        <v>333</v>
      </c>
      <c r="FI5" s="208" t="s">
        <v>334</v>
      </c>
      <c r="FJ5" s="228"/>
      <c r="FK5" s="228"/>
      <c r="FL5" s="229" t="s">
        <v>296</v>
      </c>
      <c r="FM5" s="230" t="s">
        <v>297</v>
      </c>
      <c r="FN5" s="231" t="s">
        <v>335</v>
      </c>
      <c r="FO5" s="232" t="s">
        <v>298</v>
      </c>
      <c r="FP5" s="232" t="s">
        <v>332</v>
      </c>
      <c r="FQ5" s="226" t="s">
        <v>328</v>
      </c>
      <c r="FR5" s="226" t="s">
        <v>329</v>
      </c>
      <c r="FS5" s="211" t="s">
        <v>285</v>
      </c>
      <c r="FT5" s="208" t="s">
        <v>336</v>
      </c>
      <c r="FU5" s="208" t="s">
        <v>337</v>
      </c>
      <c r="FV5" s="226" t="s">
        <v>328</v>
      </c>
      <c r="FW5" s="226" t="s">
        <v>329</v>
      </c>
      <c r="FX5" s="211" t="s">
        <v>338</v>
      </c>
      <c r="FY5" s="208" t="s">
        <v>339</v>
      </c>
      <c r="FZ5" s="208" t="s">
        <v>340</v>
      </c>
      <c r="GA5" s="208" t="s">
        <v>341</v>
      </c>
      <c r="GB5" s="226" t="s">
        <v>328</v>
      </c>
      <c r="GC5" s="226" t="s">
        <v>329</v>
      </c>
      <c r="GD5" s="211" t="s">
        <v>338</v>
      </c>
      <c r="GE5" s="208" t="s">
        <v>303</v>
      </c>
      <c r="GF5" s="208" t="s">
        <v>304</v>
      </c>
      <c r="GG5" s="208" t="s">
        <v>305</v>
      </c>
      <c r="GH5" s="226" t="s">
        <v>328</v>
      </c>
      <c r="GI5" s="226" t="s">
        <v>329</v>
      </c>
      <c r="GJ5" s="233" t="s">
        <v>295</v>
      </c>
      <c r="GK5" s="233" t="s">
        <v>333</v>
      </c>
      <c r="GL5" s="226"/>
      <c r="GM5" s="226"/>
      <c r="GN5" s="234" t="s">
        <v>342</v>
      </c>
      <c r="GO5" s="235" t="s">
        <v>343</v>
      </c>
      <c r="GP5" s="235" t="s">
        <v>344</v>
      </c>
      <c r="GQ5" s="235" t="s">
        <v>345</v>
      </c>
      <c r="GR5" s="236" t="s">
        <v>346</v>
      </c>
      <c r="GS5" s="236" t="s">
        <v>347</v>
      </c>
      <c r="GT5" s="236" t="s">
        <v>348</v>
      </c>
    </row>
    <row r="6" spans="1:880" s="249" customFormat="1" ht="30" customHeight="1" outlineLevel="1" x14ac:dyDescent="0.2">
      <c r="A6" s="249" t="s">
        <v>363</v>
      </c>
      <c r="B6" s="237" t="str">
        <f t="shared" ref="B6" si="0">IF(GQ6&gt;0,"支払済",IF(GN6="取下",GN6,IF(GN6="取消",GN6,"")))</f>
        <v/>
      </c>
      <c r="C6" s="250"/>
      <c r="D6" s="257" t="s">
        <v>349</v>
      </c>
      <c r="E6" s="239" t="str">
        <f>IF(D6="登録","登録",IF(D5="登録","建売購入",""))</f>
        <v/>
      </c>
      <c r="F6" s="240"/>
      <c r="G6" s="238"/>
      <c r="H6" s="241"/>
      <c r="I6" s="256" t="str">
        <f>IF('【様式第2号】事業計画書兼チェックシート（新築）'!N17="","",'【様式第2号】事業計画書兼チェックシート（新築）'!N17)</f>
        <v/>
      </c>
      <c r="J6" s="257" t="str">
        <f>IF('【様式第2号】事業計画書兼チェックシート（新築）'!O15="","",'【様式第2号】事業計画書兼チェックシート（新築）'!O15)</f>
        <v/>
      </c>
      <c r="K6" s="256" t="str">
        <f>IF('【様式第2号】事業計画書兼チェックシート（新築）'!N16="","",'【様式第2号】事業計画書兼チェックシート（新築）'!N16)</f>
        <v/>
      </c>
      <c r="L6" s="257" t="str">
        <f>IF('【様式第2号】事業計画書兼チェックシート（新築）'!N19="","",'【様式第2号】事業計画書兼チェックシート（新築）'!N19)</f>
        <v/>
      </c>
      <c r="M6" s="257" t="str">
        <f>IF('【様式第2号】事業計画書兼チェックシート（新築）'!M34="","",'【様式第2号】事業計画書兼チェックシート（新築）'!M34)</f>
        <v/>
      </c>
      <c r="N6" s="256" t="str">
        <f>IF('【様式第2号】事業計画書兼チェックシート（新築）'!I35="","",'【様式第2号】事業計画書兼チェックシート（新築）'!I35)</f>
        <v/>
      </c>
      <c r="O6" s="244" t="str">
        <f>IF('【様式第2号】事業計画書兼チェックシート（新築）'!Q103="","",'【様式第2号】事業計画書兼チェックシート（新築）'!Q103)</f>
        <v/>
      </c>
      <c r="P6" s="244">
        <f>IF('【様式第2号】事業計画書兼チェックシート（新築）'!I37="専用住宅",IF('【様式第2号】事業計画書兼チェックシート（新築）'!Q104="",0,'【様式第2号】事業計画書兼チェックシート（新築）'!Q104),'【様式第2号】事業計画書兼チェックシート（新築）'!U104)</f>
        <v>0</v>
      </c>
      <c r="Q6" s="243">
        <f>IF(P6="",0,IF(P6&gt;=20,300,P6*15))</f>
        <v>0</v>
      </c>
      <c r="R6" s="244" t="str">
        <f>IF(S6="","",IF(S6&gt;=1,1,""))</f>
        <v/>
      </c>
      <c r="S6" s="244">
        <f>IF('【様式第2号】事業計画書兼チェックシート（新築）'!I37="専用住宅",IF('【様式第2号】事業計画書兼チェックシート（新築）'!Q105="",0,'【様式第2号】事業計画書兼チェックシート（新築）'!Q105),'【様式第2号】事業計画書兼チェックシート（新築）'!U105)</f>
        <v>0</v>
      </c>
      <c r="T6" s="245">
        <f>IF(Q6=0,0,IF(S6&gt;=20,200,ROUNDDOWN(S6*10,-1)))</f>
        <v>0</v>
      </c>
      <c r="U6" s="244" t="str">
        <f>IF(V6="","",IF(V6&gt;=1,1,""))</f>
        <v/>
      </c>
      <c r="V6" s="244">
        <f>IF('【様式第2号】事業計画書兼チェックシート（新築）'!I37="専用住宅",IF('【様式第2号】事業計画書兼チェックシート（新築）'!Q106="",0,'【様式第2号】事業計画書兼チェックシート（新築）'!Q106),'【様式第2号】事業計画書兼チェックシート（新築）'!U106)</f>
        <v>0</v>
      </c>
      <c r="W6" s="244">
        <f>IF(AND(Q6&gt;0,V6&gt;=1),MIN(INT(V6)*30,300),0)</f>
        <v>0</v>
      </c>
      <c r="X6" s="244" t="str">
        <f>IF(Y6="","",IF(Y6&gt;=1,1,""))</f>
        <v/>
      </c>
      <c r="Y6" s="244">
        <f>IF('【様式第2号】事業計画書兼チェックシート（新築）'!I37="専用住宅",IF('【様式第2号】事業計画書兼チェックシート（新築）'!Q108="",0,'【様式第2号】事業計画書兼チェックシート（新築）'!Q108),'【様式第2号】事業計画書兼チェックシート（新築）'!U108)</f>
        <v>0</v>
      </c>
      <c r="Z6" s="244">
        <f>IF(AND(Q6&gt;0,Y6&gt;=1),MIN(INT(Y6)*20,300),0)</f>
        <v>0</v>
      </c>
      <c r="AA6" s="245">
        <f>IF(AND(Q6&gt;0,V6+Y6&gt;=1),MIN(INT(W6+Z6),300),0)</f>
        <v>0</v>
      </c>
      <c r="AB6" s="244" t="str">
        <f>IF(AC6="","",IF(AC6&gt;=1,1,""))</f>
        <v/>
      </c>
      <c r="AC6" s="244">
        <f>IF('【様式第2号】事業計画書兼チェックシート（新築）'!I37="専用住宅",IF('【様式第2号】事業計画書兼チェックシート（新築）'!Q110="",0,'【様式第2号】事業計画書兼チェックシート（新築）'!Q110),'【様式第2号】事業計画書兼チェックシート（新築）'!U110)</f>
        <v>0</v>
      </c>
      <c r="AD6" s="244">
        <f>IF(AC6="",0,IF(AC6&gt;=1,50,0))</f>
        <v>0</v>
      </c>
      <c r="AE6" s="244" t="str">
        <f>IF(AF6="","",IF(AF6&gt;=1,1,""))</f>
        <v/>
      </c>
      <c r="AF6" s="244">
        <f>IF('【様式第2号】事業計画書兼チェックシート（新築）'!I37="専用住宅",IF('【様式第2号】事業計画書兼チェックシート（新築）'!Q111="",0,'【様式第2号】事業計画書兼チェックシート（新築）'!Q111),'【様式第2号】事業計画書兼チェックシート（新築）'!U111)</f>
        <v>0</v>
      </c>
      <c r="AG6" s="244">
        <f>IF(AND(Q6&gt;0,AF6&gt;=1),MIN(INT(AF6)*3,200),0)</f>
        <v>0</v>
      </c>
      <c r="AH6" s="243">
        <f>IF(OR(AG6&gt;0,AD6&gt;0),MIN(AG6+AD6,200),0)</f>
        <v>0</v>
      </c>
      <c r="AI6" s="264" t="str">
        <f t="shared" ref="AI6" si="1">IF(OR(AJ6=1,AK6=1),1,"")</f>
        <v/>
      </c>
      <c r="AJ6" s="244">
        <f>IF('【様式第2号】事業計画書兼チェックシート（新築）'!Y131="",0,IF('【様式第2号】事業計画書兼チェックシート（新築）'!B133="","",1))</f>
        <v>0</v>
      </c>
      <c r="AK6" s="244">
        <f>IF('【様式第2号】事業計画書兼チェックシート（新築）'!Y131="",0,IF('【様式第2号】事業計画書兼チェックシート（新築）'!P133="","",1))</f>
        <v>0</v>
      </c>
      <c r="AL6" s="265" t="str">
        <f>IFERROR('【様式第2号】事業計画書兼チェックシート（新築）'!Y131*10,"0")</f>
        <v>0</v>
      </c>
      <c r="AM6" s="244" t="str">
        <f t="shared" ref="AM6" si="2">IF(OR(AN6=1,AO6=1),1,"")</f>
        <v/>
      </c>
      <c r="AN6" s="244">
        <f>IF('【様式第2号】事業計画書兼チェックシート（新築）'!Y146="",0,IF('【様式第2号】事業計画書兼チェックシート（新築）'!B147="","",1))</f>
        <v>0</v>
      </c>
      <c r="AO6" s="244">
        <f>IF('【様式第2号】事業計画書兼チェックシート（新築）'!Y146="",0,IF('【様式第2号】事業計画書兼チェックシート（新築）'!B147="",1,""))</f>
        <v>0</v>
      </c>
      <c r="AP6" s="266" t="str">
        <f>IFERROR('【様式第2号】事業計画書兼チェックシート（新築）'!Y146*10,"0")</f>
        <v>0</v>
      </c>
      <c r="AQ6" s="244" t="str">
        <f t="shared" ref="AQ6" si="3">IF(AY6&gt;=4,1,"")</f>
        <v/>
      </c>
      <c r="AR6" s="244" t="str">
        <f>IF('【様式第2号】事業計画書兼チェックシート（新築）'!F173="","",'【様式第2号】事業計画書兼チェックシート（新築）'!F173)</f>
        <v/>
      </c>
      <c r="AS6" s="244" t="str">
        <f>IF('【様式第2号】事業計画書兼チェックシート（新築）'!F178="","",'【様式第2号】事業計画書兼チェックシート（新築）'!F178)</f>
        <v/>
      </c>
      <c r="AT6" s="244" t="str">
        <f>IF('【様式第2号】事業計画書兼チェックシート（新築）'!F185="","",'【様式第2号】事業計画書兼チェックシート（新築）'!F185)</f>
        <v/>
      </c>
      <c r="AU6" s="244" t="str">
        <f>IF('【様式第2号】事業計画書兼チェックシート（新築）'!F193="","",'【様式第2号】事業計画書兼チェックシート（新築）'!F193)</f>
        <v/>
      </c>
      <c r="AV6" s="244" t="str">
        <f>IF('【様式第2号】事業計画書兼チェックシート（新築）'!F201="","",'【様式第2号】事業計画書兼チェックシート（新築）'!F201)</f>
        <v/>
      </c>
      <c r="AW6" s="244" t="str">
        <f>IF('【様式第2号】事業計画書兼チェックシート（新築）'!F211="","",'【様式第2号】事業計画書兼チェックシート（新築）'!F211)</f>
        <v/>
      </c>
      <c r="AX6" s="244" t="str">
        <f>IF('【様式第2号】事業計画書兼チェックシート（新築）'!F218="","",'【様式第2号】事業計画書兼チェックシート（新築）'!F218)</f>
        <v/>
      </c>
      <c r="AY6" s="244">
        <f t="shared" ref="AY6" si="4">SUM(AR6:AX6)</f>
        <v>0</v>
      </c>
      <c r="AZ6" s="243">
        <f t="shared" ref="AZ6" si="5">IF(AY6&gt;=4,200,0)</f>
        <v>0</v>
      </c>
      <c r="BA6" s="244" t="str">
        <f>IF('【様式第2号】事業計画書兼チェックシート（新築）'!N194="","",'【様式第2号】事業計画書兼チェックシート（新築）'!N194)</f>
        <v>　</v>
      </c>
      <c r="BB6" s="293" t="str">
        <f>IF('【様式第2号】事業計画書兼チェックシート（新築）'!R187="","",'【様式第2号】事業計画書兼チェックシート（新築）'!R187)</f>
        <v>　</v>
      </c>
      <c r="BC6" s="293" t="str">
        <f>IF('【様式第2号】事業計画書兼チェックシート（新築）'!R188="","",'【様式第2号】事業計画書兼チェックシート（新築）'!R188)</f>
        <v>　</v>
      </c>
      <c r="BD6" s="292">
        <f t="shared" ref="BD6" si="6">IF(OR(D6="新築",D6="登録"),MIN(1000,Q6+T6+AA6+AH6+AL6+AP6+AZ6),0)</f>
        <v>0</v>
      </c>
      <c r="BE6" s="242"/>
      <c r="BF6" s="246"/>
      <c r="BG6" s="242"/>
      <c r="BH6" s="243"/>
      <c r="BI6" s="244"/>
      <c r="BJ6" s="242"/>
      <c r="BK6" s="242"/>
      <c r="BL6" s="243"/>
      <c r="BM6" s="244"/>
      <c r="BN6" s="242"/>
      <c r="BO6" s="242"/>
      <c r="BP6" s="242"/>
      <c r="BQ6" s="243"/>
      <c r="BR6" s="244"/>
      <c r="BS6" s="242"/>
      <c r="BT6" s="242"/>
      <c r="BU6" s="242"/>
      <c r="BV6" s="243"/>
      <c r="BW6" s="242"/>
      <c r="BX6" s="243"/>
      <c r="BY6" s="258" t="str">
        <f>IF('【様式第2号】事業計画書兼チェックシート（新築）'!N43="","",'【様式第2号】事業計画書兼チェックシート（新築）'!N43)</f>
        <v/>
      </c>
      <c r="BZ6" s="259" t="s">
        <v>7</v>
      </c>
      <c r="CA6" s="259" t="str">
        <f>IF('【様式第2号】事業計画書兼チェックシート（新築）'!S43="","",'【様式第2号】事業計画書兼チェックシート（新築）'!S43)</f>
        <v/>
      </c>
      <c r="CB6" s="259" t="s">
        <v>215</v>
      </c>
      <c r="CC6" s="259" t="str">
        <f>IF('【様式第2号】事業計画書兼チェックシート（新築）'!V43="","",'【様式第2号】事業計画書兼チェックシート（新築）'!V43)</f>
        <v/>
      </c>
      <c r="CD6" s="260" t="s">
        <v>6</v>
      </c>
      <c r="CE6" s="258" t="str">
        <f>IF('【様式第2号】事業計画書兼チェックシート（新築）'!N44="","",'【様式第2号】事業計画書兼チェックシート（新築）'!N44)</f>
        <v/>
      </c>
      <c r="CF6" s="259" t="s">
        <v>7</v>
      </c>
      <c r="CG6" s="259" t="str">
        <f>IF('【様式第2号】事業計画書兼チェックシート（新築）'!S44="","",'【様式第2号】事業計画書兼チェックシート（新築）'!S44)</f>
        <v/>
      </c>
      <c r="CH6" s="259" t="s">
        <v>215</v>
      </c>
      <c r="CI6" s="259" t="str">
        <f>IF('【様式第2号】事業計画書兼チェックシート（新築）'!V44="","",'【様式第2号】事業計画書兼チェックシート（新築）'!V44)</f>
        <v/>
      </c>
      <c r="CJ6" s="260" t="s">
        <v>6</v>
      </c>
      <c r="CK6" s="240"/>
      <c r="CL6" s="247">
        <f t="shared" ref="CL6" si="7">BD6+BX6</f>
        <v>0</v>
      </c>
      <c r="CM6" s="256" t="str">
        <f>IF('【様式第2号】事業計画書兼チェックシート（新築）'!I48="","",'【様式第2号】事業計画書兼チェックシート（新築）'!I48)</f>
        <v/>
      </c>
      <c r="CN6" s="256" t="str">
        <f>IF('【様式第2号】事業計画書兼チェックシート（新築）'!I49="","",'【様式第2号】事業計画書兼チェックシート（新築）'!I49)</f>
        <v/>
      </c>
      <c r="CO6" s="256" t="str">
        <f>IF('【様式第2号】事業計画書兼チェックシート（新築）'!B98="",IF('【様式第2号】事業計画書兼チェックシート（新築）'!I95="","",'【様式第2号】事業計画書兼チェックシート（新築）'!I95),"手刻み")</f>
        <v/>
      </c>
      <c r="CP6" s="256" t="str">
        <f>IF('【様式第2号】事業計画書兼チェックシート（新築）'!I38="","",'【様式第2号】事業計画書兼チェックシート（新築）'!I38)</f>
        <v/>
      </c>
      <c r="CQ6" s="256" t="str">
        <f>IF('【様式第2号】事業計画書兼チェックシート（新築）'!S37="","",'【様式第2号】事業計画書兼チェックシート（新築）'!S37)</f>
        <v/>
      </c>
      <c r="CR6" s="256" t="str">
        <f>IF('【様式第2号】事業計画書兼チェックシート（新築）'!I53="","",'【様式第2号】事業計画書兼チェックシート（新築）'!I53)</f>
        <v/>
      </c>
      <c r="CS6" s="240"/>
      <c r="CT6" s="240"/>
      <c r="CU6" s="240"/>
      <c r="CV6" s="241"/>
      <c r="CW6" s="241"/>
      <c r="CX6" s="240"/>
      <c r="CY6" s="240"/>
      <c r="CZ6" s="256" t="str">
        <f>IF('【様式第2号】事業計画書兼チェックシート（新築）'!B83="","","○")</f>
        <v/>
      </c>
      <c r="DA6" s="256" t="str">
        <f>IF('【様式第2号】事業計画書兼チェックシート（新築）'!B85="","","○")</f>
        <v/>
      </c>
      <c r="DB6" s="256" t="str">
        <f>IF('【様式第2号】事業計画書兼チェックシート（新築）'!D75="","",'【様式第2号】事業計画書兼チェックシート（新築）'!D75)</f>
        <v/>
      </c>
      <c r="DC6" s="256" t="str">
        <f>IF('【様式第2号】事業計画書兼チェックシート（新築）'!P75="","",'【様式第2号】事業計画書兼チェックシート（新築）'!P75)</f>
        <v/>
      </c>
      <c r="DD6" s="256" t="str">
        <f>IF('【様式第2号】事業計画書兼チェックシート（新築）'!D76="","",'【様式第2号】事業計画書兼チェックシート（新築）'!D76)</f>
        <v/>
      </c>
      <c r="DE6" s="256" t="str">
        <f>IF('【様式第2号】事業計画書兼チェックシート（新築）'!P76="","",'【様式第2号】事業計画書兼チェックシート（新築）'!P76)</f>
        <v/>
      </c>
      <c r="DF6" s="256" t="str">
        <f>IF('【様式第2号】事業計画書兼チェックシート（新築）'!D77="","",'【様式第2号】事業計画書兼チェックシート（新築）'!D77)</f>
        <v/>
      </c>
      <c r="DG6" s="256" t="str">
        <f>IF('【様式第2号】事業計画書兼チェックシート（新築）'!P77="","",'【様式第2号】事業計画書兼チェックシート（新築）'!P77)</f>
        <v/>
      </c>
      <c r="DH6" s="256" t="str">
        <f>IF('【様式第2号】事業計画書兼チェックシート（新築）'!D78="","",'【様式第2号】事業計画書兼チェックシート（新築）'!D78)</f>
        <v/>
      </c>
      <c r="DI6" s="256" t="str">
        <f>IF('【様式第2号】事業計画書兼チェックシート（新築）'!P78="","",'【様式第2号】事業計画書兼チェックシート（新築）'!P78)</f>
        <v/>
      </c>
      <c r="DJ6" s="256" t="str">
        <f>IF('【様式第2号】事業計画書兼チェックシート（新築）'!D79="","",'【様式第2号】事業計画書兼チェックシート（新築）'!D79)</f>
        <v/>
      </c>
      <c r="DK6" s="256" t="str">
        <f>IF('【様式第2号】事業計画書兼チェックシート（新築）'!P79="","",'【様式第2号】事業計画書兼チェックシート（新築）'!P79)</f>
        <v/>
      </c>
      <c r="DL6"/>
      <c r="DM6" s="244" t="e">
        <f>IF(#REF!="","",#REF!)</f>
        <v>#REF!</v>
      </c>
      <c r="DN6" s="244" t="e">
        <f>IF(#REF!="",0,#REF!)</f>
        <v>#REF!</v>
      </c>
      <c r="DO6" s="242"/>
      <c r="DP6" s="243" t="e">
        <f t="shared" ref="DP6" si="8">IF(DN6&gt;=10,150,0)</f>
        <v>#REF!</v>
      </c>
      <c r="DQ6" s="243" t="e">
        <f t="shared" ref="DQ6" si="9">MIN(Q6,DP6)</f>
        <v>#REF!</v>
      </c>
      <c r="DR6" s="244" t="e">
        <f>IF(DS6="","",IF(DS6&gt;=1,1,""))</f>
        <v>#REF!</v>
      </c>
      <c r="DS6" s="244" t="e">
        <f>IF(#REF!="",0,#REF!)</f>
        <v>#REF!</v>
      </c>
      <c r="DT6" s="242"/>
      <c r="DU6" s="245" t="e">
        <f t="shared" ref="DU6" si="10">IF(DP6=0,0,IF(DS6&gt;=25,MIN(250,ROUNDDOWN(DS6*10,-1)),IF(DS6&gt;=20,MIN(200,ROUNDDOWN(DS6*10,-1)),IF(DS6&gt;=15,MIN(150,ROUNDDOWN(DS6*10,-1)),MIN(100,ROUNDDOWN(DS6*10,-1))))))</f>
        <v>#REF!</v>
      </c>
      <c r="DV6" s="243" t="e">
        <f t="shared" ref="DV6" si="11">MIN(T6,DU6)</f>
        <v>#REF!</v>
      </c>
      <c r="DW6" s="244" t="e">
        <f>IF(DX6="","",IF(DX6&gt;=1,1,""))</f>
        <v>#REF!</v>
      </c>
      <c r="DX6" s="244" t="e">
        <f>IF(#REF!="",0,#REF!)</f>
        <v>#REF!</v>
      </c>
      <c r="DY6" s="242"/>
      <c r="DZ6" s="245" t="e">
        <f t="shared" ref="DZ6" si="12">IF(AND(DP6&gt;0,DX6&gt;=1),MIN(INT(DX6)*20,200),0)</f>
        <v>#REF!</v>
      </c>
      <c r="EA6" s="243" t="e">
        <f t="shared" ref="EA6" si="13">MIN(AA6,DZ6)</f>
        <v>#REF!</v>
      </c>
      <c r="EB6" s="244" t="e">
        <f t="shared" ref="EB6" si="14">IF(EC6&gt;=1,1,"")</f>
        <v>#REF!</v>
      </c>
      <c r="EC6" s="244" t="e">
        <f>IF(#REF!="",0,#REF!)</f>
        <v>#REF!</v>
      </c>
      <c r="ED6" s="244" t="e">
        <f t="shared" ref="ED6" si="15">IF(AND(EC6&gt;=1,DP6&gt;=1),50,0)</f>
        <v>#REF!</v>
      </c>
      <c r="EE6" s="244" t="e">
        <f>IF(EF6="","",IF(EF6&gt;=1,1,""))</f>
        <v>#REF!</v>
      </c>
      <c r="EF6" s="244" t="e">
        <f>IF(#REF!="",0,#REF!)</f>
        <v>#REF!</v>
      </c>
      <c r="EG6" s="242"/>
      <c r="EH6" s="244" t="e">
        <f t="shared" ref="EH6" si="16">IF(AND(DP6&gt;0,EF6&gt;=1),MIN(INT(EF6)*2,150),0)</f>
        <v>#REF!</v>
      </c>
      <c r="EI6" s="243" t="e">
        <f t="shared" ref="EI6" si="17">IF(OR(EH6&gt;0,ED6&gt;0),MIN(EH6+ED6,150),0)</f>
        <v>#REF!</v>
      </c>
      <c r="EJ6" s="243" t="e">
        <f t="shared" ref="EJ6" si="18">MIN(AH6,EI6)</f>
        <v>#REF!</v>
      </c>
      <c r="EK6" s="244" t="e">
        <f t="shared" ref="EK6" si="19">IF(OR(EL6=1,EM6=1),1,"")</f>
        <v>#REF!</v>
      </c>
      <c r="EL6" s="244" t="e">
        <f>IF(#REF!="",IF(#REF!="","",1),0)</f>
        <v>#REF!</v>
      </c>
      <c r="EM6" s="244" t="e">
        <f>IF(#REF!="",IF(#REF!="","",1),0)</f>
        <v>#REF!</v>
      </c>
      <c r="EN6" s="243" t="e">
        <f>IF(AND(DP6&gt;0,EK6=1,#REF!=""),100,0)</f>
        <v>#REF!</v>
      </c>
      <c r="EO6" s="243" t="e">
        <f t="shared" ref="EO6" si="20">MIN(AL6,EN6)</f>
        <v>#REF!</v>
      </c>
      <c r="EP6" s="244" t="e">
        <f t="shared" ref="EP6" si="21">IF(OR(EQ6=1,ER6=1),1,"")</f>
        <v>#REF!</v>
      </c>
      <c r="EQ6" s="244" t="e">
        <f>IF(#REF!="","",IF(#REF!="","",1))</f>
        <v>#REF!</v>
      </c>
      <c r="ER6" s="244" t="e">
        <f>IF(#REF!="","",IF(#REF!="",1,""))</f>
        <v>#REF!</v>
      </c>
      <c r="ES6" s="243" t="e">
        <f t="shared" ref="ES6" si="22">IF(AND(DP6&gt;0,EK6=1,EP6=1),100,0)</f>
        <v>#REF!</v>
      </c>
      <c r="ET6" s="243" t="e">
        <f t="shared" ref="ET6" si="23">MIN(AP6,ES6)</f>
        <v>#REF!</v>
      </c>
      <c r="EU6" s="244" t="e">
        <f t="shared" ref="EU6" si="24">IF(FC6&gt;=4,1,"")</f>
        <v>#REF!</v>
      </c>
      <c r="EV6" s="244" t="e">
        <f>IF(#REF!="","",#REF!)</f>
        <v>#REF!</v>
      </c>
      <c r="EW6" s="244" t="e">
        <f>IF(#REF!="","",#REF!)</f>
        <v>#REF!</v>
      </c>
      <c r="EX6" s="244" t="e">
        <f>IF(#REF!="","",#REF!)</f>
        <v>#REF!</v>
      </c>
      <c r="EY6" s="244" t="e">
        <f>IF(#REF!="","",#REF!)</f>
        <v>#REF!</v>
      </c>
      <c r="EZ6" s="244" t="e">
        <f>IF(#REF!="","",#REF!)</f>
        <v>#REF!</v>
      </c>
      <c r="FA6" s="244" t="e">
        <f>IF(#REF!="","",#REF!)</f>
        <v>#REF!</v>
      </c>
      <c r="FB6" s="244" t="e">
        <f>IF(#REF!="","",#REF!)</f>
        <v>#REF!</v>
      </c>
      <c r="FC6" s="244" t="e">
        <f t="shared" ref="FC6" si="25">SUM(EV6:FB6)</f>
        <v>#REF!</v>
      </c>
      <c r="FD6" s="243" t="e">
        <f t="shared" ref="FD6" si="26">IF(FC6&gt;=4,200,0)</f>
        <v>#REF!</v>
      </c>
      <c r="FE6" s="243" t="e">
        <f t="shared" ref="FE6" si="27">MIN(AZ6,FD6)</f>
        <v>#REF!</v>
      </c>
      <c r="FF6" s="242"/>
      <c r="FG6" s="242"/>
      <c r="FH6" s="242"/>
      <c r="FI6" s="242"/>
      <c r="FJ6" s="243" t="e">
        <f t="shared" ref="FJ6" si="28">IF(D6="新築",MIN(1500,CL6,MIN(DQ6+DV6+EA6+EJ6+EO6+ET6+FE6,1000)),0)</f>
        <v>#REF!</v>
      </c>
      <c r="FK6" s="243" t="e">
        <f t="shared" ref="FK6" si="29">BD6-FJ6</f>
        <v>#REF!</v>
      </c>
      <c r="FL6" s="242"/>
      <c r="FM6" s="248"/>
      <c r="FN6" s="248"/>
      <c r="FO6" s="242"/>
      <c r="FP6" s="242"/>
      <c r="FQ6" s="243"/>
      <c r="FR6" s="243"/>
      <c r="FS6" s="244"/>
      <c r="FT6" s="242"/>
      <c r="FU6" s="242"/>
      <c r="FV6" s="243"/>
      <c r="FW6" s="243"/>
      <c r="FX6" s="244"/>
      <c r="FY6" s="242"/>
      <c r="FZ6" s="242"/>
      <c r="GA6" s="242"/>
      <c r="GB6" s="243"/>
      <c r="GC6" s="243"/>
      <c r="GD6" s="244"/>
      <c r="GE6" s="242"/>
      <c r="GF6" s="242"/>
      <c r="GG6" s="242"/>
      <c r="GH6" s="243"/>
      <c r="GI6" s="243"/>
      <c r="GJ6" s="242"/>
      <c r="GK6" s="242"/>
      <c r="GL6" s="243"/>
      <c r="GM6" s="243"/>
      <c r="GN6" s="240"/>
      <c r="GO6" s="241"/>
      <c r="GP6" s="241"/>
      <c r="GQ6" s="241"/>
      <c r="GR6" s="247">
        <f t="shared" ref="GR6" si="30">IF(D6="新築",BD6,IF(D6="改修",BX6,0))</f>
        <v>0</v>
      </c>
      <c r="GS6" s="247" t="e">
        <f t="shared" ref="GS6" si="31">IF(D6="新築",FJ6,IF(D6="改修",GL6,0))</f>
        <v>#REF!</v>
      </c>
      <c r="GT6" s="247" t="e">
        <f t="shared" ref="GT6" si="32">GR6-GS6</f>
        <v>#REF!</v>
      </c>
      <c r="GU6" s="111"/>
      <c r="GV6" s="111"/>
      <c r="GW6" s="111"/>
      <c r="GX6" s="111"/>
      <c r="GY6" s="111"/>
      <c r="GZ6" s="111"/>
      <c r="HA6" s="111"/>
      <c r="HB6" s="111"/>
      <c r="HC6" s="111"/>
      <c r="HD6" s="111"/>
      <c r="HE6" s="111"/>
      <c r="HF6" s="111"/>
      <c r="HG6" s="111"/>
      <c r="HH6" s="111"/>
      <c r="HI6" s="111"/>
      <c r="HJ6" s="111"/>
      <c r="HK6" s="111"/>
      <c r="HL6" s="111"/>
      <c r="HM6" s="111"/>
      <c r="HN6" s="111"/>
      <c r="HO6" s="111"/>
      <c r="HP6" s="111"/>
      <c r="HQ6" s="111"/>
      <c r="HR6" s="111"/>
      <c r="HS6" s="111"/>
      <c r="HT6" s="111"/>
      <c r="HU6" s="111"/>
      <c r="HV6" s="111"/>
      <c r="HW6" s="111"/>
      <c r="HX6" s="111"/>
      <c r="HY6" s="111"/>
      <c r="HZ6" s="111"/>
      <c r="IA6" s="111"/>
      <c r="IB6" s="111"/>
      <c r="IC6" s="111"/>
      <c r="ID6" s="111"/>
      <c r="IE6" s="111"/>
      <c r="IF6" s="111"/>
      <c r="IG6" s="111"/>
      <c r="IH6" s="111"/>
      <c r="II6" s="111"/>
      <c r="IJ6" s="111"/>
      <c r="IK6" s="111"/>
      <c r="IL6" s="111"/>
      <c r="IM6" s="111"/>
      <c r="IN6" s="111"/>
      <c r="IO6" s="111"/>
      <c r="IP6" s="111"/>
      <c r="IQ6" s="111"/>
      <c r="IR6" s="111"/>
      <c r="IS6" s="111"/>
      <c r="IT6" s="111"/>
      <c r="IU6" s="111"/>
      <c r="IV6" s="111"/>
      <c r="IW6" s="111"/>
      <c r="IX6" s="111"/>
      <c r="IY6" s="111"/>
      <c r="IZ6" s="111"/>
      <c r="JA6" s="111"/>
      <c r="JB6" s="111"/>
      <c r="JC6" s="111"/>
      <c r="JD6" s="111"/>
      <c r="JE6" s="111"/>
      <c r="JF6" s="111"/>
      <c r="JG6" s="111"/>
      <c r="JH6" s="111"/>
      <c r="JI6" s="111"/>
      <c r="JJ6" s="111"/>
      <c r="JK6" s="111"/>
      <c r="JL6" s="111"/>
      <c r="JM6" s="111"/>
      <c r="JN6" s="111"/>
      <c r="JO6" s="111"/>
      <c r="JP6" s="111"/>
      <c r="JQ6" s="111"/>
      <c r="JR6" s="111"/>
      <c r="JS6" s="111"/>
      <c r="JT6" s="111"/>
      <c r="JU6" s="111"/>
      <c r="JV6" s="111"/>
      <c r="JW6" s="111"/>
      <c r="JX6" s="111"/>
      <c r="JY6" s="111"/>
      <c r="JZ6" s="111"/>
      <c r="KA6" s="111"/>
      <c r="KB6" s="111"/>
      <c r="KC6" s="111"/>
      <c r="KD6" s="111"/>
      <c r="KE6" s="111"/>
      <c r="KF6" s="111"/>
      <c r="KG6" s="111"/>
      <c r="KH6" s="111"/>
      <c r="KI6" s="111"/>
      <c r="KJ6" s="111"/>
      <c r="KK6" s="111"/>
      <c r="KL6" s="111"/>
      <c r="KM6" s="111"/>
      <c r="KN6" s="111"/>
      <c r="KO6" s="111"/>
      <c r="KP6" s="111"/>
      <c r="KQ6" s="111"/>
      <c r="KR6" s="111"/>
      <c r="KS6" s="111"/>
      <c r="KT6" s="111"/>
      <c r="KU6" s="111"/>
      <c r="KV6" s="111"/>
      <c r="KW6" s="111"/>
      <c r="KX6" s="111"/>
      <c r="KY6" s="111"/>
      <c r="KZ6" s="111"/>
      <c r="LA6" s="111"/>
      <c r="LB6" s="111"/>
      <c r="LC6" s="111"/>
      <c r="LD6" s="111"/>
      <c r="LE6" s="111"/>
      <c r="LF6" s="111"/>
      <c r="LG6" s="111"/>
      <c r="LH6" s="111"/>
      <c r="LI6" s="111"/>
      <c r="LJ6" s="111"/>
      <c r="LK6" s="111"/>
      <c r="LL6" s="111"/>
      <c r="LM6" s="111"/>
      <c r="LN6" s="111"/>
      <c r="LO6" s="111"/>
      <c r="LP6" s="111"/>
      <c r="LQ6" s="111"/>
      <c r="LR6" s="111"/>
      <c r="LS6" s="111"/>
      <c r="LT6" s="111"/>
      <c r="LU6" s="111"/>
      <c r="LV6" s="111"/>
      <c r="LW6" s="111"/>
      <c r="LX6" s="111"/>
      <c r="LY6" s="111"/>
      <c r="LZ6" s="111"/>
      <c r="MA6" s="111"/>
      <c r="MB6" s="111"/>
      <c r="MC6" s="111"/>
      <c r="MD6" s="111"/>
      <c r="ME6" s="111"/>
      <c r="MF6" s="111"/>
      <c r="MG6" s="111"/>
      <c r="MH6" s="111"/>
      <c r="MI6" s="111"/>
      <c r="MJ6" s="111"/>
      <c r="MK6" s="111"/>
      <c r="ML6" s="111"/>
      <c r="MM6" s="111"/>
      <c r="MN6" s="111"/>
      <c r="MO6" s="111"/>
      <c r="MP6" s="111"/>
      <c r="MQ6" s="111"/>
      <c r="MR6" s="111"/>
      <c r="MS6" s="111"/>
      <c r="MT6" s="111"/>
      <c r="MU6" s="111"/>
      <c r="MV6" s="111"/>
      <c r="MW6" s="111"/>
      <c r="MX6" s="111"/>
      <c r="MY6" s="111"/>
      <c r="MZ6" s="111"/>
      <c r="NA6" s="111"/>
      <c r="NB6" s="111"/>
      <c r="NC6" s="111"/>
      <c r="ND6" s="111"/>
      <c r="NE6" s="111"/>
      <c r="NF6" s="111"/>
      <c r="NG6" s="111"/>
      <c r="NH6" s="111"/>
      <c r="NI6" s="111"/>
      <c r="NJ6" s="111"/>
      <c r="NK6" s="111"/>
      <c r="NL6" s="111"/>
      <c r="NM6" s="111"/>
      <c r="NN6" s="111"/>
      <c r="NO6" s="111"/>
      <c r="NP6" s="111"/>
      <c r="NQ6" s="111"/>
      <c r="NR6" s="111"/>
      <c r="NS6" s="111"/>
      <c r="NT6" s="111"/>
      <c r="NU6" s="111"/>
      <c r="NV6" s="111"/>
      <c r="NW6" s="111"/>
      <c r="NX6" s="111"/>
      <c r="NY6" s="111"/>
      <c r="NZ6" s="111"/>
      <c r="OA6" s="111"/>
      <c r="OB6" s="111"/>
      <c r="OC6" s="111"/>
      <c r="OD6" s="111"/>
      <c r="OE6" s="111"/>
      <c r="OF6" s="111"/>
      <c r="OG6" s="111"/>
      <c r="OH6" s="111"/>
      <c r="OI6" s="111"/>
      <c r="OJ6" s="111"/>
      <c r="OK6" s="111"/>
      <c r="OL6" s="111"/>
      <c r="OM6" s="111"/>
      <c r="ON6" s="111"/>
      <c r="OO6" s="111"/>
      <c r="OP6" s="111"/>
      <c r="OQ6" s="111"/>
      <c r="OR6" s="111"/>
      <c r="OS6" s="111"/>
      <c r="OT6" s="111"/>
      <c r="OU6" s="111"/>
      <c r="OV6" s="111"/>
      <c r="OW6" s="111"/>
      <c r="OX6" s="111"/>
      <c r="OY6" s="111"/>
      <c r="OZ6" s="111"/>
      <c r="PA6" s="111"/>
      <c r="PB6" s="111"/>
      <c r="PC6" s="111"/>
      <c r="PD6" s="111"/>
      <c r="PE6" s="111"/>
      <c r="PF6" s="111"/>
      <c r="PG6" s="111"/>
      <c r="PH6" s="111"/>
      <c r="PI6" s="111"/>
      <c r="PJ6" s="111"/>
      <c r="PK6" s="111"/>
      <c r="PL6" s="111"/>
      <c r="PM6" s="111"/>
      <c r="PN6" s="111"/>
      <c r="PO6" s="111"/>
      <c r="PP6" s="111"/>
      <c r="PQ6" s="111"/>
      <c r="PR6" s="111"/>
      <c r="PS6" s="111"/>
      <c r="PT6" s="111"/>
      <c r="PU6" s="111"/>
      <c r="PV6" s="111"/>
      <c r="PW6" s="111"/>
      <c r="PX6" s="111"/>
      <c r="PY6" s="111"/>
      <c r="PZ6" s="111"/>
      <c r="QA6" s="111"/>
      <c r="QB6" s="111"/>
      <c r="QC6" s="111"/>
      <c r="QD6" s="111"/>
      <c r="QE6" s="111"/>
      <c r="QF6" s="111"/>
      <c r="QG6" s="111"/>
      <c r="QH6" s="111"/>
      <c r="QI6" s="111"/>
      <c r="QJ6" s="111"/>
      <c r="QK6" s="111"/>
      <c r="QL6" s="111"/>
      <c r="QM6" s="111"/>
      <c r="QN6" s="111"/>
      <c r="QO6" s="111"/>
      <c r="QP6" s="111"/>
      <c r="QQ6" s="111"/>
      <c r="QR6" s="111"/>
      <c r="QS6" s="111"/>
      <c r="QT6" s="111"/>
      <c r="QU6" s="111"/>
      <c r="QV6" s="111"/>
      <c r="QW6" s="111"/>
      <c r="QX6" s="111"/>
      <c r="QY6" s="111"/>
      <c r="QZ6" s="111"/>
      <c r="RA6" s="111"/>
      <c r="RB6" s="111"/>
      <c r="RC6" s="111"/>
      <c r="RD6" s="111"/>
      <c r="RE6" s="111"/>
      <c r="RF6" s="111"/>
      <c r="RG6" s="111"/>
      <c r="RH6" s="111"/>
      <c r="RI6" s="111"/>
      <c r="RJ6" s="111"/>
      <c r="RK6" s="111"/>
      <c r="RL6" s="111"/>
      <c r="RM6" s="111"/>
      <c r="RN6" s="111"/>
      <c r="RO6" s="111"/>
      <c r="RP6" s="111"/>
      <c r="RQ6" s="111"/>
      <c r="RR6" s="111"/>
      <c r="RS6" s="111"/>
      <c r="RT6" s="111"/>
      <c r="RU6" s="111"/>
      <c r="RV6" s="111"/>
      <c r="RW6" s="111"/>
      <c r="RX6" s="111"/>
      <c r="RY6" s="111"/>
      <c r="RZ6" s="111"/>
      <c r="SA6" s="111"/>
      <c r="SB6" s="111"/>
      <c r="SC6" s="111"/>
      <c r="SD6" s="111"/>
      <c r="SE6" s="111"/>
      <c r="SF6" s="111"/>
      <c r="SG6" s="111"/>
      <c r="SH6" s="111"/>
      <c r="SI6" s="111"/>
      <c r="SJ6" s="111"/>
      <c r="SK6" s="111"/>
      <c r="SL6" s="111"/>
      <c r="SM6" s="111"/>
      <c r="SN6" s="111"/>
      <c r="SO6" s="111"/>
      <c r="SP6" s="111"/>
      <c r="SQ6" s="111"/>
      <c r="SR6" s="111"/>
      <c r="SS6" s="111"/>
      <c r="ST6" s="111"/>
      <c r="SU6" s="111"/>
      <c r="SV6" s="111"/>
      <c r="SW6" s="111"/>
      <c r="SX6" s="111"/>
      <c r="SY6" s="111"/>
      <c r="SZ6" s="111"/>
      <c r="TA6" s="111"/>
      <c r="TB6" s="111"/>
      <c r="TC6" s="111"/>
      <c r="TD6" s="111"/>
      <c r="TE6" s="111"/>
      <c r="TF6" s="111"/>
      <c r="TG6" s="111"/>
      <c r="TH6" s="111"/>
      <c r="TI6" s="111"/>
      <c r="TJ6" s="111"/>
      <c r="TK6" s="111"/>
      <c r="TL6" s="111"/>
      <c r="TM6" s="111"/>
      <c r="TN6" s="111"/>
      <c r="TO6" s="111"/>
      <c r="TP6" s="111"/>
      <c r="TQ6" s="111"/>
      <c r="TR6" s="111"/>
      <c r="TS6" s="111"/>
      <c r="TT6" s="111"/>
      <c r="TU6" s="111"/>
      <c r="TV6" s="111"/>
      <c r="TW6" s="111"/>
      <c r="TX6" s="111"/>
      <c r="TY6" s="111"/>
      <c r="TZ6" s="111"/>
      <c r="UA6" s="111"/>
      <c r="UB6" s="111"/>
      <c r="UC6" s="111"/>
      <c r="UD6" s="111"/>
      <c r="UE6" s="111"/>
      <c r="UF6" s="111"/>
      <c r="UG6" s="111"/>
      <c r="UH6" s="111"/>
      <c r="UI6" s="111"/>
      <c r="UJ6" s="111"/>
      <c r="UK6" s="111"/>
      <c r="UL6" s="111"/>
      <c r="UM6" s="111"/>
      <c r="UN6" s="111"/>
      <c r="UO6" s="111"/>
      <c r="UP6" s="111"/>
      <c r="UQ6" s="111"/>
      <c r="UR6" s="111"/>
      <c r="US6" s="111"/>
      <c r="UT6" s="111"/>
      <c r="UU6" s="111"/>
      <c r="UV6" s="111"/>
      <c r="UW6" s="111"/>
      <c r="UX6" s="111"/>
      <c r="UY6" s="111"/>
      <c r="UZ6" s="111"/>
      <c r="VA6" s="111"/>
      <c r="VB6" s="111"/>
      <c r="VC6" s="111"/>
      <c r="VD6" s="111"/>
      <c r="VE6" s="111"/>
      <c r="VF6" s="111"/>
      <c r="VG6" s="111"/>
      <c r="VH6" s="111"/>
      <c r="VI6" s="111"/>
      <c r="VJ6" s="111"/>
      <c r="VK6" s="111"/>
      <c r="VL6" s="111"/>
      <c r="VM6" s="111"/>
      <c r="VN6" s="111"/>
      <c r="VO6" s="111"/>
      <c r="VP6" s="111"/>
      <c r="VQ6" s="111"/>
      <c r="VR6" s="111"/>
      <c r="VS6" s="111"/>
      <c r="VT6" s="111"/>
      <c r="VU6" s="111"/>
      <c r="VV6" s="111"/>
      <c r="VW6" s="111"/>
      <c r="VX6" s="111"/>
      <c r="VY6" s="111"/>
      <c r="VZ6" s="111"/>
      <c r="WA6" s="111"/>
      <c r="WB6" s="111"/>
      <c r="WC6" s="111"/>
      <c r="WD6" s="111"/>
      <c r="WE6" s="111"/>
      <c r="WF6" s="111"/>
      <c r="WG6" s="111"/>
      <c r="WH6" s="111"/>
      <c r="WI6" s="111"/>
      <c r="WJ6" s="111"/>
      <c r="WK6" s="111"/>
      <c r="WL6" s="111"/>
      <c r="WM6" s="111"/>
      <c r="WN6" s="111"/>
      <c r="WO6" s="111"/>
      <c r="WP6" s="111"/>
      <c r="WQ6" s="111"/>
      <c r="WR6" s="111"/>
      <c r="WS6" s="111"/>
      <c r="WT6" s="111"/>
      <c r="WU6" s="111"/>
      <c r="WV6" s="111"/>
      <c r="WW6" s="111"/>
      <c r="WX6" s="111"/>
      <c r="WY6" s="111"/>
      <c r="WZ6" s="111"/>
      <c r="XA6" s="111"/>
      <c r="XB6" s="111"/>
      <c r="XC6" s="111"/>
      <c r="XD6" s="111"/>
      <c r="XE6" s="111"/>
      <c r="XF6" s="111"/>
      <c r="XG6" s="111"/>
      <c r="XH6" s="111"/>
      <c r="XI6" s="111"/>
      <c r="XJ6" s="111"/>
      <c r="XK6" s="111"/>
      <c r="XL6" s="111"/>
      <c r="XM6" s="111"/>
      <c r="XN6" s="111"/>
      <c r="XO6" s="111"/>
      <c r="XP6" s="111"/>
      <c r="XQ6" s="111"/>
      <c r="XR6" s="111"/>
      <c r="XS6" s="111"/>
      <c r="XT6" s="111"/>
      <c r="XU6" s="111"/>
      <c r="XV6" s="111"/>
      <c r="XW6" s="111"/>
      <c r="XX6" s="111"/>
      <c r="XY6" s="111"/>
      <c r="XZ6" s="111"/>
      <c r="YA6" s="111"/>
      <c r="YB6" s="111"/>
      <c r="YC6" s="111"/>
      <c r="YD6" s="111"/>
      <c r="YE6" s="111"/>
      <c r="YF6" s="111"/>
      <c r="YG6" s="111"/>
      <c r="YH6" s="111"/>
      <c r="YI6" s="111"/>
      <c r="YJ6" s="111"/>
      <c r="YK6" s="111"/>
      <c r="YL6" s="111"/>
      <c r="YM6" s="111"/>
      <c r="YN6" s="111"/>
      <c r="YO6" s="111"/>
      <c r="YP6" s="111"/>
      <c r="YQ6" s="111"/>
      <c r="YR6" s="111"/>
      <c r="YS6" s="111"/>
      <c r="YT6" s="111"/>
      <c r="YU6" s="111"/>
      <c r="YV6" s="111"/>
      <c r="YW6" s="111"/>
      <c r="YX6" s="111"/>
      <c r="YY6" s="111"/>
      <c r="YZ6" s="111"/>
      <c r="ZA6" s="111"/>
      <c r="ZB6" s="111"/>
      <c r="ZC6" s="111"/>
      <c r="ZD6" s="111"/>
      <c r="ZE6" s="111"/>
      <c r="ZF6" s="111"/>
      <c r="ZG6" s="111"/>
      <c r="ZH6" s="111"/>
      <c r="ZI6" s="111"/>
      <c r="ZJ6" s="111"/>
      <c r="ZK6" s="111"/>
      <c r="ZL6" s="111"/>
      <c r="ZM6" s="111"/>
      <c r="ZN6" s="111"/>
      <c r="ZO6" s="111"/>
      <c r="ZP6" s="111"/>
      <c r="ZQ6" s="111"/>
      <c r="ZR6" s="111"/>
      <c r="ZS6" s="111"/>
      <c r="ZT6" s="111"/>
      <c r="ZU6" s="111"/>
      <c r="ZV6" s="111"/>
      <c r="ZW6" s="111"/>
      <c r="ZX6" s="111"/>
      <c r="ZY6" s="111"/>
      <c r="ZZ6" s="111"/>
      <c r="AAA6" s="111"/>
      <c r="AAB6" s="111"/>
      <c r="AAC6" s="111"/>
      <c r="AAD6" s="111"/>
      <c r="AAE6" s="111"/>
      <c r="AAF6" s="111"/>
      <c r="AAG6" s="111"/>
      <c r="AAH6" s="111"/>
      <c r="AAI6" s="111"/>
      <c r="AAJ6" s="111"/>
      <c r="AAK6" s="111"/>
      <c r="AAL6" s="111"/>
      <c r="AAM6" s="111"/>
      <c r="AAN6" s="111"/>
      <c r="AAO6" s="111"/>
      <c r="AAP6" s="111"/>
      <c r="AAQ6" s="111"/>
      <c r="AAR6" s="111"/>
      <c r="AAS6" s="111"/>
      <c r="AAT6" s="111"/>
      <c r="AAU6" s="111"/>
      <c r="AAV6" s="111"/>
      <c r="AAW6" s="111"/>
      <c r="AAX6" s="111"/>
      <c r="AAY6" s="111"/>
      <c r="AAZ6" s="111"/>
      <c r="ABA6" s="111"/>
      <c r="ABB6" s="111"/>
      <c r="ABC6" s="111"/>
      <c r="ABD6" s="111"/>
      <c r="ABE6" s="111"/>
      <c r="ABF6" s="111"/>
      <c r="ABG6" s="111"/>
      <c r="ABH6" s="111"/>
      <c r="ABI6" s="111"/>
      <c r="ABJ6" s="111"/>
      <c r="ABK6" s="111"/>
      <c r="ABL6" s="111"/>
      <c r="ABM6" s="111"/>
      <c r="ABN6" s="111"/>
      <c r="ABO6" s="111"/>
      <c r="ABP6" s="111"/>
      <c r="ABQ6" s="111"/>
      <c r="ABR6" s="111"/>
      <c r="ABS6" s="111"/>
      <c r="ABT6" s="111"/>
      <c r="ABU6" s="111"/>
      <c r="ABV6" s="111"/>
      <c r="ABW6" s="111"/>
      <c r="ABX6" s="111"/>
      <c r="ABY6" s="111"/>
      <c r="ABZ6" s="111"/>
      <c r="ACA6" s="111"/>
      <c r="ACB6" s="111"/>
      <c r="ACC6" s="111"/>
      <c r="ACD6" s="111"/>
      <c r="ACE6" s="111"/>
      <c r="ACF6" s="111"/>
      <c r="ACG6" s="111"/>
      <c r="ACH6" s="111"/>
      <c r="ACI6" s="111"/>
      <c r="ACJ6" s="111"/>
      <c r="ACK6" s="111"/>
      <c r="ACL6" s="111"/>
      <c r="ACM6" s="111"/>
      <c r="ACN6" s="111"/>
      <c r="ACO6" s="111"/>
      <c r="ACP6" s="111"/>
      <c r="ACQ6" s="111"/>
      <c r="ACR6" s="111"/>
      <c r="ACS6" s="111"/>
      <c r="ACT6" s="111"/>
      <c r="ACU6" s="111"/>
      <c r="ACV6" s="111"/>
      <c r="ACW6" s="111"/>
      <c r="ACX6" s="111"/>
      <c r="ACY6" s="111"/>
      <c r="ACZ6" s="111"/>
      <c r="ADA6" s="111"/>
      <c r="ADB6" s="111"/>
      <c r="ADC6" s="111"/>
      <c r="ADD6" s="111"/>
      <c r="ADE6" s="111"/>
      <c r="ADF6" s="111"/>
      <c r="ADG6" s="111"/>
      <c r="ADH6" s="111"/>
      <c r="ADI6" s="111"/>
      <c r="ADJ6" s="111"/>
      <c r="ADK6" s="111"/>
      <c r="ADL6" s="111"/>
      <c r="ADM6" s="111"/>
      <c r="ADN6" s="111"/>
      <c r="ADO6" s="111"/>
      <c r="ADP6" s="111"/>
      <c r="ADQ6" s="111"/>
      <c r="ADR6" s="111"/>
      <c r="ADS6" s="111"/>
      <c r="ADT6" s="111"/>
      <c r="ADU6" s="111"/>
      <c r="ADV6" s="111"/>
      <c r="ADW6" s="111"/>
      <c r="ADX6" s="111"/>
      <c r="ADY6" s="111"/>
      <c r="ADZ6" s="111"/>
      <c r="AEA6" s="111"/>
      <c r="AEB6" s="111"/>
      <c r="AEC6" s="111"/>
      <c r="AED6" s="111"/>
      <c r="AEE6" s="111"/>
      <c r="AEF6" s="111"/>
      <c r="AEG6" s="111"/>
      <c r="AEH6" s="111"/>
      <c r="AEI6" s="111"/>
      <c r="AEJ6" s="111"/>
      <c r="AEK6" s="111"/>
      <c r="AEL6" s="111"/>
      <c r="AEM6" s="111"/>
      <c r="AEN6" s="111"/>
      <c r="AEO6" s="111"/>
      <c r="AEP6" s="111"/>
      <c r="AEQ6" s="111"/>
      <c r="AER6" s="111"/>
      <c r="AES6" s="111"/>
      <c r="AET6" s="111"/>
      <c r="AEU6" s="111"/>
      <c r="AEV6" s="111"/>
      <c r="AEW6" s="111"/>
      <c r="AEX6" s="111"/>
      <c r="AEY6" s="111"/>
      <c r="AEZ6" s="111"/>
      <c r="AFA6" s="111"/>
      <c r="AFB6" s="111"/>
      <c r="AFC6" s="111"/>
      <c r="AFD6" s="111"/>
      <c r="AFE6" s="111"/>
      <c r="AFF6" s="111"/>
      <c r="AFG6" s="111"/>
      <c r="AFH6" s="111"/>
      <c r="AFI6" s="111"/>
      <c r="AFJ6" s="111"/>
      <c r="AFK6" s="111"/>
      <c r="AFL6" s="111"/>
      <c r="AFM6" s="111"/>
      <c r="AFN6" s="111"/>
      <c r="AFO6" s="111"/>
      <c r="AFP6" s="111"/>
      <c r="AFQ6" s="111"/>
      <c r="AFR6" s="111"/>
      <c r="AFS6" s="111"/>
      <c r="AFT6" s="111"/>
      <c r="AFU6" s="111"/>
      <c r="AFV6" s="111"/>
      <c r="AFW6" s="111"/>
      <c r="AFX6" s="111"/>
      <c r="AFY6" s="111"/>
      <c r="AFZ6" s="111"/>
      <c r="AGA6" s="111"/>
      <c r="AGB6" s="111"/>
      <c r="AGC6" s="111"/>
      <c r="AGD6" s="111"/>
      <c r="AGE6" s="111"/>
      <c r="AGF6" s="111"/>
      <c r="AGG6" s="111"/>
      <c r="AGH6" s="111"/>
      <c r="AGI6" s="111"/>
      <c r="AGJ6" s="111"/>
      <c r="AGK6" s="111"/>
      <c r="AGL6" s="111"/>
      <c r="AGM6" s="111"/>
      <c r="AGN6" s="111"/>
      <c r="AGO6" s="111"/>
      <c r="AGP6" s="111"/>
      <c r="AGQ6" s="111"/>
      <c r="AGR6" s="111"/>
      <c r="AGS6" s="111"/>
      <c r="AGT6" s="111"/>
      <c r="AGU6" s="111"/>
      <c r="AGV6" s="111"/>
    </row>
    <row r="7" spans="1:880" ht="30" customHeight="1" outlineLevel="1" x14ac:dyDescent="0.2">
      <c r="B7" s="267" t="s">
        <v>402</v>
      </c>
      <c r="DM7" s="267" t="s">
        <v>362</v>
      </c>
    </row>
    <row r="8" spans="1:880" s="249" customFormat="1" ht="30" hidden="1" customHeight="1" x14ac:dyDescent="0.2">
      <c r="B8" s="251">
        <f>SUBTOTAL(3,B6:B6)</f>
        <v>1</v>
      </c>
      <c r="C8" s="252" t="s">
        <v>350</v>
      </c>
      <c r="D8" s="253">
        <f>SUBTOTAL(3,D6:D6)</f>
        <v>1</v>
      </c>
      <c r="E8" s="253">
        <f>SUBTOTAL(3,E6:E6)</f>
        <v>1</v>
      </c>
      <c r="G8" s="253">
        <f>SUBTOTAL(3,G6:G6)</f>
        <v>0</v>
      </c>
      <c r="H8" s="254"/>
      <c r="J8" s="255"/>
      <c r="K8" s="251">
        <f>SUBTOTAL(3,K6:K6)</f>
        <v>1</v>
      </c>
      <c r="L8" s="255"/>
      <c r="M8" s="255"/>
      <c r="O8" s="251">
        <f t="shared" ref="O8:AQ8" si="33">SUBTOTAL(9,O6:O6)</f>
        <v>0</v>
      </c>
      <c r="P8" s="251">
        <f t="shared" si="33"/>
        <v>0</v>
      </c>
      <c r="Q8" s="251">
        <f t="shared" si="33"/>
        <v>0</v>
      </c>
      <c r="R8" s="251">
        <f t="shared" si="33"/>
        <v>0</v>
      </c>
      <c r="S8" s="251">
        <f t="shared" si="33"/>
        <v>0</v>
      </c>
      <c r="T8" s="251">
        <f t="shared" si="33"/>
        <v>0</v>
      </c>
      <c r="U8" s="251">
        <f t="shared" si="33"/>
        <v>0</v>
      </c>
      <c r="V8" s="251">
        <f t="shared" si="33"/>
        <v>0</v>
      </c>
      <c r="W8" s="251"/>
      <c r="X8" s="251"/>
      <c r="Y8" s="251"/>
      <c r="Z8" s="251"/>
      <c r="AA8" s="251">
        <f t="shared" si="33"/>
        <v>0</v>
      </c>
      <c r="AB8" s="251">
        <f t="shared" si="33"/>
        <v>0</v>
      </c>
      <c r="AC8" s="251">
        <f t="shared" si="33"/>
        <v>0</v>
      </c>
      <c r="AD8" s="251">
        <f t="shared" si="33"/>
        <v>0</v>
      </c>
      <c r="AE8" s="251">
        <f t="shared" si="33"/>
        <v>0</v>
      </c>
      <c r="AF8" s="251">
        <f t="shared" si="33"/>
        <v>0</v>
      </c>
      <c r="AG8" s="251">
        <f t="shared" si="33"/>
        <v>0</v>
      </c>
      <c r="AH8" s="251">
        <f>SUBTOTAL(9,AH6:AH6)</f>
        <v>0</v>
      </c>
      <c r="AI8" s="251">
        <f t="shared" si="33"/>
        <v>0</v>
      </c>
      <c r="AJ8" s="251">
        <f t="shared" si="33"/>
        <v>0</v>
      </c>
      <c r="AK8" s="251">
        <f t="shared" si="33"/>
        <v>0</v>
      </c>
      <c r="AL8" s="251">
        <f t="shared" si="33"/>
        <v>0</v>
      </c>
      <c r="AM8" s="251">
        <f t="shared" si="33"/>
        <v>0</v>
      </c>
      <c r="AN8" s="251">
        <f t="shared" si="33"/>
        <v>0</v>
      </c>
      <c r="AO8" s="251">
        <f t="shared" si="33"/>
        <v>0</v>
      </c>
      <c r="AP8" s="251">
        <f t="shared" si="33"/>
        <v>0</v>
      </c>
      <c r="AQ8" s="251">
        <f t="shared" si="33"/>
        <v>0</v>
      </c>
      <c r="AR8" s="251">
        <f t="shared" ref="AR8:AX8" si="34">SUBTOTAL(3,AR6:AR6)</f>
        <v>1</v>
      </c>
      <c r="AS8" s="251">
        <f t="shared" si="34"/>
        <v>1</v>
      </c>
      <c r="AT8" s="251">
        <f t="shared" si="34"/>
        <v>1</v>
      </c>
      <c r="AU8" s="251">
        <f t="shared" si="34"/>
        <v>1</v>
      </c>
      <c r="AV8" s="251">
        <f t="shared" si="34"/>
        <v>1</v>
      </c>
      <c r="AW8" s="251">
        <f t="shared" si="34"/>
        <v>1</v>
      </c>
      <c r="AX8" s="251">
        <f t="shared" si="34"/>
        <v>1</v>
      </c>
      <c r="AY8" s="251">
        <f>SUBTOTAL(9,AY6:AY6)</f>
        <v>0</v>
      </c>
      <c r="AZ8" s="251">
        <f>SUBTOTAL(9,AZ6:AZ6)</f>
        <v>0</v>
      </c>
      <c r="BA8" s="251">
        <f>SUBTOTAL(3,BA6:BA6)</f>
        <v>1</v>
      </c>
      <c r="BB8" s="251">
        <f>SUBTOTAL(3,BB6:BB6)</f>
        <v>1</v>
      </c>
      <c r="BC8" s="251">
        <f>SUBTOTAL(3,BC6:BC6)</f>
        <v>1</v>
      </c>
      <c r="BD8" s="251">
        <f t="shared" ref="BD8:BR8" si="35">SUBTOTAL(9,BD6:BD6)</f>
        <v>0</v>
      </c>
      <c r="BE8" s="251">
        <f t="shared" si="35"/>
        <v>0</v>
      </c>
      <c r="BF8" s="251">
        <f t="shared" si="35"/>
        <v>0</v>
      </c>
      <c r="BG8" s="251">
        <f t="shared" si="35"/>
        <v>0</v>
      </c>
      <c r="BH8" s="251">
        <f t="shared" si="35"/>
        <v>0</v>
      </c>
      <c r="BI8" s="251">
        <f t="shared" si="35"/>
        <v>0</v>
      </c>
      <c r="BJ8" s="251">
        <f t="shared" si="35"/>
        <v>0</v>
      </c>
      <c r="BK8" s="251">
        <f t="shared" si="35"/>
        <v>0</v>
      </c>
      <c r="BL8" s="251">
        <f t="shared" si="35"/>
        <v>0</v>
      </c>
      <c r="BM8" s="251">
        <f t="shared" si="35"/>
        <v>0</v>
      </c>
      <c r="BN8" s="251">
        <f t="shared" si="35"/>
        <v>0</v>
      </c>
      <c r="BO8" s="251">
        <f t="shared" si="35"/>
        <v>0</v>
      </c>
      <c r="BP8" s="251">
        <f t="shared" si="35"/>
        <v>0</v>
      </c>
      <c r="BQ8" s="251">
        <f t="shared" si="35"/>
        <v>0</v>
      </c>
      <c r="BR8" s="251">
        <f t="shared" si="35"/>
        <v>0</v>
      </c>
      <c r="BS8" s="251">
        <f>SUBTOTAL(3,BS6:BS6)</f>
        <v>0</v>
      </c>
      <c r="BT8" s="251">
        <f>SUBTOTAL(3,BT6:BT6)</f>
        <v>0</v>
      </c>
      <c r="BU8" s="251">
        <f>SUBTOTAL(3,BU6:BU6)</f>
        <v>0</v>
      </c>
      <c r="BV8" s="251">
        <f>SUBTOTAL(9,BV6:BV6)</f>
        <v>0</v>
      </c>
      <c r="BW8" s="251">
        <f>SUBTOTAL(3,BW6:BW6)</f>
        <v>0</v>
      </c>
      <c r="BX8" s="251">
        <f>SUBTOTAL(9,BX6:BX6)</f>
        <v>0</v>
      </c>
      <c r="BY8" s="254"/>
      <c r="BZ8" s="254"/>
      <c r="CA8" s="254"/>
      <c r="CB8" s="254"/>
      <c r="CC8" s="254"/>
      <c r="CD8" s="254"/>
      <c r="CE8" s="254"/>
      <c r="CF8" s="254"/>
      <c r="CG8" s="254"/>
      <c r="CH8" s="254"/>
      <c r="CI8" s="254"/>
      <c r="CJ8" s="254"/>
      <c r="CK8" s="254"/>
      <c r="CL8" s="251">
        <f>SUBTOTAL(9,CL6:CL6)</f>
        <v>0</v>
      </c>
      <c r="CM8" s="251">
        <f>SUBTOTAL(3,CM6:CM6)</f>
        <v>1</v>
      </c>
      <c r="CO8" s="253">
        <f>SUBTOTAL(3,CO6:CO6)</f>
        <v>1</v>
      </c>
      <c r="CP8" s="251">
        <f>SUBTOTAL(9,CP6:CP6)</f>
        <v>0</v>
      </c>
      <c r="CQ8" s="251">
        <f>SUBTOTAL(9,CQ6:CQ6)</f>
        <v>0</v>
      </c>
      <c r="CR8" s="255"/>
      <c r="CS8" s="254"/>
      <c r="CV8" s="254"/>
      <c r="CW8" s="254"/>
      <c r="DB8" s="251">
        <f>SUBTOTAL(3,DB6:DB6)</f>
        <v>1</v>
      </c>
      <c r="DD8" s="251">
        <f>SUBTOTAL(3,DD6:DD6)</f>
        <v>1</v>
      </c>
      <c r="DF8" s="251">
        <f>SUBTOTAL(3,DF6:DF6)</f>
        <v>1</v>
      </c>
      <c r="DH8" s="251">
        <f>SUBTOTAL(3,DH6:DH6)</f>
        <v>1</v>
      </c>
      <c r="DJ8" s="251">
        <f>SUBTOTAL(3,DJ6:DJ6)</f>
        <v>1</v>
      </c>
      <c r="DM8" s="251" t="e">
        <f>SUBTOTAL(9,DM6:DM6)</f>
        <v>#REF!</v>
      </c>
      <c r="DN8" s="251" t="e">
        <f>SUBTOTAL(9,DN6:DN6)</f>
        <v>#REF!</v>
      </c>
      <c r="DO8" s="251">
        <f>SUBTOTAL(3,DO6:DO6)</f>
        <v>0</v>
      </c>
      <c r="DP8" s="251" t="e">
        <f>SUBTOTAL(9,DP6:DP6)</f>
        <v>#REF!</v>
      </c>
      <c r="DQ8" s="251" t="e">
        <f>SUBTOTAL(9,DQ6:DQ6)</f>
        <v>#REF!</v>
      </c>
      <c r="DR8" s="251" t="e">
        <f>SUBTOTAL(9,DR6:DR6)</f>
        <v>#REF!</v>
      </c>
      <c r="DS8" s="251" t="e">
        <f>SUBTOTAL(9,DS6:DS6)</f>
        <v>#REF!</v>
      </c>
      <c r="DT8" s="251">
        <f>SUBTOTAL(3,DT6:DT6)</f>
        <v>0</v>
      </c>
      <c r="DU8" s="251" t="e">
        <f>SUBTOTAL(9,DU6:DU6)</f>
        <v>#REF!</v>
      </c>
      <c r="DV8" s="251" t="e">
        <f>SUBTOTAL(9,DV6:DV6)</f>
        <v>#REF!</v>
      </c>
      <c r="DW8" s="251" t="e">
        <f>SUBTOTAL(9,DW6:DW6)</f>
        <v>#REF!</v>
      </c>
      <c r="DX8" s="251" t="e">
        <f>SUBTOTAL(9,DX6:DX6)</f>
        <v>#REF!</v>
      </c>
      <c r="DY8" s="251">
        <f>SUBTOTAL(3,DY6:DY6)</f>
        <v>0</v>
      </c>
      <c r="DZ8" s="251" t="e">
        <f>SUBTOTAL(9,DZ6:DZ6)</f>
        <v>#REF!</v>
      </c>
      <c r="EA8" s="251" t="e">
        <f>SUBTOTAL(9,EA6:EA6)</f>
        <v>#REF!</v>
      </c>
      <c r="EB8" s="251" t="e">
        <f>SUBTOTAL(9,EB6:EB6)</f>
        <v>#REF!</v>
      </c>
      <c r="EC8" s="251" t="e">
        <f>SUBTOTAL(9,EC6:EC6)</f>
        <v>#REF!</v>
      </c>
      <c r="ED8" s="251">
        <f>SUBTOTAL(3,ED6:ED6)</f>
        <v>1</v>
      </c>
      <c r="EE8" s="251" t="e">
        <f t="shared" ref="EE8:EU8" si="36">SUBTOTAL(9,EE6:EE6)</f>
        <v>#REF!</v>
      </c>
      <c r="EF8" s="251" t="e">
        <f t="shared" si="36"/>
        <v>#REF!</v>
      </c>
      <c r="EG8" s="251">
        <f t="shared" si="36"/>
        <v>0</v>
      </c>
      <c r="EH8" s="251" t="e">
        <f t="shared" si="36"/>
        <v>#REF!</v>
      </c>
      <c r="EI8" s="251" t="e">
        <f t="shared" si="36"/>
        <v>#REF!</v>
      </c>
      <c r="EJ8" s="251" t="e">
        <f t="shared" si="36"/>
        <v>#REF!</v>
      </c>
      <c r="EK8" s="251" t="e">
        <f t="shared" si="36"/>
        <v>#REF!</v>
      </c>
      <c r="EL8" s="251" t="e">
        <f t="shared" si="36"/>
        <v>#REF!</v>
      </c>
      <c r="EM8" s="251" t="e">
        <f t="shared" si="36"/>
        <v>#REF!</v>
      </c>
      <c r="EN8" s="251" t="e">
        <f t="shared" si="36"/>
        <v>#REF!</v>
      </c>
      <c r="EO8" s="251" t="e">
        <f t="shared" si="36"/>
        <v>#REF!</v>
      </c>
      <c r="EP8" s="251" t="e">
        <f t="shared" si="36"/>
        <v>#REF!</v>
      </c>
      <c r="EQ8" s="251" t="e">
        <f t="shared" si="36"/>
        <v>#REF!</v>
      </c>
      <c r="ER8" s="251" t="e">
        <f t="shared" si="36"/>
        <v>#REF!</v>
      </c>
      <c r="ES8" s="251" t="e">
        <f t="shared" si="36"/>
        <v>#REF!</v>
      </c>
      <c r="ET8" s="251" t="e">
        <f t="shared" si="36"/>
        <v>#REF!</v>
      </c>
      <c r="EU8" s="251" t="e">
        <f t="shared" si="36"/>
        <v>#REF!</v>
      </c>
      <c r="EV8" s="251">
        <f t="shared" ref="EV8:FB8" si="37">SUBTOTAL(3,EV6:EV6)</f>
        <v>1</v>
      </c>
      <c r="EW8" s="251">
        <f t="shared" si="37"/>
        <v>1</v>
      </c>
      <c r="EX8" s="251">
        <f t="shared" si="37"/>
        <v>1</v>
      </c>
      <c r="EY8" s="251">
        <f t="shared" si="37"/>
        <v>1</v>
      </c>
      <c r="EZ8" s="251">
        <f t="shared" si="37"/>
        <v>1</v>
      </c>
      <c r="FA8" s="251">
        <f t="shared" si="37"/>
        <v>1</v>
      </c>
      <c r="FB8" s="251">
        <f t="shared" si="37"/>
        <v>1</v>
      </c>
      <c r="FC8" s="251" t="e">
        <f>SUBTOTAL(9,FC6:FC6)</f>
        <v>#REF!</v>
      </c>
      <c r="FD8" s="251" t="e">
        <f>SUBTOTAL(9,FD6:FD6)</f>
        <v>#REF!</v>
      </c>
      <c r="FE8" s="251" t="e">
        <f>SUBTOTAL(9,FE6:FE6)</f>
        <v>#REF!</v>
      </c>
      <c r="FF8" s="251">
        <f>SUBTOTAL(3,FF6:FF6)</f>
        <v>0</v>
      </c>
      <c r="FG8" s="251">
        <f>SUBTOTAL(3,FG6:FG6)</f>
        <v>0</v>
      </c>
      <c r="FH8" s="251">
        <f>SUBTOTAL(3,FH6:FH6)</f>
        <v>0</v>
      </c>
      <c r="FI8" s="251">
        <f>SUBTOTAL(3,FI6:FI6)</f>
        <v>0</v>
      </c>
      <c r="FJ8" s="251" t="e">
        <f>SUBTOTAL(9,FJ6:FJ6)</f>
        <v>#REF!</v>
      </c>
      <c r="FK8" s="251" t="e">
        <f>SUBTOTAL(9,FK6:FK6)</f>
        <v>#REF!</v>
      </c>
      <c r="FL8" s="251">
        <f>SUBTOTAL(9,FL6:FL6)</f>
        <v>0</v>
      </c>
      <c r="FM8" s="251">
        <f>SUBTOTAL(9,FM6:FM6)</f>
        <v>0</v>
      </c>
      <c r="FN8" s="251">
        <f>SUBTOTAL(3,FN6:FN6)</f>
        <v>0</v>
      </c>
      <c r="FO8" s="251">
        <f>SUBTOTAL(9,FO6:FO6)</f>
        <v>0</v>
      </c>
      <c r="FP8" s="251">
        <f>SUBTOTAL(3,FP6:FP6)</f>
        <v>0</v>
      </c>
      <c r="FQ8" s="251">
        <f t="shared" ref="FQ8:GD8" si="38">SUBTOTAL(9,FQ6:FQ6)</f>
        <v>0</v>
      </c>
      <c r="FR8" s="251">
        <f t="shared" si="38"/>
        <v>0</v>
      </c>
      <c r="FS8" s="251">
        <f t="shared" si="38"/>
        <v>0</v>
      </c>
      <c r="FT8" s="251">
        <f t="shared" si="38"/>
        <v>0</v>
      </c>
      <c r="FU8" s="251">
        <f t="shared" si="38"/>
        <v>0</v>
      </c>
      <c r="FV8" s="251">
        <f t="shared" si="38"/>
        <v>0</v>
      </c>
      <c r="FW8" s="251">
        <f t="shared" si="38"/>
        <v>0</v>
      </c>
      <c r="FX8" s="251">
        <f t="shared" si="38"/>
        <v>0</v>
      </c>
      <c r="FY8" s="251">
        <f t="shared" si="38"/>
        <v>0</v>
      </c>
      <c r="FZ8" s="251">
        <f t="shared" si="38"/>
        <v>0</v>
      </c>
      <c r="GA8" s="251">
        <f t="shared" si="38"/>
        <v>0</v>
      </c>
      <c r="GB8" s="251">
        <f t="shared" si="38"/>
        <v>0</v>
      </c>
      <c r="GC8" s="251">
        <f t="shared" si="38"/>
        <v>0</v>
      </c>
      <c r="GD8" s="251">
        <f t="shared" si="38"/>
        <v>0</v>
      </c>
      <c r="GE8" s="251">
        <f>SUBTOTAL(3,GE6:GE6)</f>
        <v>0</v>
      </c>
      <c r="GF8" s="251">
        <f>SUBTOTAL(3,GF6:GF6)</f>
        <v>0</v>
      </c>
      <c r="GG8" s="251">
        <f>SUBTOTAL(3,GG6:GG6)</f>
        <v>0</v>
      </c>
      <c r="GH8" s="251">
        <f>SUBTOTAL(9,GH6:GH6)</f>
        <v>0</v>
      </c>
      <c r="GI8" s="251">
        <f>SUBTOTAL(9,GI6:GI6)</f>
        <v>0</v>
      </c>
      <c r="GJ8" s="251">
        <f>SUBTOTAL(3,GJ6:GJ6)</f>
        <v>0</v>
      </c>
      <c r="GK8" s="251">
        <f>SUBTOTAL(3,GK6:GK6)</f>
        <v>0</v>
      </c>
      <c r="GL8" s="251">
        <f>SUBTOTAL(9,GL6:GL6)</f>
        <v>0</v>
      </c>
      <c r="GM8" s="251">
        <f>SUBTOTAL(9,GM6:GM6)</f>
        <v>0</v>
      </c>
      <c r="GO8" s="254"/>
      <c r="GP8" s="254"/>
      <c r="GQ8" s="254"/>
      <c r="GR8" s="251">
        <f>SUBTOTAL(9,GR6:GR6)</f>
        <v>0</v>
      </c>
      <c r="GS8" s="251" t="e">
        <f>SUBTOTAL(9,GS6:GS6)</f>
        <v>#REF!</v>
      </c>
      <c r="GT8" s="251" t="e">
        <f>SUBTOTAL(9,GT6:GT6)</f>
        <v>#REF!</v>
      </c>
    </row>
    <row r="9" spans="1:880" ht="30" customHeight="1" x14ac:dyDescent="0.2"/>
    <row r="10" spans="1:880" ht="30" customHeight="1" x14ac:dyDescent="0.2"/>
    <row r="11" spans="1:880" ht="30" customHeight="1" x14ac:dyDescent="0.2"/>
    <row r="12" spans="1:880" ht="30" customHeight="1" x14ac:dyDescent="0.2"/>
    <row r="13" spans="1:880" ht="30" customHeight="1" x14ac:dyDescent="0.2"/>
    <row r="14" spans="1:880" ht="30" customHeight="1" x14ac:dyDescent="0.2"/>
    <row r="15" spans="1:880" ht="30" customHeight="1" x14ac:dyDescent="0.2"/>
    <row r="16" spans="1:880"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sheetData>
  <sheetProtection algorithmName="SHA-512" hashValue="P8MfSNY/kXJsvEAOsU0pXIrg6XAyYliO7FT9tC8QtN+vyrQ0IujrZbK4auTlDUYlwBehaDee+YnN3wwSbIAzLw==" saltValue="t85H5olheew8esFdseUfeg==" spinCount="100000" sheet="1" objects="1" scenarios="1"/>
  <mergeCells count="8">
    <mergeCell ref="EE4:EH4"/>
    <mergeCell ref="AE4:AG4"/>
    <mergeCell ref="AB4:AD4"/>
    <mergeCell ref="BY5:CD5"/>
    <mergeCell ref="CE5:CJ5"/>
    <mergeCell ref="BD3:BD5"/>
    <mergeCell ref="EB4:ED4"/>
    <mergeCell ref="DB3:DK3"/>
  </mergeCells>
  <phoneticPr fontId="1"/>
  <conditionalFormatting sqref="O6:BD6">
    <cfRule type="expression" dxfId="2" priority="1">
      <formula>($D6="改修")</formula>
    </cfRule>
  </conditionalFormatting>
  <conditionalFormatting sqref="BE6:BX6 FL6:GM6">
    <cfRule type="expression" dxfId="1" priority="21">
      <formula>OR($D6="新築",$D6="登録")</formula>
    </cfRule>
  </conditionalFormatting>
  <conditionalFormatting sqref="DM6:FK6">
    <cfRule type="expression" dxfId="0" priority="2">
      <formula>OR($D6="改修",$D6="登録")</formula>
    </cfRule>
  </conditionalFormatting>
  <dataValidations xWindow="1008" yWindow="779" count="29">
    <dataValidation type="list" allowBlank="1" showInputMessage="1" showErrorMessage="1" sqref="G6" xr:uid="{473F92FF-A209-4E55-8371-0BE11AFD1F73}">
      <formula1>"〇"</formula1>
    </dataValidation>
    <dataValidation operator="lessThanOrEqual" allowBlank="1" showInputMessage="1" showErrorMessage="1" error="県産材の実使用量より大きな値は入力しないでください（整数値入力）。" sqref="AJ6:AK6 S6 BA6:BC6 AF6 AC6 AR6:AX6 AN6:AO6 V6:W6 Y6:Z6" xr:uid="{494023FA-0FCD-43D8-A3EA-DEA371DEE3D6}"/>
    <dataValidation allowBlank="1" showInputMessage="1" showErrorMessage="1" error="実木材使用量より大きな値は入力しないでください。補助対象は10m3以上です（整数値で入力）。" sqref="P6" xr:uid="{88E9F08E-B0A9-4277-B812-643CEA29DAE6}"/>
    <dataValidation allowBlank="1" showInputMessage="1" showErrorMessage="1" prompt="自動計算" sqref="X6 AD6:AE6 AG6:AI6 ED6:EE6 EH6:EK6 DZ6:EB6 GR6:GT6 GH6:GI6 GL6:GM6 FJ6:FK6 DU6:DW6 EN6:EP6 ES6:EU6 DP6:DR6 FQ6:FS6 FV6:FX6 GB6:GD6 FC6:FE6 BL6:BM6 B6 AA6:AB6 BD6 AL6:AM6 CL6 BX6 BV6 BQ6:BR6 BH6:BI6 AP6:AQ6 AY6:AZ6 T6:U6 Q6:R6 E6" xr:uid="{E521082C-FB28-4C31-A410-D54F1C6CAF25}"/>
    <dataValidation operator="greaterThanOrEqual" allowBlank="1" showInputMessage="1" showErrorMessage="1" error="10以上の整数値を入力してください。" sqref="O6 DM6:DO6 DS6:DT6 DX6:DY6 EF6:EG6 EC6 EL6:EM6 EQ6:ER6 EV6:FB6 FH6:FI6" xr:uid="{A8E07E0C-F144-4C89-8755-D94E2790EA14}"/>
    <dataValidation operator="greaterThanOrEqual" allowBlank="1" showInputMessage="1" showErrorMessage="1" error="日付以外の内容は入力できません" sqref="BY6:CK6" xr:uid="{D586ED71-450F-46E5-904C-B9A4C84C0F24}"/>
    <dataValidation operator="greaterThanOrEqual" allowBlank="1" showInputMessage="1" showErrorMessage="1" error="数値以外は入力できません" sqref="CP6:CT6 CX6:DA6" xr:uid="{3EAC5EA9-35FB-47A2-BAFC-42AFCF1F5402}"/>
    <dataValidation type="whole" operator="greaterThanOrEqual" allowBlank="1" showInputMessage="1" showErrorMessage="1" error="３未満の値は入力しないでください。_x000a_（建具は見付３㎡以上が補助対象です）" prompt="FU列の木製建具事業者名も選択してください。" sqref="GG6" xr:uid="{53A8214B-8456-41A0-A9AF-86879F4D7127}">
      <formula1>3</formula1>
    </dataValidation>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GF6" xr:uid="{D4CE8DF2-5F60-45D3-ABA9-5DFC8E9A7431}">
      <formula1>7</formula1>
    </dataValidation>
    <dataValidation allowBlank="1" showErrorMessage="1" sqref="GK6" xr:uid="{D5A61522-3855-449A-84F3-A198310D7FA1}"/>
    <dataValidation operator="greaterThanOrEqual" allowBlank="1" showInputMessage="1" showErrorMessage="1" error="整数値で入力" sqref="FP6" xr:uid="{BB31F99A-55EC-4D2D-950D-59585008D1B1}"/>
    <dataValidation allowBlank="1" showInputMessage="1" showErrorMessage="1" error="0.3以上が補助対象、実木材使用量以下の数値を入力" sqref="FN6" xr:uid="{19CF9101-75FD-4F3F-BA47-86DEBC926B36}"/>
    <dataValidation type="list" allowBlank="1" showErrorMessage="1" sqref="FG6 GJ6" xr:uid="{F064B1D6-E66C-4C65-8AE6-60129A6C99BE}">
      <formula1>"モルタル塗,漆喰塗,土壁塗,そとん壁,じゅらく塗,珪藻土塗,その他"</formula1>
    </dataValidation>
    <dataValidation type="list" allowBlank="1" showErrorMessage="1" sqref="FF6" xr:uid="{F7866D5C-A40C-4999-92EE-151D1EC92B42}">
      <formula1>"平板瓦,和瓦,S瓦"</formula1>
    </dataValidation>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T6" xr:uid="{8F5FF93F-6A22-4662-B91C-71D761BC83B1}">
      <formula1>7</formula1>
    </dataValidation>
    <dataValidation type="list" allowBlank="1" showInputMessage="1" showErrorMessage="1" sqref="BW6" xr:uid="{265B88C1-8269-4574-9B56-1CF241F12318}">
      <formula1>"モルタル塗,漆喰塗,土壁塗,そとん壁,じゅらく塗,珪藻土塗,その他"</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 xr:uid="{3A1DD3E9-3A7B-4BEE-9BF0-FFE30386437D}">
      <formula1>"新築,改修,登録"</formula1>
    </dataValidation>
    <dataValidation type="whole" operator="greaterThanOrEqual" allowBlank="1" showInputMessage="1" showErrorMessage="1" error="３未満の値は入力しないでください。_x000a_（建具は見付３㎡以上が補助対象です）" sqref="BU6" xr:uid="{C05F6113-2442-493E-8FE0-99912F110F90}">
      <formula1>3</formula1>
    </dataValidation>
    <dataValidation type="whole" operator="greaterThanOrEqual" allowBlank="1" showInputMessage="1" showErrorMessage="1" error="７未満の値は入力しないでください。（補助対象となるのは最低７平方メートル以上です）" sqref="BS6 GE6" xr:uid="{85527CAC-A38C-4EAF-B7B5-09ED543B1852}">
      <formula1>7</formula1>
    </dataValidation>
    <dataValidation type="whole" operator="greaterThanOrEqual" allowBlank="1" showInputMessage="1" showErrorMessage="1" error="整数値で入力" sqref="BG6 FO6" xr:uid="{62B1035F-21D5-4D19-A399-328DB6E595A6}">
      <formula1>0</formula1>
    </dataValidation>
    <dataValidation type="list" allowBlank="1" showInputMessage="1" showErrorMessage="1" sqref="F6" xr:uid="{EE99DA18-7AD4-461C-91E6-3E939B912935}">
      <formula1>"債,支→債,債→支"</formula1>
    </dataValidation>
    <dataValidation type="date" operator="greaterThanOrEqual" allowBlank="1" showInputMessage="1" showErrorMessage="1" error="日付以外は入力できません" sqref="CV6:CW6 GO6:GQ6" xr:uid="{D1062FE8-F7B9-421C-81A9-EB65770300BD}">
      <formula1>1</formula1>
    </dataValidation>
    <dataValidation type="date" operator="greaterThanOrEqual" allowBlank="1" showInputMessage="1" showErrorMessage="1" error="日付以外の値は入力できません" sqref="H6" xr:uid="{B6C27BF4-63B7-4626-BAD4-87420FA367A4}">
      <formula1>1</formula1>
    </dataValidation>
    <dataValidation type="list" allowBlank="1" showInputMessage="1" showErrorMessage="1" sqref="GN6" xr:uid="{C679073B-5610-481F-B808-5A4BF0222C73}">
      <formula1>"実績,取下,取消"</formula1>
    </dataValidation>
    <dataValidation type="list" allowBlank="1" showInputMessage="1" showErrorMessage="1" sqref="CU6" xr:uid="{4FC81E63-C0BE-4101-88E2-A36312E0F9C1}">
      <formula1>"若年子育て,三世代近居,三世代同居"</formula1>
    </dataValidation>
    <dataValidation type="list" allowBlank="1" showInputMessage="1" showErrorMessage="1" sqref="BJ6:BK6 FT6:FU6 FY6:GA6 BN6:BP6" xr:uid="{209FA2A1-0C32-4658-9D56-D95172DF6C8A}">
      <formula1>"1"</formula1>
    </dataValidation>
    <dataValidation type="decimal" operator="greaterThanOrEqual" allowBlank="1" showInputMessage="1" showErrorMessage="1" sqref="BE6 FL6" xr:uid="{4444CAF7-9C9B-4FF7-8942-853A714C0A9C}">
      <formula1>0</formula1>
    </dataValidation>
    <dataValidation imeMode="halfAlpha" allowBlank="1" showInputMessage="1" showErrorMessage="1" sqref="J1:J1048576 L1:L1048576" xr:uid="{154A172A-20AF-46CE-92C7-125BEAC984CE}"/>
    <dataValidation type="decimal" allowBlank="1" showInputMessage="1" showErrorMessage="1" error="0.3以上が補助対象、実木材使用量以下の数値を入力" sqref="BF6 FM6" xr:uid="{F2E493FF-A6ED-4699-A695-8910CD2A4BAC}">
      <formula1>0.3</formula1>
      <formula2>BE6</formula2>
    </dataValidation>
  </dataValidation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BB4"/>
  <sheetViews>
    <sheetView zoomScale="112" zoomScaleNormal="112" workbookViewId="0">
      <selection activeCell="N36" sqref="N36"/>
    </sheetView>
  </sheetViews>
  <sheetFormatPr defaultColWidth="9" defaultRowHeight="14.4" x14ac:dyDescent="0.2"/>
  <cols>
    <col min="1" max="1" width="5.6640625" style="274" customWidth="1"/>
    <col min="2" max="2" width="5.109375" style="274" bestFit="1" customWidth="1"/>
    <col min="3" max="3" width="2.44140625" style="274" bestFit="1" customWidth="1"/>
    <col min="4" max="4" width="3.33203125" style="274" bestFit="1" customWidth="1"/>
    <col min="5" max="5" width="2.44140625" style="274" bestFit="1" customWidth="1"/>
    <col min="6" max="6" width="3.33203125" style="274" bestFit="1" customWidth="1"/>
    <col min="7" max="7" width="2.44140625" style="274" bestFit="1" customWidth="1"/>
    <col min="8" max="8" width="3.33203125" style="274" bestFit="1" customWidth="1"/>
    <col min="9" max="10" width="12.6640625" style="274" customWidth="1"/>
    <col min="11" max="11" width="35.88671875" style="268" customWidth="1"/>
    <col min="12" max="12" width="9" style="268" bestFit="1" customWidth="1"/>
    <col min="13" max="13" width="9" style="268" customWidth="1"/>
    <col min="14" max="14" width="37.88671875" style="268" customWidth="1"/>
    <col min="15" max="18" width="9" style="268" customWidth="1"/>
    <col min="19" max="19" width="5.109375" style="274" bestFit="1" customWidth="1"/>
    <col min="20" max="20" width="2.44140625" style="274" bestFit="1" customWidth="1"/>
    <col min="21" max="21" width="3.33203125" style="274" bestFit="1" customWidth="1"/>
    <col min="22" max="22" width="2.44140625" style="274" bestFit="1" customWidth="1"/>
    <col min="23" max="23" width="3.33203125" style="274" bestFit="1" customWidth="1"/>
    <col min="24" max="24" width="2.44140625" style="274" bestFit="1" customWidth="1"/>
    <col min="25" max="25" width="3.33203125" style="274" bestFit="1" customWidth="1"/>
    <col min="26" max="26" width="5.109375" style="274" bestFit="1" customWidth="1"/>
    <col min="27" max="27" width="2.44140625" style="274" bestFit="1" customWidth="1"/>
    <col min="28" max="28" width="3.33203125" style="274" bestFit="1" customWidth="1"/>
    <col min="29" max="29" width="2.44140625" style="274" bestFit="1" customWidth="1"/>
    <col min="30" max="30" width="3.33203125" style="274" bestFit="1" customWidth="1"/>
    <col min="31" max="31" width="2.44140625" style="274" bestFit="1" customWidth="1"/>
    <col min="32" max="32" width="3.33203125" style="274" bestFit="1" customWidth="1"/>
    <col min="33" max="33" width="24.88671875" style="268" customWidth="1"/>
    <col min="34" max="34" width="30.88671875" style="268" customWidth="1"/>
    <col min="35" max="35" width="21" style="268" customWidth="1"/>
    <col min="36" max="39" width="12.109375" style="268" customWidth="1"/>
    <col min="40" max="40" width="5.109375" style="268" bestFit="1" customWidth="1"/>
    <col min="41" max="41" width="22" style="268" customWidth="1"/>
    <col min="42" max="42" width="5.109375" style="268" bestFit="1" customWidth="1"/>
    <col min="43" max="43" width="28.109375" style="268" customWidth="1"/>
    <col min="44" max="44" width="11.33203125" style="268" bestFit="1" customWidth="1"/>
    <col min="45" max="45" width="15.6640625" style="268" customWidth="1"/>
    <col min="46" max="46" width="17.88671875" style="268" bestFit="1" customWidth="1"/>
    <col min="47" max="47" width="10.6640625" style="268" customWidth="1"/>
    <col min="48" max="48" width="16.33203125" style="268" customWidth="1"/>
    <col min="49" max="49" width="17.33203125" style="268" customWidth="1"/>
    <col min="50" max="50" width="10.6640625" style="268" customWidth="1"/>
    <col min="51" max="53" width="13.6640625" style="275" customWidth="1"/>
    <col min="54" max="54" width="11.6640625" style="276" customWidth="1"/>
    <col min="55" max="16384" width="9" style="268"/>
  </cols>
  <sheetData>
    <row r="1" spans="1:54" ht="14.25" customHeight="1" x14ac:dyDescent="0.2">
      <c r="A1" s="512" t="s">
        <v>364</v>
      </c>
      <c r="B1" s="520" t="s">
        <v>365</v>
      </c>
      <c r="C1" s="521"/>
      <c r="D1" s="521"/>
      <c r="E1" s="521"/>
      <c r="F1" s="521"/>
      <c r="G1" s="521"/>
      <c r="H1" s="522"/>
      <c r="I1" s="514" t="s">
        <v>366</v>
      </c>
      <c r="J1" s="516" t="s">
        <v>372</v>
      </c>
      <c r="K1" s="526"/>
      <c r="L1" s="517"/>
      <c r="M1" s="516" t="s">
        <v>1</v>
      </c>
      <c r="N1" s="517"/>
      <c r="O1" s="281" t="s">
        <v>24</v>
      </c>
      <c r="P1" s="281" t="s">
        <v>113</v>
      </c>
      <c r="Q1" s="281" t="s">
        <v>146</v>
      </c>
      <c r="R1" s="281" t="s">
        <v>379</v>
      </c>
      <c r="S1" s="520" t="s">
        <v>382</v>
      </c>
      <c r="T1" s="521"/>
      <c r="U1" s="521"/>
      <c r="V1" s="521"/>
      <c r="W1" s="521"/>
      <c r="X1" s="521"/>
      <c r="Y1" s="522"/>
      <c r="Z1" s="520" t="s">
        <v>381</v>
      </c>
      <c r="AA1" s="521"/>
      <c r="AB1" s="521"/>
      <c r="AC1" s="521"/>
      <c r="AD1" s="521"/>
      <c r="AE1" s="521"/>
      <c r="AF1" s="522"/>
      <c r="AG1" s="516" t="s">
        <v>383</v>
      </c>
      <c r="AH1" s="526"/>
      <c r="AI1" s="517"/>
      <c r="AJ1" s="520" t="s">
        <v>219</v>
      </c>
      <c r="AK1" s="290"/>
      <c r="AL1" s="290"/>
      <c r="AM1" s="291"/>
      <c r="AN1" s="516" t="s">
        <v>384</v>
      </c>
      <c r="AO1" s="517"/>
      <c r="AP1" s="516" t="s">
        <v>387</v>
      </c>
      <c r="AQ1" s="517"/>
      <c r="AR1" s="281" t="s">
        <v>389</v>
      </c>
      <c r="AS1" s="516" t="s">
        <v>391</v>
      </c>
      <c r="AT1" s="517"/>
      <c r="AU1" s="530" t="s">
        <v>395</v>
      </c>
      <c r="AV1" s="528" t="s">
        <v>367</v>
      </c>
      <c r="AW1" s="530" t="s">
        <v>398</v>
      </c>
      <c r="AX1" s="528" t="s">
        <v>397</v>
      </c>
      <c r="AY1" s="533" t="s">
        <v>368</v>
      </c>
      <c r="AZ1" s="533" t="s">
        <v>369</v>
      </c>
      <c r="BA1" s="533" t="s">
        <v>370</v>
      </c>
      <c r="BB1" s="518" t="s">
        <v>396</v>
      </c>
    </row>
    <row r="2" spans="1:54" x14ac:dyDescent="0.2">
      <c r="A2" s="513"/>
      <c r="B2" s="523"/>
      <c r="C2" s="524"/>
      <c r="D2" s="524"/>
      <c r="E2" s="524"/>
      <c r="F2" s="524"/>
      <c r="G2" s="524"/>
      <c r="H2" s="525"/>
      <c r="I2" s="515"/>
      <c r="J2" s="279" t="s">
        <v>371</v>
      </c>
      <c r="K2" s="280" t="s">
        <v>10</v>
      </c>
      <c r="L2" s="280" t="s">
        <v>373</v>
      </c>
      <c r="M2" s="280" t="s">
        <v>375</v>
      </c>
      <c r="N2" s="280" t="s">
        <v>376</v>
      </c>
      <c r="O2" s="280"/>
      <c r="P2" s="280" t="s">
        <v>377</v>
      </c>
      <c r="Q2" s="280" t="s">
        <v>378</v>
      </c>
      <c r="R2" s="280" t="s">
        <v>380</v>
      </c>
      <c r="S2" s="523"/>
      <c r="T2" s="524"/>
      <c r="U2" s="524"/>
      <c r="V2" s="524"/>
      <c r="W2" s="524"/>
      <c r="X2" s="524"/>
      <c r="Y2" s="525"/>
      <c r="Z2" s="523"/>
      <c r="AA2" s="524"/>
      <c r="AB2" s="524"/>
      <c r="AC2" s="524"/>
      <c r="AD2" s="524"/>
      <c r="AE2" s="524"/>
      <c r="AF2" s="525"/>
      <c r="AG2" s="280" t="s">
        <v>3</v>
      </c>
      <c r="AH2" s="280" t="s">
        <v>4</v>
      </c>
      <c r="AI2" s="280" t="s">
        <v>38</v>
      </c>
      <c r="AJ2" s="527"/>
      <c r="AK2" s="279" t="s">
        <v>399</v>
      </c>
      <c r="AL2" s="279" t="s">
        <v>400</v>
      </c>
      <c r="AM2" s="279" t="s">
        <v>401</v>
      </c>
      <c r="AN2" s="280" t="s">
        <v>385</v>
      </c>
      <c r="AO2" s="280" t="s">
        <v>386</v>
      </c>
      <c r="AP2" s="280" t="s">
        <v>388</v>
      </c>
      <c r="AQ2" s="280" t="s">
        <v>51</v>
      </c>
      <c r="AR2" s="279" t="s">
        <v>390</v>
      </c>
      <c r="AS2" s="280" t="s">
        <v>392</v>
      </c>
      <c r="AT2" s="280" t="s">
        <v>393</v>
      </c>
      <c r="AU2" s="531"/>
      <c r="AV2" s="529"/>
      <c r="AW2" s="531"/>
      <c r="AX2" s="532"/>
      <c r="AY2" s="534"/>
      <c r="AZ2" s="534"/>
      <c r="BA2" s="534"/>
      <c r="BB2" s="519"/>
    </row>
    <row r="3" spans="1:54" x14ac:dyDescent="0.2">
      <c r="A3" s="269"/>
      <c r="B3" s="282" t="s">
        <v>216</v>
      </c>
      <c r="C3" s="283"/>
      <c r="D3" s="283" t="s">
        <v>7</v>
      </c>
      <c r="E3" s="283"/>
      <c r="F3" s="283" t="s">
        <v>215</v>
      </c>
      <c r="G3" s="283"/>
      <c r="H3" s="284" t="s">
        <v>6</v>
      </c>
      <c r="I3" s="277" t="str">
        <f>IF('【様式第2号】事業計画書兼チェックシート（新築）'!N17="","",'【様式第2号】事業計画書兼チェックシート（新築）'!N17)</f>
        <v/>
      </c>
      <c r="J3" s="277" t="str">
        <f>IF('【様式第2号】事業計画書兼チェックシート（新築）'!O15="","",'【様式第2号】事業計画書兼チェックシート（新築）'!O15)</f>
        <v/>
      </c>
      <c r="K3" s="278" t="str">
        <f>IF('【様式第2号】事業計画書兼チェックシート（新築）'!N16="","",'【様式第2号】事業計画書兼チェックシート（新築）'!N16)</f>
        <v/>
      </c>
      <c r="L3" s="278" t="str">
        <f>IF('【様式第2号】事業計画書兼チェックシート（新築）'!N19="","",'【様式第2号】事業計画書兼チェックシート（新築）'!N19)</f>
        <v/>
      </c>
      <c r="M3" s="278" t="str">
        <f>IF('【様式第2号】事業計画書兼チェックシート（新築）'!M34="","",'【様式第2号】事業計画書兼チェックシート（新築）'!M34)</f>
        <v/>
      </c>
      <c r="N3" s="278" t="str">
        <f>IF('【様式第2号】事業計画書兼チェックシート（新築）'!I35="","",'【様式第2号】事業計画書兼チェックシート（新築）'!I35)</f>
        <v/>
      </c>
      <c r="O3" s="278" t="str">
        <f>IF('【様式第2号】事業計画書兼チェックシート（新築）'!I37="","",'【様式第2号】事業計画書兼チェックシート（新築）'!I37)</f>
        <v/>
      </c>
      <c r="P3" s="278" t="str">
        <f>IF('【様式第2号】事業計画書兼チェックシート（新築）'!S37="","",'【様式第2号】事業計画書兼チェックシート（新築）'!S37)</f>
        <v/>
      </c>
      <c r="Q3" s="278" t="str">
        <f>IF('【様式第2号】事業計画書兼チェックシート（新築）'!I38="","",'【様式第2号】事業計画書兼チェックシート（新築）'!I38)</f>
        <v/>
      </c>
      <c r="R3" s="285" t="str">
        <f>IF(Q3="","",P3/Q3)</f>
        <v/>
      </c>
      <c r="S3" s="286" t="s">
        <v>216</v>
      </c>
      <c r="T3" s="287" t="str">
        <f>IF('【様式第2号】事業計画書兼チェックシート（新築）'!N43="","",'【様式第2号】事業計画書兼チェックシート（新築）'!N43)</f>
        <v/>
      </c>
      <c r="U3" s="287" t="s">
        <v>7</v>
      </c>
      <c r="V3" s="287" t="str">
        <f>IF('【様式第2号】事業計画書兼チェックシート（新築）'!S43="","",'【様式第2号】事業計画書兼チェックシート（新築）'!S43)</f>
        <v/>
      </c>
      <c r="W3" s="287" t="s">
        <v>215</v>
      </c>
      <c r="X3" s="287" t="str">
        <f>IF('【様式第2号】事業計画書兼チェックシート（新築）'!V43="","",'【様式第2号】事業計画書兼チェックシート（新築）'!V43)</f>
        <v/>
      </c>
      <c r="Y3" s="288" t="s">
        <v>6</v>
      </c>
      <c r="Z3" s="286" t="s">
        <v>216</v>
      </c>
      <c r="AA3" s="287" t="str">
        <f>IF('【様式第2号】事業計画書兼チェックシート（新築）'!N44="","",'【様式第2号】事業計画書兼チェックシート（新築）'!N44)</f>
        <v/>
      </c>
      <c r="AB3" s="287" t="s">
        <v>7</v>
      </c>
      <c r="AC3" s="287" t="str">
        <f>IF('【様式第2号】事業計画書兼チェックシート（新築）'!S44="","",'【様式第2号】事業計画書兼チェックシート（新築）'!S44)</f>
        <v/>
      </c>
      <c r="AD3" s="287" t="s">
        <v>215</v>
      </c>
      <c r="AE3" s="287" t="str">
        <f>IF('【様式第2号】事業計画書兼チェックシート（新築）'!V44="","",'【様式第2号】事業計画書兼チェックシート（新築）'!V44)</f>
        <v/>
      </c>
      <c r="AF3" s="288" t="s">
        <v>6</v>
      </c>
      <c r="AG3" s="278" t="str">
        <f>IF('【様式第2号】事業計画書兼チェックシート（新築）'!I48="","",'【様式第2号】事業計画書兼チェックシート（新築）'!I48)</f>
        <v/>
      </c>
      <c r="AH3" s="278" t="str">
        <f>IF('【様式第2号】事業計画書兼チェックシート（新築）'!I49="","",'【様式第2号】事業計画書兼チェックシート（新築）'!I49)</f>
        <v/>
      </c>
      <c r="AI3" s="278" t="str">
        <f>IF('【様式第2号】事業計画書兼チェックシート（新築）'!I50="","",'【様式第2号】事業計画書兼チェックシート（新築）'!I50)</f>
        <v/>
      </c>
      <c r="AJ3" s="278" t="str">
        <f>IF('【様式第2号】事業計画書兼チェックシート（新築）'!U59="","",'【様式第2号】事業計画書兼チェックシート（新築）'!U59)</f>
        <v/>
      </c>
      <c r="AK3" s="278">
        <f>IF(AJ3="T-G1",1,0)</f>
        <v>0</v>
      </c>
      <c r="AL3" s="278">
        <f>IF(AJ3="T-G2",1,0)</f>
        <v>0</v>
      </c>
      <c r="AM3" s="278">
        <f>IF(AJ3="T-G3",1,0)</f>
        <v>0</v>
      </c>
      <c r="AN3" s="278">
        <f>IF('【様式第2号】事業計画書兼チェックシート（新築）'!B62="",0,1)</f>
        <v>0</v>
      </c>
      <c r="AO3" s="278" t="str">
        <f>IF('【様式第2号】事業計画書兼チェックシート（新築）'!U62="","",'【様式第2号】事業計画書兼チェックシート（新築）'!U62)</f>
        <v/>
      </c>
      <c r="AP3" s="278">
        <f>IF('【様式第2号】事業計画書兼チェックシート（新築）'!B65="",0,1)</f>
        <v>0</v>
      </c>
      <c r="AQ3" s="278" t="str">
        <f>IF('【様式第2号】事業計画書兼チェックシート（新築）'!U65="","",'【様式第2号】事業計画書兼チェックシート（新築）'!U65)</f>
        <v/>
      </c>
      <c r="AR3" s="278">
        <f>IF('【様式第2号】事業計画書兼チェックシート（新築）'!B81="",0,1)</f>
        <v>0</v>
      </c>
      <c r="AS3" s="278">
        <f>IF('【様式第2号】事業計画書兼チェックシート（新築）'!B92="",0,1)</f>
        <v>0</v>
      </c>
      <c r="AT3" s="278">
        <f>IF('【様式第2号】事業計画書兼チェックシート（新築）'!B92="",IF('【様式第2号】事業計画書兼チェックシート（新築）'!B71="",0,1),0)</f>
        <v>0</v>
      </c>
      <c r="AU3" s="289">
        <f>IF('【様式第2号】事業計画書兼チェックシート（新築）'!T231="","",'【様式第2号】事業計画書兼チェックシート（新築）'!T231*10000)</f>
        <v>0</v>
      </c>
      <c r="AV3" s="270"/>
      <c r="AW3" s="270"/>
      <c r="AX3" s="271"/>
      <c r="AY3" s="272"/>
      <c r="AZ3" s="272"/>
      <c r="BA3" s="272"/>
      <c r="BB3" s="273"/>
    </row>
    <row r="4" spans="1:54" x14ac:dyDescent="0.2">
      <c r="B4" s="267" t="s">
        <v>402</v>
      </c>
    </row>
  </sheetData>
  <sheetProtection algorithmName="SHA-512" hashValue="LZIDRqxKKZS5t5S+4zOzN1YKuUYZGMe6YQyzHmyct14Jijoyk7OneWa/KjbW8hUzPMTvmJLV2/Igue5YEyDSLA==" saltValue="r2wiKrAuI7lUHrVcxavjDA==" spinCount="100000" sheet="1" objects="1" scenarios="1"/>
  <mergeCells count="20">
    <mergeCell ref="AY1:AY2"/>
    <mergeCell ref="AZ1:AZ2"/>
    <mergeCell ref="BA1:BA2"/>
    <mergeCell ref="AU1:AU2"/>
    <mergeCell ref="A1:A2"/>
    <mergeCell ref="I1:I2"/>
    <mergeCell ref="AP1:AQ1"/>
    <mergeCell ref="AS1:AT1"/>
    <mergeCell ref="BB1:BB2"/>
    <mergeCell ref="B1:H2"/>
    <mergeCell ref="J1:L1"/>
    <mergeCell ref="M1:N1"/>
    <mergeCell ref="S1:Y2"/>
    <mergeCell ref="Z1:AF2"/>
    <mergeCell ref="AG1:AI1"/>
    <mergeCell ref="AJ1:AJ2"/>
    <mergeCell ref="AN1:AO1"/>
    <mergeCell ref="AV1:AV2"/>
    <mergeCell ref="AW1:AW2"/>
    <mergeCell ref="AX1:AX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【様式第2号】事業計画書兼チェックシート（新築）</vt:lpstr>
      <vt:lpstr>【様式第６号】（別紙）補助金併用一覧</vt:lpstr>
      <vt:lpstr>【様式第1号】登録申請書（計画書連動）（住まいる）</vt:lpstr>
      <vt:lpstr>【様式第1号】登録申請書（計画書連動）（未来型）</vt:lpstr>
      <vt:lpstr>実績報告時入力用</vt:lpstr>
      <vt:lpstr>(県用)住まいる台帳コピー</vt:lpstr>
      <vt:lpstr>(県用)未来型台帳コピー</vt:lpstr>
      <vt:lpstr>'【様式第1号】登録申請書（計画書連動）（住まいる）'!Print_Area</vt:lpstr>
      <vt:lpstr>'【様式第1号】登録申請書（計画書連動）（未来型）'!Print_Area</vt:lpstr>
      <vt:lpstr>'【様式第2号】事業計画書兼チェックシート（新築）'!Print_Area</vt:lpstr>
      <vt:lpstr>'【様式第６号】（別紙）補助金併用一覧'!Print_Area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2026-03-17T15:28:24Z</cp:lastPrinted>
  <dcterms:created xsi:type="dcterms:W3CDTF">2017-01-19T07:37:02Z</dcterms:created>
  <dcterms:modified xsi:type="dcterms:W3CDTF">2026-03-30T12:20:42Z</dcterms:modified>
</cp:coreProperties>
</file>