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76F78281-1D28-4294-A04C-AC1B48311EED}" xr6:coauthVersionLast="47" xr6:coauthVersionMax="47" xr10:uidLastSave="{00000000-0000-0000-0000-000000000000}"/>
  <bookViews>
    <workbookView xWindow="13830" yWindow="-16200" windowWidth="14970" windowHeight="15585" tabRatio="794" xr2:uid="{00000000-000D-0000-FFFF-FFFF00000000}"/>
  </bookViews>
  <sheets>
    <sheet name="【様式第６号】事業報告書兼チェックシート" sheetId="11" r:id="rId1"/>
    <sheet name="【様式第６号】（別紙）補助金併用一覧" sheetId="17" state="hidden" r:id="rId2"/>
    <sheet name="要入力　交付決定状況入力シート" sheetId="16" r:id="rId3"/>
    <sheet name="【規則様式第３号】実績報告書鑑（報告書連動）（住まいる）" sheetId="12" r:id="rId4"/>
    <sheet name="【規則様式第３号】実績報告書鑑（報告書連動） (未来型)" sheetId="19" r:id="rId5"/>
    <sheet name="(県用)住まいる台帳コピー" sheetId="18" r:id="rId6"/>
  </sheets>
  <definedNames>
    <definedName name="_xlnm._FilterDatabase" localSheetId="0" hidden="1">【様式第６号】事業報告書兼チェックシート!$A$110:$B$124</definedName>
    <definedName name="_xlnm.Print_Area" localSheetId="4">'【規則様式第３号】実績報告書鑑（報告書連動） (未来型)'!$A$1:$Z$89</definedName>
    <definedName name="_xlnm.Print_Area" localSheetId="3">'【規則様式第３号】実績報告書鑑（報告書連動）（住まいる）'!$A$1:$Z$84</definedName>
    <definedName name="_xlnm.Print_Area" localSheetId="1">'【様式第６号】（別紙）補助金併用一覧'!$A$1:$E$33</definedName>
    <definedName name="_xlnm.Print_Area" localSheetId="0">【様式第６号】事業報告書兼チェックシート!$A$7:$AA$277</definedName>
  </definedNames>
  <calcPr calcId="181029"/>
</workbook>
</file>

<file path=xl/calcChain.xml><?xml version="1.0" encoding="utf-8"?>
<calcChain xmlns="http://schemas.openxmlformats.org/spreadsheetml/2006/main">
  <c r="O155" i="11" l="1"/>
  <c r="GL6" i="18"/>
  <c r="T275" i="11"/>
  <c r="T274" i="11"/>
  <c r="T273" i="11"/>
  <c r="P272" i="11"/>
  <c r="P271" i="11"/>
  <c r="O157" i="11"/>
  <c r="AB157" i="11" s="1"/>
  <c r="O156" i="11"/>
  <c r="AB156" i="11" s="1"/>
  <c r="AB155" i="11"/>
  <c r="I91" i="11"/>
  <c r="U76" i="11"/>
  <c r="P76" i="11"/>
  <c r="D76" i="11"/>
  <c r="U75" i="11"/>
  <c r="P75" i="11"/>
  <c r="D75" i="11"/>
  <c r="U74" i="11"/>
  <c r="P74" i="11"/>
  <c r="D74" i="11"/>
  <c r="U73" i="11"/>
  <c r="P73" i="11"/>
  <c r="D73" i="11"/>
  <c r="U72" i="11"/>
  <c r="P72" i="11"/>
  <c r="D72" i="11"/>
  <c r="V53" i="11"/>
  <c r="S53" i="11"/>
  <c r="O53" i="11"/>
  <c r="I52" i="11"/>
  <c r="I49" i="11"/>
  <c r="I48" i="11"/>
  <c r="I47" i="11"/>
  <c r="V44" i="11"/>
  <c r="S44" i="11"/>
  <c r="N44" i="11"/>
  <c r="V43" i="11"/>
  <c r="S43" i="11"/>
  <c r="N43" i="11"/>
  <c r="I42" i="11"/>
  <c r="V41" i="11"/>
  <c r="Q41" i="11"/>
  <c r="L41" i="11"/>
  <c r="V40" i="11"/>
  <c r="I40" i="11"/>
  <c r="V39" i="11"/>
  <c r="V38" i="11"/>
  <c r="I38" i="11"/>
  <c r="S37" i="11"/>
  <c r="I37" i="11"/>
  <c r="I36" i="11"/>
  <c r="I35" i="11"/>
  <c r="M34" i="11"/>
  <c r="N19" i="11"/>
  <c r="N20" i="11"/>
  <c r="Y146" i="11"/>
  <c r="DK6" i="18"/>
  <c r="DF6" i="18"/>
  <c r="C253" i="11" l="1"/>
  <c r="C254" i="11"/>
  <c r="Y102" i="11"/>
  <c r="Y101" i="11"/>
  <c r="AB231" i="11"/>
  <c r="C249" i="11"/>
  <c r="Y106" i="11"/>
  <c r="T231" i="11" l="1"/>
  <c r="C247" i="11"/>
  <c r="AJ105" i="11"/>
  <c r="AI105" i="11"/>
  <c r="AJ104" i="11"/>
  <c r="AI104" i="11"/>
  <c r="AI106" i="11" l="1"/>
  <c r="AJ106" i="11"/>
  <c r="DY6" i="18"/>
  <c r="DV6" i="18"/>
  <c r="DP6" i="18"/>
  <c r="DM6" i="18"/>
  <c r="DH6" i="18"/>
  <c r="DC6" i="18"/>
  <c r="DE6" i="18" s="1"/>
  <c r="DJ6" i="18" l="1"/>
  <c r="C262" i="11"/>
  <c r="AC216" i="11" l="1"/>
  <c r="U99" i="11" l="1"/>
  <c r="DO6" i="18" l="1"/>
  <c r="AB103" i="11" l="1"/>
  <c r="Y108" i="11"/>
  <c r="C245" i="11" l="1"/>
  <c r="C246" i="11" l="1"/>
  <c r="AB102" i="11"/>
  <c r="FA6" i="18" l="1"/>
  <c r="FA8" i="18" s="1"/>
  <c r="EZ6" i="18"/>
  <c r="AB36" i="11"/>
  <c r="AB62" i="11" l="1"/>
  <c r="AB59" i="11"/>
  <c r="AB57" i="11"/>
  <c r="AA17" i="12"/>
  <c r="AA17" i="19"/>
  <c r="H75" i="19" l="1"/>
  <c r="H56" i="19"/>
  <c r="H55" i="19"/>
  <c r="O12" i="19"/>
  <c r="O11" i="19"/>
  <c r="O10" i="19"/>
  <c r="P9" i="19"/>
  <c r="AA2" i="19"/>
  <c r="W2" i="19"/>
  <c r="T2" i="19"/>
  <c r="Q2" i="19"/>
  <c r="E6" i="18"/>
  <c r="DA8" i="18"/>
  <c r="C266" i="11" l="1"/>
  <c r="H61" i="19"/>
  <c r="H76" i="12" l="1"/>
  <c r="H86" i="19"/>
  <c r="H81" i="12"/>
  <c r="W2" i="12"/>
  <c r="T2" i="12"/>
  <c r="Q2" i="12"/>
  <c r="EY6" i="18" l="1"/>
  <c r="D18" i="16"/>
  <c r="Q23" i="19" s="1"/>
  <c r="Q25" i="19" s="1"/>
  <c r="C18" i="16"/>
  <c r="H23" i="19" s="1"/>
  <c r="H25" i="19" s="1"/>
  <c r="C12" i="16"/>
  <c r="F15" i="16"/>
  <c r="DX6" i="18" l="1"/>
  <c r="DX8" i="18" s="1"/>
  <c r="DL6" i="18"/>
  <c r="DH8" i="18"/>
  <c r="DB6" i="18"/>
  <c r="DB8" i="18" s="1"/>
  <c r="B6" i="18"/>
  <c r="B8" i="18" s="1"/>
  <c r="E8" i="18"/>
  <c r="Q6" i="18"/>
  <c r="R6" i="18"/>
  <c r="R8" i="18" s="1"/>
  <c r="U6" i="18"/>
  <c r="U8" i="18" s="1"/>
  <c r="Z6" i="18"/>
  <c r="Z8" i="18" s="1"/>
  <c r="AC8" i="18"/>
  <c r="AF8" i="18"/>
  <c r="AG8" i="18"/>
  <c r="AK8" i="18"/>
  <c r="AO8" i="18"/>
  <c r="AP8" i="18"/>
  <c r="AQ8" i="18"/>
  <c r="AS8" i="18"/>
  <c r="AT8" i="18"/>
  <c r="BC6" i="18"/>
  <c r="BC8" i="18" s="1"/>
  <c r="BD6" i="18"/>
  <c r="BD8" i="18" s="1"/>
  <c r="BH6" i="18"/>
  <c r="BH8" i="18" s="1"/>
  <c r="BM6" i="18"/>
  <c r="BM8" i="18" s="1"/>
  <c r="BS6" i="18"/>
  <c r="BS8" i="18" s="1"/>
  <c r="CH8" i="18"/>
  <c r="CK8" i="18"/>
  <c r="D8" i="18"/>
  <c r="G8" i="18"/>
  <c r="K8" i="18"/>
  <c r="O8" i="18"/>
  <c r="P8" i="18"/>
  <c r="S8" i="18"/>
  <c r="V8" i="18"/>
  <c r="AJ8" i="18"/>
  <c r="AN8" i="18"/>
  <c r="AR8" i="18"/>
  <c r="AW8" i="18"/>
  <c r="AX8" i="18"/>
  <c r="AZ8" i="18"/>
  <c r="BA8" i="18"/>
  <c r="BB8" i="18"/>
  <c r="BE8" i="18"/>
  <c r="BF8" i="18"/>
  <c r="BI8" i="18"/>
  <c r="BJ8" i="18"/>
  <c r="BK8" i="18"/>
  <c r="BN8" i="18"/>
  <c r="BO8" i="18"/>
  <c r="BP8" i="18"/>
  <c r="BR8" i="18"/>
  <c r="CJ8" i="18"/>
  <c r="CL8" i="18"/>
  <c r="CU8" i="18"/>
  <c r="GE8" i="18"/>
  <c r="GD8" i="18"/>
  <c r="GA8" i="18"/>
  <c r="FZ8" i="18"/>
  <c r="FY8" i="18"/>
  <c r="FU8" i="18"/>
  <c r="FT8" i="18"/>
  <c r="FS8" i="18"/>
  <c r="FO8" i="18"/>
  <c r="FN8" i="18"/>
  <c r="FJ8" i="18"/>
  <c r="FI8" i="18"/>
  <c r="FH8" i="18"/>
  <c r="FG8" i="18"/>
  <c r="FF8" i="18"/>
  <c r="FC8" i="18"/>
  <c r="FB8" i="18"/>
  <c r="EZ8" i="18"/>
  <c r="EY8" i="18"/>
  <c r="DZ8" i="18"/>
  <c r="DI8" i="18"/>
  <c r="DD8" i="18"/>
  <c r="GF8" i="18"/>
  <c r="FX8" i="18"/>
  <c r="FR8" i="18"/>
  <c r="FM8" i="18"/>
  <c r="C265" i="11"/>
  <c r="C264" i="11"/>
  <c r="DN6" i="18" l="1"/>
  <c r="DQ6" i="18"/>
  <c r="EA6" i="18"/>
  <c r="DU6" i="18"/>
  <c r="DU8" i="18" s="1"/>
  <c r="DW6" i="18"/>
  <c r="DW8" i="18" s="1"/>
  <c r="DL8" i="18"/>
  <c r="H79" i="12"/>
  <c r="H84" i="19"/>
  <c r="H80" i="12"/>
  <c r="H85" i="19"/>
  <c r="DY8" i="18"/>
  <c r="DV8" i="18"/>
  <c r="DF8" i="18"/>
  <c r="AD6" i="18"/>
  <c r="AA6" i="18" s="1"/>
  <c r="AA8" i="18" s="1"/>
  <c r="DC8" i="18"/>
  <c r="DM8" i="18"/>
  <c r="DT6" i="18"/>
  <c r="BL6" i="18"/>
  <c r="BL8" i="18" s="1"/>
  <c r="BG6" i="18"/>
  <c r="BG8" i="18" s="1"/>
  <c r="DG6" i="18"/>
  <c r="DG8" i="18" s="1"/>
  <c r="BQ6" i="18"/>
  <c r="BQ8" i="18" s="1"/>
  <c r="AB6" i="18"/>
  <c r="AB8" i="18" s="1"/>
  <c r="X6" i="18"/>
  <c r="X8" i="18" s="1"/>
  <c r="T6" i="18"/>
  <c r="FV8" i="18"/>
  <c r="AU6" i="18"/>
  <c r="AI6" i="18"/>
  <c r="AI8" i="18" s="1"/>
  <c r="AE6" i="18"/>
  <c r="AE8" i="18" s="1"/>
  <c r="W6" i="18"/>
  <c r="W8" i="18" s="1"/>
  <c r="Y8" i="18"/>
  <c r="Q8" i="18"/>
  <c r="FP8" i="18"/>
  <c r="GG8" i="18"/>
  <c r="DE8" i="18"/>
  <c r="FL8" i="18"/>
  <c r="GB8" i="18"/>
  <c r="FK8" i="18"/>
  <c r="AD8" i="18" l="1"/>
  <c r="DS6" i="18"/>
  <c r="DS8" i="18" s="1"/>
  <c r="EB6" i="18"/>
  <c r="EA8" i="18"/>
  <c r="DJ8" i="18"/>
  <c r="AH6" i="18"/>
  <c r="AH8" i="18" s="1"/>
  <c r="DT8" i="18"/>
  <c r="T8" i="18"/>
  <c r="AM6" i="18"/>
  <c r="AM8" i="18" s="1"/>
  <c r="AV6" i="18"/>
  <c r="AV8" i="18" s="1"/>
  <c r="AU8" i="18"/>
  <c r="AL6" i="18"/>
  <c r="AL8" i="18" s="1"/>
  <c r="FQ8" i="18"/>
  <c r="GC8" i="18"/>
  <c r="EC6" i="18"/>
  <c r="FW8" i="18"/>
  <c r="EB8" i="18" l="1"/>
  <c r="EC8" i="18"/>
  <c r="AY6" i="18"/>
  <c r="DK8" i="18"/>
  <c r="CG6" i="18" l="1"/>
  <c r="CG8" i="18" s="1"/>
  <c r="AY8" i="18"/>
  <c r="G15" i="16" l="1"/>
  <c r="G18" i="16" s="1"/>
  <c r="H24" i="19" s="1"/>
  <c r="H15" i="16"/>
  <c r="D12" i="16"/>
  <c r="GL8" i="18" l="1"/>
  <c r="J15" i="16"/>
  <c r="H18" i="16"/>
  <c r="Q24" i="19" s="1"/>
  <c r="C242" i="11"/>
  <c r="C241" i="11"/>
  <c r="AB53" i="11"/>
  <c r="D85" i="11"/>
  <c r="H67" i="12" l="1"/>
  <c r="H66" i="19"/>
  <c r="H55" i="12"/>
  <c r="H54" i="19"/>
  <c r="H53" i="19"/>
  <c r="E54" i="11" l="1"/>
  <c r="D8" i="17" l="1"/>
  <c r="D7" i="17"/>
  <c r="H56" i="12" l="1"/>
  <c r="H57" i="12"/>
  <c r="O12" i="12"/>
  <c r="O11" i="12"/>
  <c r="O10" i="12"/>
  <c r="P9" i="12"/>
  <c r="AA2" i="12"/>
  <c r="Q23" i="12" l="1"/>
  <c r="F4" i="16"/>
  <c r="F5" i="16"/>
  <c r="F6" i="16"/>
  <c r="F7" i="16"/>
  <c r="F8" i="16"/>
  <c r="F9" i="16"/>
  <c r="F3" i="16"/>
  <c r="H23" i="12"/>
  <c r="C263" i="11"/>
  <c r="H77" i="12" s="1"/>
  <c r="C250" i="11"/>
  <c r="H83" i="19" s="1"/>
  <c r="C260" i="11"/>
  <c r="C258" i="11"/>
  <c r="H70" i="19" s="1"/>
  <c r="H62" i="12"/>
  <c r="H73" i="12" l="1"/>
  <c r="H72" i="19"/>
  <c r="H63" i="12"/>
  <c r="H62" i="19"/>
  <c r="H78" i="12"/>
  <c r="H76" i="19"/>
  <c r="AB258" i="11"/>
  <c r="H71" i="12"/>
  <c r="C261" i="11"/>
  <c r="C259" i="11"/>
  <c r="H71" i="19" s="1"/>
  <c r="C257" i="11"/>
  <c r="C256" i="11"/>
  <c r="C255" i="11"/>
  <c r="H68" i="12" l="1"/>
  <c r="H67" i="19"/>
  <c r="H70" i="12"/>
  <c r="H69" i="19"/>
  <c r="H74" i="12"/>
  <c r="H73" i="19"/>
  <c r="H69" i="12"/>
  <c r="H68" i="19"/>
  <c r="H75" i="12"/>
  <c r="H74" i="19"/>
  <c r="AB259" i="11"/>
  <c r="H72" i="12"/>
  <c r="C248" i="11"/>
  <c r="H61" i="12" l="1"/>
  <c r="H60" i="19"/>
  <c r="H58" i="12" l="1"/>
  <c r="H57" i="19"/>
  <c r="H54" i="12"/>
  <c r="G6" i="16" l="1"/>
  <c r="H6" i="16"/>
  <c r="J6" i="16" s="1"/>
  <c r="AB108" i="11"/>
  <c r="AB101" i="11"/>
  <c r="H3" i="16"/>
  <c r="G3" i="16"/>
  <c r="G5" i="16"/>
  <c r="H5" i="16"/>
  <c r="J5" i="16" s="1"/>
  <c r="H4" i="16"/>
  <c r="J4" i="16" s="1"/>
  <c r="G4" i="16"/>
  <c r="AB271" i="11"/>
  <c r="H60" i="12" l="1"/>
  <c r="H59" i="19"/>
  <c r="H59" i="12"/>
  <c r="H58" i="19"/>
  <c r="J3" i="16"/>
  <c r="AB42" i="11"/>
  <c r="AB189" i="11" l="1"/>
  <c r="AB186" i="11"/>
  <c r="AB188" i="11"/>
  <c r="AB187" i="11"/>
  <c r="B169" i="11" l="1"/>
  <c r="H53" i="12" l="1"/>
  <c r="H52" i="19"/>
  <c r="AB34" i="11"/>
  <c r="AB49" i="11" l="1"/>
  <c r="AB275" i="11" l="1"/>
  <c r="AB274" i="11"/>
  <c r="AB273" i="11"/>
  <c r="AB272" i="11"/>
  <c r="AC183" i="11" l="1"/>
  <c r="F185" i="11" s="1"/>
  <c r="EQ6" i="18" s="1"/>
  <c r="EQ8" i="18" s="1"/>
  <c r="BG34" i="11" l="1"/>
  <c r="B5" i="12" l="1"/>
  <c r="B5" i="19"/>
  <c r="AB44" i="11"/>
  <c r="AB43" i="11"/>
  <c r="AB40" i="11" l="1"/>
  <c r="AB222" i="11" l="1"/>
  <c r="F218" i="11"/>
  <c r="EU6" i="18" s="1"/>
  <c r="EU8" i="18" s="1"/>
  <c r="AB211" i="11"/>
  <c r="AC209" i="11"/>
  <c r="AB204" i="11"/>
  <c r="AC199" i="11"/>
  <c r="F201" i="11" s="1"/>
  <c r="ES6" i="18" s="1"/>
  <c r="ES8" i="18" s="1"/>
  <c r="AB194" i="11"/>
  <c r="AC191" i="11"/>
  <c r="F193" i="11" s="1"/>
  <c r="ER6" i="18" s="1"/>
  <c r="ER8" i="18" s="1"/>
  <c r="AB180" i="11"/>
  <c r="AB179" i="11"/>
  <c r="AC176" i="11"/>
  <c r="F178" i="11" s="1"/>
  <c r="EP6" i="18" s="1"/>
  <c r="EP8" i="18" s="1"/>
  <c r="AC171" i="11"/>
  <c r="F173" i="11" s="1"/>
  <c r="EO6" i="18" s="1"/>
  <c r="B95" i="11"/>
  <c r="AB91" i="11"/>
  <c r="AB52" i="11"/>
  <c r="AB48" i="11"/>
  <c r="AB47" i="11"/>
  <c r="Y45" i="11"/>
  <c r="D45" i="11"/>
  <c r="AB41" i="11"/>
  <c r="AB39" i="11"/>
  <c r="AB38" i="11"/>
  <c r="AB37" i="11"/>
  <c r="AB35" i="11"/>
  <c r="AB20" i="11"/>
  <c r="AB19" i="11"/>
  <c r="AB17" i="11"/>
  <c r="AB15" i="11"/>
  <c r="Y109" i="11" l="1"/>
  <c r="EO8" i="18"/>
  <c r="F211" i="11"/>
  <c r="AB95" i="11"/>
  <c r="AB109" i="11" l="1"/>
  <c r="Y128" i="11"/>
  <c r="C252" i="11" s="1"/>
  <c r="EK6" i="18"/>
  <c r="EK8" i="18" s="1"/>
  <c r="F224" i="11"/>
  <c r="ET6" i="18"/>
  <c r="Y164" i="11"/>
  <c r="AB164" i="11" s="1"/>
  <c r="T230" i="11" l="1"/>
  <c r="H80" i="19" s="1"/>
  <c r="EJ6" i="18"/>
  <c r="EJ8" i="18" s="1"/>
  <c r="H8" i="16"/>
  <c r="J8" i="16" s="1"/>
  <c r="C251" i="11"/>
  <c r="H64" i="12" s="1"/>
  <c r="H64" i="19"/>
  <c r="AB252" i="11"/>
  <c r="H65" i="12"/>
  <c r="EG6" i="18"/>
  <c r="EF6" i="18"/>
  <c r="EF8" i="18" s="1"/>
  <c r="EE6" i="18"/>
  <c r="EE8" i="18" s="1"/>
  <c r="AB128" i="11"/>
  <c r="G8" i="16"/>
  <c r="ET8" i="18"/>
  <c r="EV6" i="18"/>
  <c r="H7" i="16"/>
  <c r="J7" i="16" s="1"/>
  <c r="G7" i="16"/>
  <c r="AB146" i="11"/>
  <c r="H9" i="16"/>
  <c r="J9" i="16" s="1"/>
  <c r="G9" i="16"/>
  <c r="K226" i="11" l="1"/>
  <c r="H81" i="19"/>
  <c r="H79" i="19"/>
  <c r="H82" i="19"/>
  <c r="EI6" i="18"/>
  <c r="EI8" i="18" s="1"/>
  <c r="H63" i="19"/>
  <c r="ED6" i="18"/>
  <c r="AB227" i="11"/>
  <c r="EN6" i="18"/>
  <c r="EN8" i="18" s="1"/>
  <c r="EV8" i="18"/>
  <c r="EW6" i="18"/>
  <c r="H66" i="12"/>
  <c r="H65" i="19"/>
  <c r="G12" i="16"/>
  <c r="H24" i="12" s="1"/>
  <c r="H25" i="12" s="1"/>
  <c r="H12" i="16"/>
  <c r="Q24" i="12" s="1"/>
  <c r="Q25" i="12" s="1"/>
  <c r="EL6" i="18" l="1"/>
  <c r="EM6" i="18" s="1"/>
  <c r="ED8" i="18"/>
  <c r="EX6" i="18"/>
  <c r="EX8" i="18" s="1"/>
  <c r="EW8" i="18"/>
  <c r="EH6" i="18"/>
  <c r="EG8" i="18"/>
  <c r="EL8" i="18" l="1"/>
  <c r="EH8" i="18"/>
  <c r="FD6" i="18"/>
  <c r="EM8" i="18"/>
  <c r="FE6" i="18" l="1"/>
  <c r="FE8" i="18" s="1"/>
  <c r="GM6" i="18"/>
  <c r="FD8" i="18"/>
  <c r="GM8" i="18" l="1"/>
  <c r="GN6" i="18"/>
  <c r="GN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8" authorId="0" shapeId="0" xr:uid="{00000000-0006-0000-0000-000001000000}">
      <text>
        <r>
          <rPr>
            <b/>
            <sz val="9"/>
            <color indexed="81"/>
            <rFont val="ＭＳ Ｐゴシック"/>
            <family val="3"/>
            <charset val="128"/>
          </rPr>
          <t>実績報告の場合は転居後の住所としてください。</t>
        </r>
      </text>
    </comment>
    <comment ref="U99" authorId="0" shapeId="0" xr:uid="{00000000-0006-0000-0000-000002000000}">
      <text>
        <r>
          <rPr>
            <b/>
            <sz val="9"/>
            <color indexed="81"/>
            <rFont val="ＭＳ Ｐゴシック"/>
            <family val="3"/>
            <charset val="128"/>
          </rPr>
          <t>併用住宅を選択すると、ここに入力欄が表示されます。</t>
        </r>
      </text>
    </comment>
    <comment ref="J271"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<sst xmlns="http://schemas.openxmlformats.org/spreadsheetml/2006/main" count="812" uniqueCount="511">
  <si>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</si>
  <si>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</si>
  <si>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</si>
  <si>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</si>
  <si>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</si>
  <si>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</si>
  <si>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</si>
  <si>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</si>
  <si>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</si>
  <si>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</si>
  <si>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</si>
  <si>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</si>
  <si>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</si>
  <si>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</si>
  <si>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</si>
  <si>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</si>
  <si>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</si>
  <si>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</si>
  <si>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</si>
  <si>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</si>
  <si>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</si>
  <si>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</si>
  <si>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</si>
  <si>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</si>
  <si>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</si>
  <si>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</si>
  <si>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</si>
  <si>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</si>
  <si>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</si>
  <si>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</si>
  <si>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</si>
  <si>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</si>
  <si>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</si>
  <si>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</si>
  <si>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</si>
  <si>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</si>
  <si>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</si>
  <si>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</si>
  <si>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</si>
  <si>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</si>
  <si>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</si>
  <si>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</si>
  <si>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</si>
  <si>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</si>
  <si>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</si>
  <si>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</si>
  <si>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</si>
  <si>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</si>
  <si>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</si>
  <si>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</si>
  <si>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</si>
  <si>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</si>
  <si>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</si>
  <si>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</si>
  <si>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</si>
  <si>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</si>
  <si>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</si>
  <si>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</si>
  <si>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</si>
  <si>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</si>
  <si>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</si>
  <si>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</si>
  <si>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</si>
  <si>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</si>
  <si>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</si>
  <si>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</si>
  <si>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</si>
  <si>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</si>
  <si>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</si>
  <si>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</si>
  <si>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</si>
  <si>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</si>
  <si>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</si>
  <si>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</si>
  <si>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</si>
  <si>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</si>
  <si>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</si>
  <si>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</si>
  <si>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</si>
  <si>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</si>
  <si>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</si>
  <si>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</si>
  <si>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</si>
  <si>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</si>
  <si>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</si>
  <si>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</si>
  <si>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</si>
  <si>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</si>
  <si>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</si>
  <si>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</si>
  <si>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</si>
  <si>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</si>
  <si>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</si>
  <si>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</si>
  <si>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</si>
  <si>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</si>
  <si>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</si>
  <si>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</si>
  <si>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</si>
  <si>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</si>
  <si>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</si>
  <si>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</si>
  <si>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</si>
  <si>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</si>
  <si>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</si>
  <si>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</si>
  <si>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</si>
  <si>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</si>
  <si>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</si>
  <si>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</si>
  <si>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</si>
  <si>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</si>
  <si>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</si>
  <si>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</si>
  <si>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</si>
  <si>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</si>
  <si>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</si>
  <si>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</si>
  <si>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</si>
  <si>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</si>
  <si>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</si>
  <si>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</si>
  <si>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</si>
  <si>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</si>
  <si>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</si>
  <si>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</si>
  <si>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</si>
  <si>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</si>
  <si>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</si>
  <si>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</si>
  <si>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</si>
  <si>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</si>
  <si>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</si>
  <si>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</si>
  <si>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</si>
  <si>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</si>
  <si>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</si>
  <si>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</si>
  <si>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</si>
  <si>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</si>
  <si>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</si>
  <si>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</si>
  <si>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</si>
  <si>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</si>
  <si>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</si>
  <si>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</si>
  <si>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</si>
  <si>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</si>
  <si>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</si>
  <si>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</si>
  <si>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</si>
  <si>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</si>
  <si>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</si>
  <si>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</si>
  <si>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</si>
  <si>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</si>
  <si>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</si>
  <si>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</si>
  <si>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</si>
  <si>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</si>
  <si>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</si>
  <si>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</si>
  <si>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</si>
  <si>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</si>
  <si>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</si>
  <si>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</si>
  <si>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</si>
  <si>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</si>
  <si>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</si>
  <si>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</si>
  <si>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</si>
  <si>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</si>
  <si>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</si>
  <si>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</si>
  <si>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</si>
  <si>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</si>
  <si>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</si>
  <si>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</si>
  <si>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</si>
  <si>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</si>
  <si>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</si>
  <si>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</si>
  <si>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</si>
  <si>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</si>
  <si>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</si>
  <si>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</si>
  <si>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</si>
  <si>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</si>
  <si>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</si>
  <si>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</si>
  <si>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</si>
  <si>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</si>
  <si>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</si>
  <si>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</si>
  <si>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</si>
  <si>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</si>
  <si>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</si>
  <si>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</si>
  <si>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</si>
  <si>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</si>
  <si>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いいえ</t>
  </si>
  <si>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</si>
  <si>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</si>
  <si>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</si>
  <si>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</si>
  <si>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</si>
  <si>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</si>
  <si>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</si>
  <si>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</si>
  <si>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</si>
  <si>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</si>
  <si>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</si>
  <si>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県産規格材</t>
    <rPh sb="0" eb="2">
      <t>ケンサン</t>
    </rPh>
    <rPh sb="2" eb="5">
      <t>キカクザイ</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</si>
  <si>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</si>
  <si>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</si>
  <si>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</si>
  <si>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</si>
  <si>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</si>
  <si>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</si>
  <si>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交付決定</t>
    <rPh sb="0" eb="2">
      <t>コウフ</t>
    </rPh>
    <rPh sb="2" eb="4">
      <t>ケッテイ</t>
    </rPh>
    <phoneticPr fontId="1"/>
  </si>
  <si>
    <t>実　　績</t>
    <rPh sb="0" eb="1">
      <t>ジツ</t>
    </rPh>
    <rPh sb="3" eb="4">
      <t>イサオ</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</si>
  <si>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</si>
  <si>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</si>
  <si>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</si>
  <si>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</si>
  <si>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</si>
  <si>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</si>
  <si>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</si>
  <si>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</si>
  <si>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交付決定通知（変更を行った場合は変更承認通知）記載の額を入力してください（０円も入力、空白不可）。</t>
    <rPh sb="0" eb="2">
      <t>コウフ</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</si>
  <si>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</si>
  <si>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</si>
  <si>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</si>
  <si>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</si>
  <si>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</si>
  <si>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</si>
  <si>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</si>
  <si>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</si>
  <si>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</si>
  <si>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</si>
  <si>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</si>
  <si>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</si>
  <si>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</si>
  <si>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</si>
  <si>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</si>
  <si>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</si>
  <si>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</si>
  <si>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</si>
  <si>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</si>
  <si>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</si>
  <si>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</si>
  <si>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</si>
  <si>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</si>
  <si>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</si>
  <si>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</si>
  <si>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</si>
  <si>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</si>
  <si>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</si>
  <si>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</si>
  <si>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</si>
  <si>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</si>
  <si>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</si>
  <si>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</si>
  <si>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</si>
  <si>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</si>
  <si>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</si>
  <si>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</si>
  <si>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</si>
  <si>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</si>
  <si>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</si>
  <si>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</si>
  <si>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</si>
  <si>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</si>
  <si>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7"/>
  </si>
  <si>
    <t>区分</t>
    <rPh sb="0" eb="2">
      <t>クブン</t>
    </rPh>
    <phoneticPr fontId="17"/>
  </si>
  <si>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</si>
  <si>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</si>
  <si>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</si>
  <si>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</si>
  <si>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7"/>
  </si>
  <si>
    <t>建設地</t>
    <rPh sb="0" eb="3">
      <t>ケンセツチ</t>
    </rPh>
    <phoneticPr fontId="17"/>
  </si>
  <si>
    <t>新築助成（予定）</t>
    <rPh sb="0" eb="2">
      <t>シンチク</t>
    </rPh>
    <rPh sb="2" eb="4">
      <t>ジョセイ</t>
    </rPh>
    <rPh sb="5" eb="7">
      <t>ヨテイ</t>
    </rPh>
    <phoneticPr fontId="17"/>
  </si>
  <si>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</si>
  <si>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</si>
  <si>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7"/>
  </si>
  <si>
    <t>交付（登録）決定</t>
    <rPh sb="0" eb="2">
      <t>コウフ</t>
    </rPh>
    <rPh sb="3" eb="5">
      <t>トウロク</t>
    </rPh>
    <rPh sb="6" eb="8">
      <t>ケッテイ</t>
    </rPh>
    <phoneticPr fontId="17"/>
  </si>
  <si>
    <t>業者名</t>
    <rPh sb="0" eb="2">
      <t>ギョウシャ</t>
    </rPh>
    <rPh sb="2" eb="3">
      <t>メイ</t>
    </rPh>
    <phoneticPr fontId="17"/>
  </si>
  <si>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</si>
  <si>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</si>
  <si>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</si>
  <si>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</si>
  <si>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</si>
  <si>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</si>
  <si>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補助金併用</t>
    <rPh sb="0" eb="3">
      <t>ホジョキン</t>
    </rPh>
    <rPh sb="3" eb="5">
      <t>ヘイヨウ</t>
    </rPh>
    <phoneticPr fontId="31"/>
  </si>
  <si>
    <t>省エネルギー性能</t>
    <rPh sb="0" eb="1">
      <t>ショウ</t>
    </rPh>
    <rPh sb="6" eb="8">
      <t>セイノウ</t>
    </rPh>
    <phoneticPr fontId="1"/>
  </si>
  <si>
    <t>新築助成（実績）</t>
    <rPh sb="0" eb="2">
      <t>シンチク</t>
    </rPh>
    <rPh sb="2" eb="4">
      <t>ジョセイ</t>
    </rPh>
    <rPh sb="5" eb="7">
      <t>ジッセキ</t>
    </rPh>
    <phoneticPr fontId="17"/>
  </si>
  <si>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</si>
  <si>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</si>
  <si>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7"/>
  </si>
  <si>
    <t>郵便番号</t>
    <rPh sb="0" eb="4">
      <t>ユウビンバンゴウ</t>
    </rPh>
    <phoneticPr fontId="31"/>
  </si>
  <si>
    <t>住所</t>
    <rPh sb="0" eb="2">
      <t>ジュウショ</t>
    </rPh>
    <phoneticPr fontId="31"/>
  </si>
  <si>
    <t>電話</t>
    <rPh sb="0" eb="2">
      <t>デンワ</t>
    </rPh>
    <phoneticPr fontId="17"/>
  </si>
  <si>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</si>
  <si>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7"/>
  </si>
  <si>
    <t>機械等級区分構造材</t>
    <rPh sb="0" eb="2">
      <t>キカイ</t>
    </rPh>
    <rPh sb="2" eb="4">
      <t>トウキュウ</t>
    </rPh>
    <rPh sb="4" eb="6">
      <t>クブン</t>
    </rPh>
    <rPh sb="6" eb="9">
      <t>コウゾウザイ</t>
    </rPh>
    <phoneticPr fontId="17"/>
  </si>
  <si>
    <t>県産ＣＬＴ材</t>
    <rPh sb="0" eb="2">
      <t>ケンサン</t>
    </rPh>
    <rPh sb="5" eb="6">
      <t>ザイ</t>
    </rPh>
    <phoneticPr fontId="17"/>
  </si>
  <si>
    <t>県産内外装材</t>
    <rPh sb="0" eb="2">
      <t>ケンサン</t>
    </rPh>
    <rPh sb="2" eb="5">
      <t>ナイガイソウ</t>
    </rPh>
    <rPh sb="5" eb="6">
      <t>ザイ</t>
    </rPh>
    <phoneticPr fontId="17"/>
  </si>
  <si>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</si>
  <si>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</si>
  <si>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7"/>
  </si>
  <si>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</si>
  <si>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</si>
  <si>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</si>
  <si>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7"/>
  </si>
  <si>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</si>
  <si>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</si>
  <si>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</si>
  <si>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</si>
  <si>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7"/>
  </si>
  <si>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</si>
  <si>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</si>
  <si>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</si>
  <si>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</si>
  <si>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</si>
  <si>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</si>
  <si>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</si>
  <si>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</si>
  <si>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</si>
  <si>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CLT使用量
(m3)</t>
    <rPh sb="3" eb="6">
      <t>シヨウリョウ</t>
    </rPh>
    <phoneticPr fontId="31"/>
  </si>
  <si>
    <t>算出値
(千円)</t>
    <rPh sb="0" eb="2">
      <t>サンシュツ</t>
    </rPh>
    <rPh sb="2" eb="3">
      <t>チ</t>
    </rPh>
    <rPh sb="5" eb="7">
      <t>センエン</t>
    </rPh>
    <phoneticPr fontId="31"/>
  </si>
  <si>
    <t>補助金額</t>
    <rPh sb="0" eb="3">
      <t>ホジョキン</t>
    </rPh>
    <rPh sb="3" eb="4">
      <t>ガク</t>
    </rPh>
    <phoneticPr fontId="1"/>
  </si>
  <si>
    <t>内外装材使用量
(m3)</t>
    <rPh sb="0" eb="3">
      <t>ナイガイソウ</t>
    </rPh>
    <rPh sb="3" eb="4">
      <t>ザイ</t>
    </rPh>
    <rPh sb="4" eb="7">
      <t>シヨウリョウ</t>
    </rPh>
    <phoneticPr fontId="31"/>
  </si>
  <si>
    <t>18歳以下</t>
    <rPh sb="2" eb="3">
      <t>サイ</t>
    </rPh>
    <rPh sb="3" eb="5">
      <t>イカ</t>
    </rPh>
    <phoneticPr fontId="31"/>
  </si>
  <si>
    <t>18歳以下なしかつ婚姻10年</t>
    <rPh sb="2" eb="3">
      <t>サイ</t>
    </rPh>
    <rPh sb="3" eb="5">
      <t>イカ</t>
    </rPh>
    <rPh sb="9" eb="11">
      <t>コンイン</t>
    </rPh>
    <rPh sb="13" eb="14">
      <t>ネン</t>
    </rPh>
    <phoneticPr fontId="31"/>
  </si>
  <si>
    <t xml:space="preserve">有
</t>
    <rPh sb="0" eb="1">
      <t>ア</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</si>
  <si>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</si>
  <si>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</si>
  <si>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</si>
  <si>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</si>
  <si>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</si>
  <si>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</si>
  <si>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</si>
  <si>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</si>
  <si>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</si>
  <si>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</si>
  <si>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</si>
  <si>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</si>
  <si>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</si>
  <si>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</si>
  <si>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</si>
  <si>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</si>
  <si>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</si>
  <si>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</si>
  <si>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</si>
  <si>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</si>
  <si>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</si>
  <si>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</si>
  <si>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</si>
  <si>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</si>
  <si>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</si>
  <si>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7"/>
  </si>
  <si>
    <t>着工</t>
    <rPh sb="0" eb="2">
      <t>チャッコウ</t>
    </rPh>
    <phoneticPr fontId="17"/>
  </si>
  <si>
    <t>完成</t>
    <rPh sb="0" eb="2">
      <t>カンセイ</t>
    </rPh>
    <phoneticPr fontId="17"/>
  </si>
  <si>
    <t>日付</t>
    <rPh sb="0" eb="2">
      <t>ヒヅケ</t>
    </rPh>
    <phoneticPr fontId="17"/>
  </si>
  <si>
    <t>金額</t>
    <rPh sb="0" eb="2">
      <t>キンガク</t>
    </rPh>
    <phoneticPr fontId="17"/>
  </si>
  <si>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</si>
  <si>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</si>
  <si>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</si>
  <si>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</si>
  <si>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</si>
  <si>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</si>
  <si>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</si>
  <si>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</si>
  <si>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</si>
  <si>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</si>
  <si>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</si>
  <si>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</si>
  <si>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</si>
  <si>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</si>
  <si>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</si>
  <si>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</si>
  <si>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</si>
  <si>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</si>
  <si>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</si>
  <si>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</si>
  <si>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</si>
  <si>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</si>
  <si>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</si>
  <si>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</si>
  <si>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</si>
  <si>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</si>
  <si>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</si>
  <si>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</si>
  <si>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</si>
  <si>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</si>
  <si>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</si>
  <si>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</si>
  <si>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</si>
  <si>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</si>
  <si>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7"/>
  </si>
  <si>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</si>
  <si>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</si>
  <si>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7"/>
  </si>
  <si>
    <t>実績減
（千円）</t>
    <rPh sb="0" eb="2">
      <t>ジッセキ</t>
    </rPh>
    <rPh sb="2" eb="3">
      <t>ゲン</t>
    </rPh>
    <rPh sb="5" eb="7">
      <t>センエン</t>
    </rPh>
    <phoneticPr fontId="17"/>
  </si>
  <si>
    <t>新築</t>
  </si>
  <si>
    <t>月</t>
    <rPh sb="0" eb="1">
      <t>ガツ</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</si>
  <si>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</si>
  <si>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</si>
  <si>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</si>
  <si>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</si>
  <si>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</si>
  <si>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</si>
  <si>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→DA列から範囲選択でコピぺ（行全体をコピペしないこと！）</t>
    <rPh sb="3" eb="4">
      <t>レツ</t>
    </rPh>
    <rPh sb="6" eb="10">
      <t>ハンイセンタク</t>
    </rPh>
    <rPh sb="15" eb="16">
      <t>ギョウ</t>
    </rPh>
    <rPh sb="16" eb="18">
      <t>ゼンタイ</t>
    </rPh>
    <phoneticPr fontId="1"/>
  </si>
  <si>
    <t>〇</t>
  </si>
  <si>
    <t>　令和　　年　　月　　日付第　　　　　　　　号による交付決定に係る事業の実績について、鳥取県補助金等交付規則第17条第１項の規定により、下記のとおり報告します。</t>
    <phoneticPr fontId="1"/>
  </si>
  <si>
    <t>変更承認を受けている場合は、以下のAA19の内容をA17にコピペしてください。</t>
    <rPh sb="0" eb="2">
      <t>ヘンコウ</t>
    </rPh>
    <rPh sb="2" eb="4">
      <t>ショウニン</t>
    </rPh>
    <rPh sb="5" eb="6">
      <t>ウ</t>
    </rPh>
    <rPh sb="10" eb="12">
      <t>バアイ</t>
    </rPh>
    <rPh sb="14" eb="16">
      <t>イカ</t>
    </rPh>
    <rPh sb="22" eb="24">
      <t>ナイヨウ</t>
    </rPh>
    <phoneticPr fontId="1"/>
  </si>
  <si>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</si>
  <si>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とっとり未来型省エネ住宅特別促進事業補助金実績報告書</t>
    <rPh sb="4" eb="7">
      <t>ミライガタ</t>
    </rPh>
    <rPh sb="7" eb="8">
      <t>ショウ</t>
    </rPh>
    <rPh sb="10" eb="12">
      <t>ジュウタク</t>
    </rPh>
    <rPh sb="12" eb="14">
      <t>トクベツ</t>
    </rPh>
    <rPh sb="14" eb="16">
      <t>ソクシン</t>
    </rPh>
    <rPh sb="16" eb="18">
      <t>ジギョウ</t>
    </rPh>
    <rPh sb="18" eb="21">
      <t>ホジョキン</t>
    </rPh>
    <rPh sb="21" eb="23">
      <t>ジッセキ</t>
    </rPh>
    <rPh sb="23" eb="26">
      <t>ホウコクショ</t>
    </rPh>
    <phoneticPr fontId="1"/>
  </si>
  <si>
    <t>添付書類</t>
    <rPh sb="0" eb="4">
      <t>テンプショルイ</t>
    </rPh>
    <phoneticPr fontId="1"/>
  </si>
  <si>
    <t>とっとり住まいる支援事業補助金実績報告書</t>
    <rPh sb="4" eb="5">
      <t>ス</t>
    </rPh>
    <rPh sb="8" eb="10">
      <t>シエン</t>
    </rPh>
    <rPh sb="10" eb="12">
      <t>ジギョウ</t>
    </rPh>
    <rPh sb="12" eb="15">
      <t>ホジョキン</t>
    </rPh>
    <rPh sb="15" eb="17">
      <t>ジッセキ</t>
    </rPh>
    <rPh sb="17" eb="20">
      <t>ホウコクショ</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</si>
  <si>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</si>
  <si>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</si>
  <si>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</si>
  <si>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</si>
  <si>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</si>
  <si>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</si>
  <si>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</si>
  <si>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③県産JAS製材の使用材積</t>
    <rPh sb="1" eb="3">
      <t>ケンサン</t>
    </rPh>
    <rPh sb="6" eb="8">
      <t>セイザイ</t>
    </rPh>
    <rPh sb="7" eb="8">
      <t>ザイ</t>
    </rPh>
    <rPh sb="9" eb="11">
      <t>シヨウ</t>
    </rPh>
    <rPh sb="11" eb="13">
      <t>ザイセキ</t>
    </rPh>
    <phoneticPr fontId="1"/>
  </si>
  <si>
    <t>　</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</si>
  <si>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</si>
  <si>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</si>
  <si>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（別途提出する鳥取県産材活用協議会が発行する県産材の産地証明書で証明できる場合を除く。）</t>
    <rPh sb="1" eb="3">
      <t>ベット</t>
    </rPh>
    <rPh sb="3" eb="5">
      <t>テイシュツ</t>
    </rPh>
    <rPh sb="32" eb="34">
      <t>ショウメイ</t>
    </rPh>
    <rPh sb="37" eb="39">
      <t>バアイ</t>
    </rPh>
    <rPh sb="40" eb="41">
      <t>ノゾ</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</si>
  <si>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37" eb="38">
      <t>ウツ</t>
    </rPh>
    <phoneticPr fontId="1"/>
  </si>
  <si>
    <t>鳥取県産材活用協議会が発行する県産材の産地証明書の写し</t>
    <rPh sb="25" eb="26">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</si>
  <si>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</si>
  <si>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</si>
  <si>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（ＪＡＳ格付及び含水率21%以下）であることを証明する書類</t>
    <phoneticPr fontId="1"/>
  </si>
  <si>
    <t>含水率の測定結果写真又は鳥取県木材協同組合連合会が発行する日本農林規格県産材</t>
    <rPh sb="10" eb="11">
      <t>マタ</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</si>
  <si>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</si>
  <si>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</si>
  <si>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</si>
  <si>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1"/>
  </si>
  <si>
    <t>機械等級区分構造材を最も多く供給した製材所名</t>
    <rPh sb="0" eb="4">
      <t>キカイトウキュウ</t>
    </rPh>
    <rPh sb="4" eb="6">
      <t>クブン</t>
    </rPh>
    <rPh sb="6" eb="9">
      <t>コウゾウザイ</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</si>
  <si>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</si>
  <si>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</si>
  <si>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</si>
  <si>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県産ヤング係数確認構造材</t>
    <rPh sb="0" eb="2">
      <t>ケンサン</t>
    </rPh>
    <rPh sb="5" eb="7">
      <t>ケイスウ</t>
    </rPh>
    <rPh sb="7" eb="9">
      <t>カクニン</t>
    </rPh>
    <rPh sb="9" eb="12">
      <t>コウゾウザイ</t>
    </rPh>
    <phoneticPr fontId="1"/>
  </si>
  <si>
    <t>ヤング係数確認構造材</t>
    <rPh sb="3" eb="5">
      <t>ケイスウ</t>
    </rPh>
    <rPh sb="5" eb="7">
      <t>カクニン</t>
    </rPh>
    <rPh sb="7" eb="10">
      <t>コウゾウザイ</t>
    </rPh>
    <phoneticPr fontId="17"/>
  </si>
  <si>
    <t>地域建築技能活用（４ポイント以上該当）</t>
    <rPh sb="0" eb="2">
      <t>チイキ</t>
    </rPh>
    <rPh sb="2" eb="4">
      <t>ケンチク</t>
    </rPh>
    <rPh sb="4" eb="6">
      <t>ギノウ</t>
    </rPh>
    <rPh sb="6" eb="8">
      <t>カツヨウ</t>
    </rPh>
    <rPh sb="14" eb="16">
      <t>イジョウ</t>
    </rPh>
    <rPh sb="16" eb="18">
      <t>ガイトウ</t>
    </rPh>
    <phoneticPr fontId="17"/>
  </si>
  <si>
    <t>地域建築技能活用</t>
    <rPh sb="0" eb="6">
      <t>チイキケンチクギノウ</t>
    </rPh>
    <rPh sb="6" eb="8">
      <t>カツヨウ</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</si>
  <si>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</si>
  <si>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・建設等報告書（様式第６号）</t>
    <phoneticPr fontId="1"/>
  </si>
  <si>
    <t>規則様式第3号(第17条関係)</t>
    <rPh sb="0" eb="2">
      <t>キソク</t>
    </rPh>
    <rPh sb="2" eb="4">
      <t>ヨウシキ</t>
    </rPh>
    <rPh sb="4" eb="5">
      <t>ダイ</t>
    </rPh>
    <rPh sb="6" eb="7">
      <t>ゴウ</t>
    </rPh>
    <rPh sb="8" eb="9">
      <t>ダイ</t>
    </rPh>
    <rPh sb="11" eb="12">
      <t>ジョウ</t>
    </rPh>
    <rPh sb="12" eb="14">
      <t>カンケイ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</si>
  <si>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</si>
  <si>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</si>
  <si>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</si>
  <si>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</si>
  <si>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</si>
  <si>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</si>
  <si>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</si>
  <si>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</si>
  <si>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</si>
  <si>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</si>
  <si>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</si>
  <si>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</si>
  <si>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実績報告用 令和8年4月1日改正</t>
    <rPh sb="0" eb="2">
      <t>ジッセキ</t>
    </rPh>
    <rPh sb="2" eb="5">
      <t>ホウコクヨウ</t>
    </rPh>
    <rPh sb="6" eb="8">
      <t>レイワ</t>
    </rPh>
    <rPh sb="9" eb="10">
      <t>ネン</t>
    </rPh>
    <rPh sb="11" eb="12">
      <t>ガツ</t>
    </rPh>
    <rPh sb="13" eb="14">
      <t>ニチ</t>
    </rPh>
    <rPh sb="14" eb="16">
      <t>カイセイ</t>
    </rPh>
    <phoneticPr fontId="1"/>
  </si>
  <si>
    <t>※以前から同居、近居している場合も対象となります。</t>
    <rPh sb="1" eb="3">
      <t>イゼン</t>
    </rPh>
    <rPh sb="5" eb="7">
      <t>ドウキョ</t>
    </rPh>
    <rPh sb="8" eb="10">
      <t>キンキョ</t>
    </rPh>
    <rPh sb="14" eb="16">
      <t>バアイ</t>
    </rPh>
    <rPh sb="17" eb="19">
      <t>タイショウ</t>
    </rPh>
    <phoneticPr fontId="1"/>
  </si>
  <si>
    <t>申請者世帯</t>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</si>
  <si>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phoneticPr fontId="1"/>
  </si>
  <si>
    <t>イ　 直系尊属の世帯と同居する子育て世帯等（親と同居）</t>
    <rPh sb="24" eb="26">
      <t>ドウキョ</t>
    </rPh>
    <phoneticPr fontId="1"/>
  </si>
  <si>
    <t>ウ　 直系卑属の子育て世帯等と同居する世帯（子と同居）</t>
    <rPh sb="22" eb="23">
      <t>コ</t>
    </rPh>
    <rPh sb="24" eb="25">
      <t>ドウ</t>
    </rPh>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</si>
  <si>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</si>
  <si>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</si>
  <si>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</si>
  <si>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</si>
  <si>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</si>
  <si>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</si>
  <si>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</si>
  <si>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</si>
  <si>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</si>
  <si>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</si>
  <si>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</si>
  <si>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</si>
  <si>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</si>
  <si>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</si>
  <si>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</si>
  <si>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</si>
  <si>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</si>
  <si>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</si>
  <si>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</si>
  <si>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</si>
  <si>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</si>
  <si>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</si>
  <si>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</si>
  <si>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</si>
  <si>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</si>
  <si>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</si>
  <si>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</si>
  <si>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</si>
  <si>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</si>
  <si>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併用住宅住宅部分</t>
    <rPh sb="0" eb="2">
      <t>ヘイヨウ</t>
    </rPh>
    <rPh sb="2" eb="4">
      <t>ジュウタク</t>
    </rPh>
    <phoneticPr fontId="1"/>
  </si>
  <si>
    <t>併用住宅住宅以外</t>
    <rPh sb="0" eb="2">
      <t>ヘイヨウ</t>
    </rPh>
    <rPh sb="2" eb="4">
      <t>ジュウタク</t>
    </rPh>
    <phoneticPr fontId="1"/>
  </si>
  <si>
    <t>交付申請時の内容を以下にコピー＆ペーストすることで入力が省略できます。</t>
    <rPh sb="0" eb="2">
      <t>コウフ</t>
    </rPh>
    <rPh sb="2" eb="5">
      <t>シンセイジ</t>
    </rPh>
    <rPh sb="6" eb="8">
      <t>ナイヨウ</t>
    </rPh>
    <rPh sb="9" eb="11">
      <t>イカ</t>
    </rPh>
    <rPh sb="25" eb="27">
      <t>ニュウリョク</t>
    </rPh>
    <rPh sb="28" eb="30">
      <t>ショウリャク</t>
    </rPh>
    <phoneticPr fontId="1"/>
  </si>
  <si>
    <r>
      <t>↓</t>
    </r>
    <r>
      <rPr>
        <b/>
        <sz val="11"/>
        <color rgb="FFFF0000"/>
        <rFont val="ＭＳ 明朝"/>
        <family val="1"/>
        <charset val="128"/>
      </rPr>
      <t>※値で貼り付け</t>
    </r>
    <phoneticPr fontId="1"/>
  </si>
  <si>
    <t>※全ての箇所が反映されるわけではないので様式第６号の内容確認・入力をお願いします。</t>
    <rPh sb="1" eb="2">
      <t>スベ</t>
    </rPh>
    <rPh sb="4" eb="6">
      <t>カショ</t>
    </rPh>
    <rPh sb="7" eb="9">
      <t>ハンエイ</t>
    </rPh>
    <rPh sb="20" eb="22">
      <t>ヨウシキ</t>
    </rPh>
    <rPh sb="22" eb="23">
      <t>ダイ</t>
    </rPh>
    <rPh sb="24" eb="25">
      <t>ゴウ</t>
    </rPh>
    <rPh sb="26" eb="28">
      <t>ナイヨウ</t>
    </rPh>
    <rPh sb="28" eb="30">
      <t>カクニン</t>
    </rPh>
    <rPh sb="31" eb="33">
      <t>ニュウリョク</t>
    </rPh>
    <rPh sb="35" eb="36">
      <t>ネガ</t>
    </rPh>
    <phoneticPr fontId="1"/>
  </si>
  <si>
    <r>
      <t>交付申請の「実績報告時入力用シート」の赤枠内を選択・コピーして、以下に</t>
    </r>
    <r>
      <rPr>
        <b/>
        <u/>
        <sz val="11"/>
        <color rgb="FFFF0000"/>
        <rFont val="ＭＳ 明朝"/>
        <family val="1"/>
        <charset val="128"/>
      </rPr>
      <t>値で貼り付け</t>
    </r>
    <r>
      <rPr>
        <sz val="11"/>
        <color rgb="FFFF0000"/>
        <rFont val="ＭＳ 明朝"/>
        <family val="1"/>
        <charset val="128"/>
      </rPr>
      <t>してください。</t>
    </r>
    <rPh sb="0" eb="2">
      <t>コウフ</t>
    </rPh>
    <rPh sb="2" eb="4">
      <t>シンセイ</t>
    </rPh>
    <rPh sb="6" eb="8">
      <t>ジッセキ</t>
    </rPh>
    <rPh sb="8" eb="10">
      <t>ホウコク</t>
    </rPh>
    <rPh sb="10" eb="11">
      <t>ジ</t>
    </rPh>
    <rPh sb="11" eb="14">
      <t>ニュウリョクヨウ</t>
    </rPh>
    <rPh sb="19" eb="20">
      <t>アカ</t>
    </rPh>
    <rPh sb="20" eb="21">
      <t>ワク</t>
    </rPh>
    <rPh sb="21" eb="22">
      <t>ナイ</t>
    </rPh>
    <rPh sb="23" eb="25">
      <t>センタク</t>
    </rPh>
    <rPh sb="32" eb="34">
      <t>イカ</t>
    </rPh>
    <rPh sb="35" eb="36">
      <t>アタイ</t>
    </rPh>
    <rPh sb="37" eb="38">
      <t>ハ</t>
    </rPh>
    <rPh sb="39" eb="40">
      <t>ツ</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</si>
  <si>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</si>
  <si>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</si>
  <si>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Ver.1.1</t>
    <phoneticPr fontId="1"/>
  </si>
  <si>
    <t>・県産JAS製材（含水率20%以下のJAS格付材）を1m3以上使用する場合、１m3につき１万円が交付されます。（上限20万円)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</si>
  <si>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・県産材を10m3以上使用する場合、1m3につき1.5が交付されます。（上限30万円）</t>
    <rPh sb="1" eb="3">
      <t>ケンサン</t>
    </rPh>
    <rPh sb="3" eb="4">
      <t>ザイ</t>
    </rPh>
    <rPh sb="9" eb="11">
      <t>イジョウ</t>
    </rPh>
    <rPh sb="11" eb="13">
      <t>シヨウ</t>
    </rPh>
    <rPh sb="15" eb="17">
      <t>バアイ</t>
    </rPh>
    <rPh sb="28" eb="30">
      <t>コウフ</t>
    </rPh>
    <rPh sb="36" eb="38">
      <t>ジョウゲン</t>
    </rPh>
    <rPh sb="40" eb="42">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</si>
</sst>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s>
  <fonts count="5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
      <color theme="1"/>
      <name val="ＭＳ Ｐゴシック"/>
      <family val="3"/>
      <charset val="128"/>
      <scheme val="minor"/>
    </font>
    <font>
      <sz val="10.5"/>
      <name val="ＭＳ Ｐ明朝"/>
      <family val="1"/>
      <charset val="128"/>
    </font>
    <font>
      <sz val="9"/>
      <name val="ＭＳ Ｐ明朝"/>
      <family val="1"/>
      <charset val="128"/>
    </font>
    <font>
      <sz val="10.5"/>
      <color rgb="FFFF0000"/>
      <name val="ＭＳ Ｐ明朝"/>
      <family val="1"/>
      <charset val="128"/>
    </font>
    <font>
      <sz val="11"/>
      <name val="ＭＳ 明朝"/>
      <family val="1"/>
      <charset val="128"/>
    </font>
    <font>
      <b/>
      <sz val="11"/>
      <color rgb="FFFF0000"/>
      <name val="ＭＳ 明朝"/>
      <family val="1"/>
      <charset val="128"/>
    </font>
    <font>
      <b/>
      <u/>
      <sz val="11"/>
      <color rgb="FFFF0000"/>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22">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8" fillId="0" borderId="0" xfId="0" applyFont="1">
      <alignment vertical="center"/>
    </xf>
    <xf numFmtId="0" fontId="19"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2"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4" fillId="3" borderId="0" xfId="0" applyFont="1" applyFill="1">
      <alignment vertical="center"/>
    </xf>
    <xf numFmtId="0" fontId="25" fillId="3" borderId="0" xfId="0" applyFont="1" applyFill="1">
      <alignment vertical="center"/>
    </xf>
    <xf numFmtId="0" fontId="25" fillId="3" borderId="12" xfId="0" applyFont="1" applyFill="1" applyBorder="1" applyProtection="1">
      <alignment vertical="center"/>
      <protection locked="0"/>
    </xf>
    <xf numFmtId="0" fontId="26" fillId="0" borderId="0" xfId="0" applyFont="1">
      <alignment vertical="center"/>
    </xf>
    <xf numFmtId="0" fontId="22" fillId="0" borderId="0" xfId="0" applyFont="1" applyAlignment="1">
      <alignment vertical="center" wrapText="1"/>
    </xf>
    <xf numFmtId="38" fontId="22" fillId="0" borderId="12" xfId="1" applyFont="1" applyBorder="1" applyProtection="1">
      <alignment vertical="center"/>
      <protection locked="0"/>
    </xf>
    <xf numFmtId="38" fontId="22" fillId="2" borderId="12" xfId="1" applyFont="1" applyFill="1" applyBorder="1">
      <alignment vertical="center"/>
    </xf>
    <xf numFmtId="38" fontId="22" fillId="2" borderId="12" xfId="0" applyNumberFormat="1" applyFont="1" applyFill="1" applyBorder="1">
      <alignment vertical="center"/>
    </xf>
    <xf numFmtId="38" fontId="22" fillId="0" borderId="12" xfId="1" applyFont="1" applyFill="1" applyBorder="1" applyProtection="1">
      <alignment vertical="center"/>
      <protection locked="0"/>
    </xf>
    <xf numFmtId="0" fontId="24"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5"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7" fillId="0" borderId="9" xfId="0" applyFont="1" applyBorder="1">
      <alignment vertical="center"/>
    </xf>
    <xf numFmtId="0" fontId="27"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2" fillId="0" borderId="12" xfId="0" applyFont="1" applyBorder="1" applyAlignment="1">
      <alignment horizontal="center" vertical="center"/>
    </xf>
    <xf numFmtId="0" fontId="22" fillId="0" borderId="12" xfId="0" applyFont="1" applyBorder="1" applyAlignment="1">
      <alignment vertical="center" shrinkToFit="1"/>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5" fillId="3" borderId="0" xfId="0" applyFont="1" applyFill="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5"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6" fontId="29" fillId="0" borderId="0" xfId="0" applyNumberFormat="1" applyFont="1">
      <alignment vertical="center"/>
    </xf>
    <xf numFmtId="185"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6"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0" fontId="34" fillId="0" borderId="13" xfId="0" applyFont="1" applyBorder="1" applyAlignment="1">
      <alignment vertical="top" wrapText="1"/>
    </xf>
    <xf numFmtId="185"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5" fontId="29" fillId="0" borderId="6" xfId="0" applyNumberFormat="1" applyFont="1" applyBorder="1" applyAlignment="1">
      <alignment vertical="top" wrapText="1"/>
    </xf>
    <xf numFmtId="185" fontId="29" fillId="0" borderId="5" xfId="0" applyNumberFormat="1" applyFont="1" applyBorder="1" applyAlignment="1">
      <alignment vertical="top" wrapText="1"/>
    </xf>
    <xf numFmtId="185" fontId="29" fillId="0" borderId="6" xfId="0" applyNumberFormat="1" applyFont="1" applyBorder="1" applyAlignment="1">
      <alignment vertical="top"/>
    </xf>
    <xf numFmtId="186"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5" fontId="29" fillId="0" borderId="5" xfId="0" applyNumberFormat="1" applyFont="1" applyBorder="1" applyAlignment="1">
      <alignment vertical="top"/>
    </xf>
    <xf numFmtId="186" fontId="29" fillId="0" borderId="5" xfId="0" applyNumberFormat="1" applyFont="1" applyBorder="1" applyAlignment="1">
      <alignment vertical="top"/>
    </xf>
    <xf numFmtId="0" fontId="35"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5"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6"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5" fontId="29" fillId="0" borderId="9" xfId="0" applyNumberFormat="1" applyFont="1" applyBorder="1" applyAlignment="1">
      <alignment vertical="top" wrapText="1"/>
    </xf>
    <xf numFmtId="185" fontId="29" fillId="0" borderId="10" xfId="0" applyNumberFormat="1" applyFont="1" applyBorder="1" applyAlignment="1">
      <alignment vertical="top" wrapText="1"/>
    </xf>
    <xf numFmtId="185" fontId="29" fillId="0" borderId="0" xfId="0" applyNumberFormat="1" applyFont="1" applyAlignment="1">
      <alignment horizontal="center" vertical="top" wrapText="1"/>
    </xf>
    <xf numFmtId="185" fontId="29" fillId="0" borderId="8" xfId="0" applyNumberFormat="1" applyFont="1" applyBorder="1" applyAlignment="1">
      <alignment vertical="top"/>
    </xf>
    <xf numFmtId="186"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7" fontId="29" fillId="0" borderId="29" xfId="0" applyNumberFormat="1" applyFont="1" applyBorder="1">
      <alignment vertical="center"/>
    </xf>
    <xf numFmtId="185"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6"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5" fontId="29" fillId="0" borderId="10" xfId="0" applyNumberFormat="1" applyFont="1" applyBorder="1" applyAlignment="1">
      <alignment vertical="top"/>
    </xf>
    <xf numFmtId="186" fontId="29" fillId="0" borderId="10" xfId="0" applyNumberFormat="1" applyFont="1" applyBorder="1" applyAlignment="1"/>
    <xf numFmtId="186" fontId="29" fillId="0" borderId="11" xfId="0" applyNumberFormat="1" applyFont="1" applyBorder="1" applyAlignment="1"/>
    <xf numFmtId="0" fontId="35"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6" fillId="0" borderId="29" xfId="0" applyFont="1" applyBorder="1" applyAlignment="1">
      <alignment vertical="center" wrapText="1"/>
    </xf>
    <xf numFmtId="185"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9"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40"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5" fontId="29" fillId="0" borderId="13" xfId="0" applyNumberFormat="1" applyFont="1" applyBorder="1">
      <alignment vertical="center"/>
    </xf>
    <xf numFmtId="186"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5" fontId="29" fillId="0" borderId="13" xfId="0" applyNumberFormat="1" applyFont="1" applyBorder="1" applyAlignment="1">
      <alignment vertical="center" wrapText="1"/>
    </xf>
    <xf numFmtId="0" fontId="34" fillId="0" borderId="13" xfId="0"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4"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5" fontId="29" fillId="0" borderId="12" xfId="0" applyNumberFormat="1" applyFont="1" applyBorder="1" applyAlignment="1">
      <alignment vertical="center" wrapText="1"/>
    </xf>
    <xf numFmtId="186" fontId="29" fillId="4" borderId="12" xfId="0" applyNumberFormat="1" applyFont="1" applyFill="1" applyBorder="1" applyAlignment="1">
      <alignment vertical="center" wrapText="1"/>
    </xf>
    <xf numFmtId="0" fontId="35"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2"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0" fontId="0" fillId="5" borderId="2" xfId="0"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183" fontId="0" fillId="0" borderId="12" xfId="0" applyNumberFormat="1" applyBorder="1">
      <alignment vertical="center"/>
    </xf>
    <xf numFmtId="0" fontId="29" fillId="13" borderId="0" xfId="0" applyFont="1" applyFill="1">
      <alignment vertical="center"/>
    </xf>
    <xf numFmtId="0" fontId="46" fillId="0" borderId="12" xfId="0" applyFont="1" applyBorder="1">
      <alignment vertical="center"/>
    </xf>
    <xf numFmtId="179" fontId="0" fillId="5" borderId="1" xfId="0" applyNumberFormat="1" applyFill="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5" fontId="29" fillId="13" borderId="0" xfId="0" applyNumberFormat="1" applyFont="1" applyFill="1">
      <alignment vertical="center"/>
    </xf>
    <xf numFmtId="0" fontId="29" fillId="13" borderId="0" xfId="0" applyFont="1" applyFill="1" applyAlignment="1">
      <alignment horizontal="center" vertical="center"/>
    </xf>
    <xf numFmtId="178" fontId="47"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8" fillId="0" borderId="0" xfId="0" applyFont="1" applyProtection="1">
      <alignment vertical="center"/>
      <protection locked="0"/>
    </xf>
    <xf numFmtId="49" fontId="48"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9" xfId="0" applyFont="1" applyBorder="1" applyAlignment="1">
      <alignment vertical="center" shrinkToFit="1"/>
    </xf>
    <xf numFmtId="0" fontId="4" fillId="0" borderId="29" xfId="0" applyFont="1" applyBorder="1" applyAlignment="1">
      <alignment vertical="center" shrinkToFit="1"/>
    </xf>
    <xf numFmtId="1" fontId="4" fillId="0" borderId="0" xfId="0" applyNumberFormat="1" applyFont="1" applyAlignment="1">
      <alignment horizontal="center" vertical="center"/>
    </xf>
    <xf numFmtId="178" fontId="50" fillId="0" borderId="29" xfId="0" applyNumberFormat="1" applyFont="1" applyBorder="1" applyAlignment="1">
      <alignment vertical="center" wrapText="1"/>
    </xf>
    <xf numFmtId="178" fontId="37" fillId="0" borderId="29" xfId="0" applyNumberFormat="1" applyFont="1" applyBorder="1" applyAlignment="1">
      <alignment vertical="center" wrapText="1"/>
    </xf>
    <xf numFmtId="0" fontId="27" fillId="0" borderId="0" xfId="0" applyFont="1">
      <alignment vertical="center"/>
    </xf>
    <xf numFmtId="0" fontId="12" fillId="0" borderId="0" xfId="0" applyFont="1" applyAlignment="1">
      <alignment horizontal="right" vertical="center"/>
    </xf>
    <xf numFmtId="0" fontId="23" fillId="0" borderId="0" xfId="0" applyFont="1">
      <alignment vertical="center"/>
    </xf>
    <xf numFmtId="0" fontId="54" fillId="0" borderId="0" xfId="0" applyFont="1">
      <alignment vertical="center"/>
    </xf>
    <xf numFmtId="0" fontId="22" fillId="0" borderId="30" xfId="0" applyFont="1" applyBorder="1" applyProtection="1">
      <alignment vertical="center"/>
      <protection locked="0"/>
    </xf>
    <xf numFmtId="0" fontId="22" fillId="0" borderId="31" xfId="0" applyFont="1" applyBorder="1" applyProtection="1">
      <alignment vertical="center"/>
      <protection locked="0"/>
    </xf>
    <xf numFmtId="0" fontId="22" fillId="0" borderId="32" xfId="0" applyFont="1" applyBorder="1" applyProtection="1">
      <alignment vertical="center"/>
      <protection locked="0"/>
    </xf>
    <xf numFmtId="49" fontId="12" fillId="0" borderId="0" xfId="0" applyNumberFormat="1" applyFont="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9" fillId="0" borderId="0" xfId="0" applyFont="1" applyAlignment="1">
      <alignment horizontal="left" vertical="center" wrapText="1"/>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81"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79" fontId="4" fillId="0" borderId="5" xfId="0" applyNumberFormat="1" applyFont="1" applyBorder="1" applyAlignment="1" applyProtection="1">
      <alignment horizontal="right" vertical="center"/>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7" fontId="4" fillId="0" borderId="10"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pplyProtection="1">
      <alignment horizontal="left" vertical="center"/>
      <protection locked="0"/>
    </xf>
    <xf numFmtId="177" fontId="4" fillId="0" borderId="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7" fillId="0" borderId="0" xfId="0" applyFont="1" applyAlignment="1">
      <alignment horizontal="left" vertical="center"/>
    </xf>
    <xf numFmtId="0" fontId="4" fillId="0" borderId="0" xfId="0" applyFont="1" applyAlignment="1">
      <alignment horizontal="left" vertical="center" wrapText="1"/>
    </xf>
    <xf numFmtId="183" fontId="4" fillId="2" borderId="1"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2" xfId="0" applyNumberFormat="1" applyFont="1" applyFill="1" applyBorder="1" applyAlignment="1">
      <alignment horizontal="center" vertical="center"/>
    </xf>
    <xf numFmtId="0" fontId="15" fillId="0" borderId="0" xfId="0" applyFont="1" applyAlignment="1">
      <alignment horizontal="left" vertical="top" wrapText="1"/>
    </xf>
    <xf numFmtId="0" fontId="8" fillId="0" borderId="12" xfId="0" applyFont="1" applyBorder="1" applyAlignment="1">
      <alignment horizontal="center" vertical="center" wrapText="1"/>
    </xf>
    <xf numFmtId="180" fontId="4" fillId="2" borderId="12" xfId="0" applyNumberFormat="1" applyFont="1" applyFill="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center"/>
    </xf>
    <xf numFmtId="0" fontId="8" fillId="0" borderId="0" xfId="0" applyFont="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0" xfId="0" applyFont="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shrinkToFit="1"/>
    </xf>
    <xf numFmtId="0" fontId="4" fillId="0" borderId="12" xfId="0" applyFont="1" applyBorder="1" applyAlignment="1" applyProtection="1">
      <alignment horizontal="center" vertical="center" shrinkToFit="1"/>
      <protection locked="0"/>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lignment horizontal="left" vertical="center"/>
    </xf>
    <xf numFmtId="1" fontId="4" fillId="2" borderId="12" xfId="0" applyNumberFormat="1" applyFont="1" applyFill="1" applyBorder="1" applyAlignment="1">
      <alignment horizontal="center" vertical="center"/>
    </xf>
    <xf numFmtId="0" fontId="6"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52" fillId="0" borderId="0" xfId="0" applyFont="1" applyAlignment="1">
      <alignment horizontal="left" vertical="center" wrapText="1"/>
    </xf>
    <xf numFmtId="0" fontId="4" fillId="0" borderId="11" xfId="0" applyFont="1" applyBorder="1" applyAlignment="1">
      <alignment horizontal="center" vertical="center" shrinkToFit="1"/>
    </xf>
    <xf numFmtId="0" fontId="4" fillId="0" borderId="0" xfId="0" applyFont="1" applyAlignment="1">
      <alignment horizontal="left" vertical="top" wrapText="1"/>
    </xf>
    <xf numFmtId="0" fontId="21" fillId="0" borderId="0" xfId="0" applyFont="1" applyAlignment="1">
      <alignment horizontal="center" vertical="center"/>
    </xf>
    <xf numFmtId="0" fontId="23" fillId="0" borderId="10" xfId="0" applyFont="1" applyBorder="1" applyAlignment="1">
      <alignment horizontal="left" vertical="center" wrapText="1"/>
    </xf>
    <xf numFmtId="0" fontId="48"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178" fontId="29" fillId="4" borderId="0" xfId="0" applyNumberFormat="1" applyFont="1" applyFill="1" applyAlignment="1">
      <alignment horizontal="center" vertical="top" wrapText="1"/>
    </xf>
    <xf numFmtId="178" fontId="29" fillId="4" borderId="10" xfId="0" applyNumberFormat="1" applyFont="1" applyFill="1" applyBorder="1" applyAlignment="1">
      <alignment horizontal="center" vertical="top" wrapText="1"/>
    </xf>
    <xf numFmtId="0" fontId="33" fillId="0" borderId="6"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178" fontId="30" fillId="6" borderId="1" xfId="0" applyNumberFormat="1" applyFont="1" applyFill="1" applyBorder="1" applyAlignment="1">
      <alignment horizontal="center" vertical="center"/>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85" fontId="29" fillId="0" borderId="1" xfId="0" applyNumberFormat="1" applyFont="1" applyBorder="1" applyAlignment="1">
      <alignment horizontal="center" vertical="center"/>
    </xf>
    <xf numFmtId="185" fontId="29" fillId="0" borderId="2" xfId="0" applyNumberFormat="1" applyFont="1" applyBorder="1" applyAlignment="1">
      <alignment horizontal="center" vertical="center"/>
    </xf>
    <xf numFmtId="185" fontId="29" fillId="0" borderId="3" xfId="0" applyNumberFormat="1" applyFont="1" applyBorder="1" applyAlignment="1">
      <alignment horizontal="center" vertical="center"/>
    </xf>
  </cellXfs>
  <cellStyles count="2">
    <cellStyle name="桁区切り" xfId="1" builtinId="6"/>
    <cellStyle name="標準" xfId="0" builtinId="0"/>
  </cellStyles>
  <dxfs count="92">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64770</xdr:colOff>
      <xdr:row>0</xdr:row>
      <xdr:rowOff>0</xdr:rowOff>
    </xdr:from>
    <xdr:to>
      <xdr:col>26</xdr:col>
      <xdr:colOff>116205</xdr:colOff>
      <xdr:row>5</xdr:row>
      <xdr:rowOff>100853</xdr:rowOff>
    </xdr:to>
    <xdr:sp macro="" textlink="">
      <xdr:nvSpPr>
        <xdr:cNvPr id="2" name="四角形: 角を丸くする 1">
          <a:extLst>
            <a:ext uri="{FF2B5EF4-FFF2-40B4-BE49-F238E27FC236}">
              <a16:creationId xmlns:a16="http://schemas.microsoft.com/office/drawing/2014/main" id="{6B9414FA-431A-4D98-AF31-A81F04DEE305}"/>
            </a:ext>
          </a:extLst>
        </xdr:cNvPr>
        <xdr:cNvSpPr/>
      </xdr:nvSpPr>
      <xdr:spPr>
        <a:xfrm>
          <a:off x="64770" y="0"/>
          <a:ext cx="5777641" cy="941294"/>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○はじめに、「要入力　交付決定状況入力シート」に入力ください。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H277"/>
  <sheetViews>
    <sheetView showGridLines="0" tabSelected="1" view="pageBreakPreview" topLeftCell="A101" zoomScaleNormal="100" zoomScaleSheetLayoutView="100" workbookViewId="0">
      <selection activeCell="B130" sqref="B130"/>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7" spans="1:60" ht="13.5" customHeight="1" x14ac:dyDescent="0.2">
      <c r="A7" s="1" t="s">
        <v>146</v>
      </c>
      <c r="K7" s="2"/>
      <c r="L7" s="2"/>
      <c r="M7" s="2"/>
      <c r="N7" s="2"/>
      <c r="O7" s="2"/>
      <c r="P7" s="2"/>
      <c r="Q7" s="2"/>
      <c r="R7" s="2"/>
      <c r="Z7" s="49"/>
      <c r="AA7" s="281" t="s">
        <v>465</v>
      </c>
      <c r="AC7" s="4" t="s">
        <v>71</v>
      </c>
      <c r="BG7" s="1" t="s">
        <v>114</v>
      </c>
      <c r="BH7" s="1" t="s">
        <v>132</v>
      </c>
    </row>
    <row r="8" spans="1:60" ht="15.6" customHeight="1" x14ac:dyDescent="0.2">
      <c r="K8" s="2"/>
      <c r="L8" s="2"/>
      <c r="M8" s="2"/>
      <c r="N8" s="2"/>
      <c r="O8" s="2"/>
      <c r="P8" s="2"/>
      <c r="Q8" s="2"/>
      <c r="R8" s="2"/>
      <c r="Y8" s="1" t="s">
        <v>508</v>
      </c>
      <c r="AC8" s="4" t="s">
        <v>167</v>
      </c>
      <c r="BG8" s="1" t="s">
        <v>115</v>
      </c>
      <c r="BH8" s="1" t="s">
        <v>133</v>
      </c>
    </row>
    <row r="9" spans="1:60" ht="20.25" customHeight="1" x14ac:dyDescent="0.2">
      <c r="A9" s="373" t="s">
        <v>421</v>
      </c>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C9" s="4"/>
    </row>
    <row r="10" spans="1:60" ht="16.2" x14ac:dyDescent="0.2">
      <c r="A10" s="373" t="s">
        <v>420</v>
      </c>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C10" s="4" t="s">
        <v>68</v>
      </c>
      <c r="BG10" s="1" t="s">
        <v>116</v>
      </c>
      <c r="BH10" s="1" t="s">
        <v>134</v>
      </c>
    </row>
    <row r="11" spans="1:60" ht="1.5" customHeight="1" x14ac:dyDescent="0.2">
      <c r="AC11" s="4" t="s">
        <v>168</v>
      </c>
      <c r="BG11" s="1" t="s">
        <v>117</v>
      </c>
      <c r="BH11" s="1" t="s">
        <v>133</v>
      </c>
    </row>
    <row r="12" spans="1:60" x14ac:dyDescent="0.2">
      <c r="A12" s="374" t="s">
        <v>422</v>
      </c>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BG12" s="1" t="s">
        <v>118</v>
      </c>
      <c r="BH12" s="1" t="s">
        <v>132</v>
      </c>
    </row>
    <row r="13" spans="1:60" x14ac:dyDescent="0.2">
      <c r="A13" s="374"/>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BG13" s="1" t="s">
        <v>119</v>
      </c>
      <c r="BH13" s="1" t="s">
        <v>132</v>
      </c>
    </row>
    <row r="14" spans="1:60" ht="7.5" customHeight="1" x14ac:dyDescent="0.2">
      <c r="BG14" s="1" t="s">
        <v>120</v>
      </c>
      <c r="BH14" s="1" t="s">
        <v>132</v>
      </c>
    </row>
    <row r="15" spans="1:60" x14ac:dyDescent="0.2">
      <c r="C15" s="104" t="s">
        <v>261</v>
      </c>
      <c r="D15" s="104"/>
      <c r="E15" s="411"/>
      <c r="F15" s="411"/>
      <c r="G15" s="1" t="s">
        <v>8</v>
      </c>
      <c r="H15" s="402"/>
      <c r="I15" s="402"/>
      <c r="J15" s="1" t="s">
        <v>22</v>
      </c>
      <c r="K15" s="402"/>
      <c r="L15" s="402"/>
      <c r="M15" s="1" t="s">
        <v>7</v>
      </c>
      <c r="AB15" s="4" t="str">
        <f>IF(OR(C15="",H15="",K15=""),"←リストから選択してください（和暦年月日）","")</f>
        <v>←リストから選択してください（和暦年月日）</v>
      </c>
      <c r="BG15" s="1" t="s">
        <v>135</v>
      </c>
      <c r="BH15" s="1" t="s">
        <v>132</v>
      </c>
    </row>
    <row r="16" spans="1:60" ht="3" customHeight="1" x14ac:dyDescent="0.2">
      <c r="BG16" s="1" t="s">
        <v>121</v>
      </c>
      <c r="BH16" s="1" t="s">
        <v>134</v>
      </c>
    </row>
    <row r="17" spans="1:60" x14ac:dyDescent="0.2">
      <c r="K17" s="5" t="s">
        <v>21</v>
      </c>
      <c r="L17" s="6" t="s">
        <v>12</v>
      </c>
      <c r="M17" s="7"/>
      <c r="N17" s="6" t="s">
        <v>10</v>
      </c>
      <c r="O17" s="353"/>
      <c r="P17" s="353"/>
      <c r="Q17" s="353"/>
      <c r="R17" s="353"/>
      <c r="S17" s="353"/>
      <c r="T17" s="353"/>
      <c r="U17" s="353"/>
      <c r="V17" s="353"/>
      <c r="W17" s="353"/>
      <c r="X17" s="353"/>
      <c r="Y17" s="353"/>
      <c r="Z17" s="354"/>
      <c r="AB17" s="4" t="str">
        <f>IF(O17="","←直接郵便番号を記入してください","")</f>
        <v>←直接郵便番号を記入してください</v>
      </c>
      <c r="BG17" s="1" t="s">
        <v>122</v>
      </c>
      <c r="BH17" s="1" t="s">
        <v>134</v>
      </c>
    </row>
    <row r="18" spans="1:60" ht="19.5" customHeight="1" x14ac:dyDescent="0.2">
      <c r="L18" s="8"/>
      <c r="M18" s="9"/>
      <c r="N18" s="406"/>
      <c r="O18" s="407"/>
      <c r="P18" s="407"/>
      <c r="Q18" s="407"/>
      <c r="R18" s="407"/>
      <c r="S18" s="407"/>
      <c r="T18" s="407"/>
      <c r="U18" s="407"/>
      <c r="V18" s="407"/>
      <c r="W18" s="407"/>
      <c r="X18" s="407"/>
      <c r="Y18" s="407"/>
      <c r="Z18" s="408"/>
      <c r="AB18" s="4" t="s">
        <v>231</v>
      </c>
      <c r="BG18" s="1" t="s">
        <v>123</v>
      </c>
      <c r="BH18" s="1" t="s">
        <v>134</v>
      </c>
    </row>
    <row r="19" spans="1:60" x14ac:dyDescent="0.2">
      <c r="L19" s="10" t="s">
        <v>6</v>
      </c>
      <c r="M19" s="11"/>
      <c r="N19" s="329" t="str">
        <f>IF('要入力　交付決定状況入力シート'!C26&lt;&gt;0,'要入力　交付決定状況入力シート'!C26,"")</f>
        <v/>
      </c>
      <c r="O19" s="330"/>
      <c r="P19" s="330"/>
      <c r="Q19" s="330"/>
      <c r="R19" s="330"/>
      <c r="S19" s="330"/>
      <c r="T19" s="330"/>
      <c r="U19" s="330"/>
      <c r="V19" s="330"/>
      <c r="W19" s="330"/>
      <c r="X19" s="330"/>
      <c r="Y19" s="330"/>
      <c r="Z19" s="331"/>
      <c r="AB19" s="4" t="str">
        <f>IF(N19="","←直接建築主の氏名を記入してください","")</f>
        <v>←直接建築主の氏名を記入してください</v>
      </c>
      <c r="BG19" s="1" t="s">
        <v>124</v>
      </c>
      <c r="BH19" s="1" t="s">
        <v>134</v>
      </c>
    </row>
    <row r="20" spans="1:60" x14ac:dyDescent="0.2">
      <c r="L20" s="10" t="s">
        <v>9</v>
      </c>
      <c r="M20" s="11"/>
      <c r="N20" s="403" t="str">
        <f>IF('要入力　交付決定状況入力シート'!C27&lt;&gt;0,'要入力　交付決定状況入力シート'!C27,"")</f>
        <v/>
      </c>
      <c r="O20" s="404"/>
      <c r="P20" s="404"/>
      <c r="Q20" s="404"/>
      <c r="R20" s="404"/>
      <c r="S20" s="404"/>
      <c r="T20" s="404"/>
      <c r="U20" s="404"/>
      <c r="V20" s="404"/>
      <c r="W20" s="404"/>
      <c r="X20" s="404"/>
      <c r="Y20" s="404"/>
      <c r="Z20" s="405"/>
      <c r="AB20" s="4" t="str">
        <f>IF(N20="","←直接電話番号を記入してください","")</f>
        <v>←直接電話番号を記入してください</v>
      </c>
      <c r="BG20" s="1" t="s">
        <v>125</v>
      </c>
      <c r="BH20" s="1" t="s">
        <v>133</v>
      </c>
    </row>
    <row r="21" spans="1:60" x14ac:dyDescent="0.2">
      <c r="A21" s="1" t="s">
        <v>42</v>
      </c>
      <c r="BG21" s="1" t="s">
        <v>126</v>
      </c>
      <c r="BH21" s="1" t="s">
        <v>133</v>
      </c>
    </row>
    <row r="22" spans="1:60" x14ac:dyDescent="0.2">
      <c r="A22" s="1" t="s">
        <v>41</v>
      </c>
      <c r="AA22" s="12"/>
      <c r="BG22" s="1" t="s">
        <v>127</v>
      </c>
      <c r="BH22" s="1" t="s">
        <v>133</v>
      </c>
    </row>
    <row r="23" spans="1:60" ht="26.25" customHeight="1" x14ac:dyDescent="0.2">
      <c r="A23" s="374" t="s">
        <v>188</v>
      </c>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BG23" s="1" t="s">
        <v>128</v>
      </c>
      <c r="BH23" s="1" t="s">
        <v>133</v>
      </c>
    </row>
    <row r="24" spans="1:60" ht="3" customHeight="1" x14ac:dyDescent="0.2">
      <c r="AA24" s="12"/>
      <c r="BG24" s="1" t="s">
        <v>129</v>
      </c>
      <c r="BH24" s="1" t="s">
        <v>133</v>
      </c>
    </row>
    <row r="25" spans="1:60" x14ac:dyDescent="0.2">
      <c r="A25" s="1" t="s">
        <v>32</v>
      </c>
      <c r="BG25" s="1" t="s">
        <v>130</v>
      </c>
      <c r="BH25" s="1" t="s">
        <v>133</v>
      </c>
    </row>
    <row r="26" spans="1:60" ht="3.6" customHeight="1" x14ac:dyDescent="0.2">
      <c r="AA26" s="12"/>
      <c r="BG26" s="1" t="s">
        <v>131</v>
      </c>
      <c r="BH26" s="1" t="s">
        <v>133</v>
      </c>
    </row>
    <row r="27" spans="1:60" ht="13.5" customHeight="1" x14ac:dyDescent="0.2">
      <c r="B27" s="62"/>
      <c r="C27" s="374" t="s">
        <v>150</v>
      </c>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row>
    <row r="28" spans="1:60" x14ac:dyDescent="0.2">
      <c r="B28" s="37"/>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row>
    <row r="29" spans="1:60" x14ac:dyDescent="0.2">
      <c r="B29" s="62"/>
      <c r="C29" s="1" t="s">
        <v>139</v>
      </c>
    </row>
    <row r="30" spans="1:60" x14ac:dyDescent="0.2">
      <c r="C30" s="13" t="s">
        <v>80</v>
      </c>
    </row>
    <row r="31" spans="1:60" x14ac:dyDescent="0.2">
      <c r="C31" s="14" t="s">
        <v>79</v>
      </c>
      <c r="D31" s="13"/>
    </row>
    <row r="32" spans="1:60" x14ac:dyDescent="0.2">
      <c r="C32" s="13" t="s">
        <v>81</v>
      </c>
    </row>
    <row r="33" spans="2:59" x14ac:dyDescent="0.2">
      <c r="C33" s="13" t="s">
        <v>78</v>
      </c>
    </row>
    <row r="34" spans="2:59" x14ac:dyDescent="0.2">
      <c r="D34" s="315" t="s">
        <v>1</v>
      </c>
      <c r="E34" s="316"/>
      <c r="F34" s="316"/>
      <c r="G34" s="316"/>
      <c r="H34" s="317"/>
      <c r="I34" s="295" t="s">
        <v>107</v>
      </c>
      <c r="J34" s="296"/>
      <c r="K34" s="296"/>
      <c r="L34" s="297"/>
      <c r="M34" s="288" t="str">
        <f>IF('要入力　交付決定状況入力シート'!C28&lt;&gt;0,'要入力　交付決定状況入力シート'!C28,"")</f>
        <v/>
      </c>
      <c r="N34" s="289"/>
      <c r="O34" s="289"/>
      <c r="P34" s="289"/>
      <c r="Q34" s="289"/>
      <c r="R34" s="289"/>
      <c r="S34" s="289"/>
      <c r="T34" s="289"/>
      <c r="U34" s="289"/>
      <c r="V34" s="289"/>
      <c r="W34" s="289"/>
      <c r="X34" s="290"/>
      <c r="AB34" s="4" t="str">
        <f>IF(M34="","←リストから選択してください（市町村名）","")</f>
        <v>←リストから選択してください（市町村名）</v>
      </c>
      <c r="BG34" s="1" t="str">
        <f>IF(M34="","",VLOOKUP(M34,BG7:BH26,2,FALSE))</f>
        <v/>
      </c>
    </row>
    <row r="35" spans="2:59" x14ac:dyDescent="0.2">
      <c r="D35" s="347"/>
      <c r="E35" s="348"/>
      <c r="F35" s="348"/>
      <c r="G35" s="348"/>
      <c r="H35" s="349"/>
      <c r="I35" s="382" t="str">
        <f>IF('要入力　交付決定状況入力シート'!C29&lt;&gt;0,'要入力　交付決定状況入力シート'!C29,"")</f>
        <v/>
      </c>
      <c r="J35" s="383"/>
      <c r="K35" s="383"/>
      <c r="L35" s="383"/>
      <c r="M35" s="383"/>
      <c r="N35" s="383"/>
      <c r="O35" s="383"/>
      <c r="P35" s="383"/>
      <c r="Q35" s="383"/>
      <c r="R35" s="383"/>
      <c r="S35" s="383"/>
      <c r="T35" s="383"/>
      <c r="U35" s="383"/>
      <c r="V35" s="383"/>
      <c r="W35" s="383"/>
      <c r="X35" s="384"/>
      <c r="AB35" s="4" t="str">
        <f>IF(I35="","←市町村名より後の所在地を直接記入してください","")</f>
        <v>←市町村名より後の所在地を直接記入してください</v>
      </c>
    </row>
    <row r="36" spans="2:59" x14ac:dyDescent="0.2">
      <c r="D36" s="295" t="s">
        <v>426</v>
      </c>
      <c r="E36" s="296"/>
      <c r="F36" s="296"/>
      <c r="G36" s="296"/>
      <c r="H36" s="297"/>
      <c r="I36" s="329" t="str">
        <f>IF('要入力　交付決定状況入力シート'!C30&lt;&gt;0,'要入力　交付決定状況入力シート'!C30,"")</f>
        <v/>
      </c>
      <c r="J36" s="330"/>
      <c r="K36" s="330"/>
      <c r="L36" s="330"/>
      <c r="M36" s="330"/>
      <c r="N36" s="330"/>
      <c r="O36" s="330"/>
      <c r="P36" s="330"/>
      <c r="Q36" s="330"/>
      <c r="R36" s="330"/>
      <c r="S36" s="330"/>
      <c r="T36" s="330"/>
      <c r="U36" s="330"/>
      <c r="V36" s="330"/>
      <c r="W36" s="330"/>
      <c r="X36" s="331"/>
      <c r="AB36" s="4" t="str">
        <f>IF(I36="","←住居表示がある場合のみ入力してください","")</f>
        <v>←住居表示がある場合のみ入力してください</v>
      </c>
    </row>
    <row r="37" spans="2:59" x14ac:dyDescent="0.2">
      <c r="D37" s="315" t="s">
        <v>24</v>
      </c>
      <c r="E37" s="316"/>
      <c r="F37" s="316"/>
      <c r="G37" s="316"/>
      <c r="H37" s="317"/>
      <c r="I37" s="288" t="str">
        <f>IF('要入力　交付決定状況入力シート'!C31&lt;&gt;0,'要入力　交付決定状況入力シート'!C31,"")</f>
        <v/>
      </c>
      <c r="J37" s="289"/>
      <c r="K37" s="289"/>
      <c r="L37" s="289"/>
      <c r="M37" s="289"/>
      <c r="N37" s="289"/>
      <c r="O37" s="295" t="s">
        <v>111</v>
      </c>
      <c r="P37" s="296"/>
      <c r="Q37" s="296"/>
      <c r="R37" s="297"/>
      <c r="S37" s="409" t="str">
        <f>IF('要入力　交付決定状況入力シート'!C32&lt;&gt;0,'要入力　交付決定状況入力シート'!C32,"")</f>
        <v/>
      </c>
      <c r="T37" s="410"/>
      <c r="U37" s="410"/>
      <c r="V37" s="410"/>
      <c r="W37" s="296" t="s">
        <v>83</v>
      </c>
      <c r="X37" s="297"/>
      <c r="AB37" s="4" t="str">
        <f>IF(I37="","←リストから選択してください（専用住宅・併用住宅）","")</f>
        <v>←リストから選択してください（専用住宅・併用住宅）</v>
      </c>
    </row>
    <row r="38" spans="2:59" x14ac:dyDescent="0.2">
      <c r="D38" s="315" t="s">
        <v>143</v>
      </c>
      <c r="E38" s="316"/>
      <c r="F38" s="316"/>
      <c r="G38" s="316"/>
      <c r="H38" s="317"/>
      <c r="I38" s="313" t="str">
        <f>IF('要入力　交付決定状況入力シート'!C33&lt;&gt;0,'要入力　交付決定状況入力シート'!C33,"")</f>
        <v/>
      </c>
      <c r="J38" s="313"/>
      <c r="K38" s="313"/>
      <c r="L38" s="324" t="s">
        <v>147</v>
      </c>
      <c r="M38" s="341" t="s">
        <v>72</v>
      </c>
      <c r="N38" s="342"/>
      <c r="O38" s="342"/>
      <c r="P38" s="342"/>
      <c r="Q38" s="343"/>
      <c r="R38" s="338" t="s">
        <v>73</v>
      </c>
      <c r="S38" s="338"/>
      <c r="T38" s="338"/>
      <c r="U38" s="338"/>
      <c r="V38" s="336" t="str">
        <f>IF('要入力　交付決定状況入力シート'!C34&lt;&gt;0,'要入力　交付決定状況入力シート'!C34,"")</f>
        <v/>
      </c>
      <c r="W38" s="336"/>
      <c r="X38" s="15" t="s">
        <v>147</v>
      </c>
      <c r="AB38" s="16" t="str">
        <f>IF(I38="","←延床面積を入力してください。",IF(AND(I37="併用住宅",V38=""),"←面積を入力してください。",""))</f>
        <v>←延床面積を入力してください。</v>
      </c>
    </row>
    <row r="39" spans="2:59" x14ac:dyDescent="0.2">
      <c r="D39" s="347"/>
      <c r="E39" s="348"/>
      <c r="F39" s="348"/>
      <c r="G39" s="348"/>
      <c r="H39" s="349"/>
      <c r="I39" s="314"/>
      <c r="J39" s="314"/>
      <c r="K39" s="314"/>
      <c r="L39" s="325"/>
      <c r="M39" s="344"/>
      <c r="N39" s="345"/>
      <c r="O39" s="345"/>
      <c r="P39" s="345"/>
      <c r="Q39" s="346"/>
      <c r="R39" s="339" t="s">
        <v>74</v>
      </c>
      <c r="S39" s="339"/>
      <c r="T39" s="339"/>
      <c r="U39" s="339"/>
      <c r="V39" s="337" t="str">
        <f>IF('要入力　交付決定状況入力シート'!C35&lt;&gt;0,'要入力　交付決定状況入力シート'!C35,"")</f>
        <v/>
      </c>
      <c r="W39" s="337"/>
      <c r="X39" s="18" t="s">
        <v>147</v>
      </c>
      <c r="AB39" s="16" t="str">
        <f>IF(AND(I37="併用住宅",V39=""),"←面積を入力してください。","")</f>
        <v/>
      </c>
    </row>
    <row r="40" spans="2:59" x14ac:dyDescent="0.2">
      <c r="D40" s="315" t="s">
        <v>30</v>
      </c>
      <c r="E40" s="316"/>
      <c r="F40" s="316"/>
      <c r="G40" s="316"/>
      <c r="H40" s="317"/>
      <c r="I40" s="326" t="str">
        <f>IF('要入力　交付決定状況入力シート'!C36&lt;&gt;0,'要入力　交付決定状況入力シート'!C36,"")</f>
        <v/>
      </c>
      <c r="J40" s="327"/>
      <c r="K40" s="327"/>
      <c r="L40" s="327"/>
      <c r="M40" s="327"/>
      <c r="N40" s="327"/>
      <c r="O40" s="19" t="s">
        <v>29</v>
      </c>
      <c r="P40" s="19"/>
      <c r="Q40" s="19"/>
      <c r="R40" s="40"/>
      <c r="S40" s="328" t="s">
        <v>112</v>
      </c>
      <c r="T40" s="328"/>
      <c r="U40" s="328"/>
      <c r="V40" s="340" t="str">
        <f>IF('要入力　交付決定状況入力シート'!C37&lt;&gt;0,'要入力　交付決定状況入力シート'!C37,"")</f>
        <v/>
      </c>
      <c r="W40" s="340"/>
      <c r="X40" s="20" t="s">
        <v>113</v>
      </c>
      <c r="AB40" s="4" t="str">
        <f>IF(I40="","←直接記入してください",IF(V40="","←階数を選択してください。",""))</f>
        <v>←直接記入してください</v>
      </c>
    </row>
    <row r="41" spans="2:59" x14ac:dyDescent="0.2">
      <c r="D41" s="8"/>
      <c r="E41" s="17"/>
      <c r="F41" s="17"/>
      <c r="G41" s="17"/>
      <c r="H41" s="9"/>
      <c r="I41" s="333" t="s">
        <v>82</v>
      </c>
      <c r="J41" s="334"/>
      <c r="K41" s="334"/>
      <c r="L41" s="63" t="str">
        <f>IF('要入力　交付決定状況入力シート'!C38&lt;&gt;0,'要入力　交付決定状況入力シート'!C38,"")</f>
        <v/>
      </c>
      <c r="M41" s="17" t="s">
        <v>25</v>
      </c>
      <c r="N41" s="17"/>
      <c r="O41" s="21" t="s">
        <v>27</v>
      </c>
      <c r="P41" s="17"/>
      <c r="Q41" s="63" t="str">
        <f>IF('要入力　交付決定状況入力シート'!C39&lt;&gt;0,'要入力　交付決定状況入力シート'!C39,"")</f>
        <v/>
      </c>
      <c r="R41" s="17" t="s">
        <v>25</v>
      </c>
      <c r="S41" s="17"/>
      <c r="T41" s="21" t="s">
        <v>28</v>
      </c>
      <c r="U41" s="17"/>
      <c r="V41" s="63" t="str">
        <f>IF('要入力　交付決定状況入力シート'!C40&lt;&gt;0,'要入力　交付決定状況入力シート'!C40,"")</f>
        <v/>
      </c>
      <c r="W41" s="17" t="s">
        <v>56</v>
      </c>
      <c r="X41" s="9"/>
      <c r="AB41" s="4" t="str">
        <f>IF(OR(L41="",Q41="",V41=""),"←直接記入してください","")</f>
        <v>←直接記入してください</v>
      </c>
    </row>
    <row r="42" spans="2:59" x14ac:dyDescent="0.2">
      <c r="D42" s="318" t="s">
        <v>26</v>
      </c>
      <c r="E42" s="318"/>
      <c r="F42" s="318"/>
      <c r="G42" s="318"/>
      <c r="H42" s="318"/>
      <c r="I42" s="335" t="str">
        <f>IF('要入力　交付決定状況入力シート'!C41&lt;&gt;0,'要入力　交付決定状況入力シート'!C41,"")</f>
        <v/>
      </c>
      <c r="J42" s="335"/>
      <c r="K42" s="335"/>
      <c r="L42" s="335"/>
      <c r="M42" s="335"/>
      <c r="N42" s="335"/>
      <c r="O42" s="335"/>
      <c r="P42" s="335"/>
      <c r="Q42" s="335"/>
      <c r="R42" s="335"/>
      <c r="S42" s="335"/>
      <c r="T42" s="335"/>
      <c r="U42" s="335"/>
      <c r="V42" s="335"/>
      <c r="W42" s="335"/>
      <c r="X42" s="335"/>
      <c r="AB42" s="4" t="str">
        <f>IF(I42="","←リストから選択してください（在来軸組工法、伝統構法、その他）","")</f>
        <v>←リストから選択してください（在来軸組工法、伝統構法、その他）</v>
      </c>
    </row>
    <row r="43" spans="2:59" x14ac:dyDescent="0.2">
      <c r="D43" s="315" t="s">
        <v>2</v>
      </c>
      <c r="E43" s="316"/>
      <c r="F43" s="316"/>
      <c r="G43" s="316"/>
      <c r="H43" s="317"/>
      <c r="I43" s="355" t="s">
        <v>144</v>
      </c>
      <c r="J43" s="356"/>
      <c r="K43" s="356"/>
      <c r="L43" s="356"/>
      <c r="M43" s="356"/>
      <c r="N43" s="332" t="str">
        <f>IF('要入力　交付決定状況入力シート'!C42&lt;&gt;0,'要入力　交付決定状況入力シート'!C42,"")</f>
        <v/>
      </c>
      <c r="O43" s="332"/>
      <c r="P43" s="332"/>
      <c r="Q43" s="332"/>
      <c r="R43" s="39" t="s">
        <v>8</v>
      </c>
      <c r="S43" s="358" t="str">
        <f>IF('要入力　交付決定状況入力シート'!C43&lt;&gt;0,'要入力　交付決定状況入力シート'!C43,"")</f>
        <v/>
      </c>
      <c r="T43" s="358"/>
      <c r="U43" s="39" t="s">
        <v>22</v>
      </c>
      <c r="V43" s="358" t="str">
        <f>IF('要入力　交付決定状況入力シート'!C44&lt;&gt;0,'要入力　交付決定状況入力シート'!C44,"")</f>
        <v/>
      </c>
      <c r="W43" s="358"/>
      <c r="X43" s="7" t="s">
        <v>7</v>
      </c>
      <c r="AB43" s="4" t="str">
        <f>IF(OR(N43="",S43="",V43=""),"←リストから選択してください（和暦年月日）","")</f>
        <v>←リストから選択してください（和暦年月日）</v>
      </c>
    </row>
    <row r="44" spans="2:59" x14ac:dyDescent="0.2">
      <c r="D44" s="347"/>
      <c r="E44" s="348"/>
      <c r="F44" s="348"/>
      <c r="G44" s="348"/>
      <c r="H44" s="349"/>
      <c r="I44" s="360" t="s">
        <v>145</v>
      </c>
      <c r="J44" s="361"/>
      <c r="K44" s="361"/>
      <c r="L44" s="361"/>
      <c r="M44" s="361"/>
      <c r="N44" s="359" t="str">
        <f>IF('要入力　交付決定状況入力シート'!C45&lt;&gt;0,'要入力　交付決定状況入力シート'!C45,"")</f>
        <v/>
      </c>
      <c r="O44" s="359"/>
      <c r="P44" s="359"/>
      <c r="Q44" s="359"/>
      <c r="R44" s="17" t="s">
        <v>8</v>
      </c>
      <c r="S44" s="350" t="str">
        <f>IF('要入力　交付決定状況入力シート'!C46&lt;&gt;0,'要入力　交付決定状況入力シート'!C46,"")</f>
        <v/>
      </c>
      <c r="T44" s="350"/>
      <c r="U44" s="17" t="s">
        <v>22</v>
      </c>
      <c r="V44" s="350" t="str">
        <f>IF('要入力　交付決定状況入力シート'!C47&lt;&gt;0,'要入力　交付決定状況入力シート'!C47,"")</f>
        <v/>
      </c>
      <c r="W44" s="350"/>
      <c r="X44" s="9" t="s">
        <v>7</v>
      </c>
      <c r="AB44" s="4" t="str">
        <f>IF(OR(N44="",S44="",V44=""),"←リストから選択してください（和暦年月日）","")</f>
        <v>←リストから選択してください（和暦年月日）</v>
      </c>
    </row>
    <row r="45" spans="2:59" ht="1.5" customHeight="1" x14ac:dyDescent="0.2">
      <c r="D45" s="351" t="str">
        <f>IF(I42="その他","（工法名）","")</f>
        <v/>
      </c>
      <c r="E45" s="351"/>
      <c r="F45" s="351"/>
      <c r="G45" s="351"/>
      <c r="H45" s="351"/>
      <c r="I45" s="357"/>
      <c r="J45" s="357"/>
      <c r="K45" s="357"/>
      <c r="L45" s="357"/>
      <c r="M45" s="357"/>
      <c r="N45" s="357"/>
      <c r="O45" s="357"/>
      <c r="P45" s="357"/>
      <c r="Q45" s="357"/>
      <c r="R45" s="357"/>
      <c r="S45" s="357"/>
      <c r="T45" s="357"/>
      <c r="U45" s="357"/>
      <c r="V45" s="357"/>
      <c r="W45" s="357"/>
      <c r="X45" s="357"/>
      <c r="Y45" s="22" t="str">
        <f>IF(AND($I$42="その他",I45=""),"←工法を直接入力してください","")</f>
        <v/>
      </c>
    </row>
    <row r="46" spans="2:59" x14ac:dyDescent="0.2">
      <c r="B46" s="62"/>
      <c r="C46" s="1" t="s">
        <v>138</v>
      </c>
    </row>
    <row r="47" spans="2:59" x14ac:dyDescent="0.2">
      <c r="D47" s="295" t="s">
        <v>3</v>
      </c>
      <c r="E47" s="296"/>
      <c r="F47" s="296"/>
      <c r="G47" s="296"/>
      <c r="H47" s="297"/>
      <c r="I47" s="352" t="str">
        <f>IF('要入力　交付決定状況入力シート'!C48&lt;&gt;0,'要入力　交付決定状況入力シート'!C48,"")</f>
        <v/>
      </c>
      <c r="J47" s="353"/>
      <c r="K47" s="353"/>
      <c r="L47" s="353"/>
      <c r="M47" s="353"/>
      <c r="N47" s="353"/>
      <c r="O47" s="353"/>
      <c r="P47" s="353"/>
      <c r="Q47" s="353"/>
      <c r="R47" s="353"/>
      <c r="S47" s="353"/>
      <c r="T47" s="353"/>
      <c r="U47" s="353"/>
      <c r="V47" s="353"/>
      <c r="W47" s="353"/>
      <c r="X47" s="354"/>
      <c r="AB47" s="4" t="str">
        <f>IF(I47="","←直接記入してください","")</f>
        <v>←直接記入してください</v>
      </c>
    </row>
    <row r="48" spans="2:59" x14ac:dyDescent="0.2">
      <c r="D48" s="295" t="s">
        <v>4</v>
      </c>
      <c r="E48" s="296"/>
      <c r="F48" s="296"/>
      <c r="G48" s="296"/>
      <c r="H48" s="297"/>
      <c r="I48" s="329" t="str">
        <f>IF('要入力　交付決定状況入力シート'!C49&lt;&gt;0,'要入力　交付決定状況入力シート'!C49,"")</f>
        <v/>
      </c>
      <c r="J48" s="330"/>
      <c r="K48" s="330"/>
      <c r="L48" s="330"/>
      <c r="M48" s="330"/>
      <c r="N48" s="330"/>
      <c r="O48" s="330"/>
      <c r="P48" s="330"/>
      <c r="Q48" s="330"/>
      <c r="R48" s="330"/>
      <c r="S48" s="330"/>
      <c r="T48" s="330"/>
      <c r="U48" s="330"/>
      <c r="V48" s="330"/>
      <c r="W48" s="330"/>
      <c r="X48" s="331"/>
      <c r="AB48" s="4" t="str">
        <f>IF(I48="","←直接記入してください","")</f>
        <v>←直接記入してください</v>
      </c>
    </row>
    <row r="49" spans="2:28" x14ac:dyDescent="0.2">
      <c r="D49" s="295" t="s">
        <v>23</v>
      </c>
      <c r="E49" s="296"/>
      <c r="F49" s="296"/>
      <c r="G49" s="296"/>
      <c r="H49" s="297"/>
      <c r="I49" s="292" t="str">
        <f>IF('要入力　交付決定状況入力シート'!C50&lt;&gt;0,'要入力　交付決定状況入力シート'!C50,"")</f>
        <v/>
      </c>
      <c r="J49" s="293"/>
      <c r="K49" s="293"/>
      <c r="L49" s="293"/>
      <c r="M49" s="293"/>
      <c r="N49" s="293"/>
      <c r="O49" s="293"/>
      <c r="P49" s="293"/>
      <c r="Q49" s="293"/>
      <c r="R49" s="293"/>
      <c r="S49" s="293"/>
      <c r="T49" s="293"/>
      <c r="U49" s="293"/>
      <c r="V49" s="293"/>
      <c r="W49" s="293"/>
      <c r="X49" s="294"/>
      <c r="AB49" s="4" t="str">
        <f>IF(I49="","←直接記入してください(0857-00-000等）","")</f>
        <v>←直接記入してください(0857-00-000等）</v>
      </c>
    </row>
    <row r="50" spans="2:28" ht="4.5" customHeight="1" x14ac:dyDescent="0.2"/>
    <row r="51" spans="2:28" x14ac:dyDescent="0.2">
      <c r="B51" s="62"/>
      <c r="C51" s="1" t="s">
        <v>137</v>
      </c>
    </row>
    <row r="52" spans="2:28" x14ac:dyDescent="0.2">
      <c r="D52" s="295" t="s">
        <v>31</v>
      </c>
      <c r="E52" s="296"/>
      <c r="F52" s="296"/>
      <c r="G52" s="296"/>
      <c r="H52" s="297"/>
      <c r="I52" s="288" t="str">
        <f>IF('要入力　交付決定状況入力シート'!C51&lt;&gt;0,'要入力　交付決定状況入力シート'!C51,"")</f>
        <v/>
      </c>
      <c r="J52" s="289"/>
      <c r="K52" s="289"/>
      <c r="L52" s="289"/>
      <c r="M52" s="289"/>
      <c r="N52" s="290"/>
      <c r="Y52" s="22"/>
      <c r="AB52" s="4" t="str">
        <f>IF(I52="","←リストから選択してください（要・不要）","")</f>
        <v>←リストから選択してください（要・不要）</v>
      </c>
    </row>
    <row r="53" spans="2:28" x14ac:dyDescent="0.2">
      <c r="D53" s="377" t="s">
        <v>246</v>
      </c>
      <c r="E53" s="378"/>
      <c r="F53" s="378"/>
      <c r="G53" s="378"/>
      <c r="H53" s="378"/>
      <c r="I53" s="378"/>
      <c r="J53" s="378"/>
      <c r="K53" s="378"/>
      <c r="L53" s="378"/>
      <c r="M53" s="378"/>
      <c r="N53" s="379"/>
      <c r="O53" s="380" t="str">
        <f>IF('要入力　交付決定状況入力シート'!C52&lt;&gt;0,'要入力　交付決定状況入力シート'!C52,"")</f>
        <v/>
      </c>
      <c r="P53" s="380"/>
      <c r="Q53" s="380"/>
      <c r="R53" s="95" t="s">
        <v>8</v>
      </c>
      <c r="S53" s="381" t="str">
        <f>IF('要入力　交付決定状況入力シート'!C53&lt;&gt;0,'要入力　交付決定状況入力シート'!C53,"")</f>
        <v/>
      </c>
      <c r="T53" s="381"/>
      <c r="U53" s="95" t="s">
        <v>22</v>
      </c>
      <c r="V53" s="381" t="str">
        <f>IF('要入力　交付決定状況入力シート'!C54&lt;&gt;0,'要入力　交付決定状況入力シート'!C54,"")</f>
        <v/>
      </c>
      <c r="W53" s="381"/>
      <c r="X53" s="11" t="s">
        <v>7</v>
      </c>
      <c r="Y53" s="22"/>
      <c r="AB53" s="4" t="str">
        <f>IF(OR(O53="",S53="",V53=""),"←リストから選択してください（和暦年月日）","")</f>
        <v>←リストから選択してください（和暦年月日）</v>
      </c>
    </row>
    <row r="54" spans="2:28" x14ac:dyDescent="0.2">
      <c r="E54" s="41" t="str">
        <f>IF(I52="要","＜実績報告時の提出書類＞検査済証の写し",IF(I52="不要","＜実績報告時の提出書類＞建築工事届の写し",""))</f>
        <v/>
      </c>
    </row>
    <row r="55" spans="2:28" x14ac:dyDescent="0.2">
      <c r="B55" s="62"/>
      <c r="C55" s="1" t="s">
        <v>136</v>
      </c>
    </row>
    <row r="56" spans="2:28" ht="4.3499999999999996" customHeight="1" x14ac:dyDescent="0.2"/>
    <row r="57" spans="2:28" x14ac:dyDescent="0.2">
      <c r="B57" s="62"/>
      <c r="C57" s="1" t="s">
        <v>247</v>
      </c>
      <c r="R57" s="1" t="s">
        <v>259</v>
      </c>
      <c r="U57" s="288"/>
      <c r="V57" s="289"/>
      <c r="W57" s="289"/>
      <c r="X57" s="289"/>
      <c r="Y57" s="289"/>
      <c r="Z57" s="290"/>
      <c r="AB57" s="4" t="str">
        <f>IF(U57="","←NE-STの場合には性能区分を選択してください","")</f>
        <v>←NE-STの場合には性能区分を選択してください</v>
      </c>
    </row>
    <row r="58" spans="2:28" ht="4.3499999999999996" customHeight="1" x14ac:dyDescent="0.2"/>
    <row r="59" spans="2:28" x14ac:dyDescent="0.2">
      <c r="B59" s="62"/>
      <c r="C59" s="1" t="s">
        <v>254</v>
      </c>
      <c r="R59" s="1" t="s">
        <v>255</v>
      </c>
      <c r="U59" s="288"/>
      <c r="V59" s="289"/>
      <c r="W59" s="289"/>
      <c r="X59" s="289"/>
      <c r="Y59" s="289"/>
      <c r="Z59" s="290"/>
      <c r="AB59" s="4" t="str">
        <f>IF(U59="","←再生可能エネルギー発電設備を設置する場合には設備を選択してください","")</f>
        <v>←再生可能エネルギー発電設備を設置する場合には設備を選択してください</v>
      </c>
    </row>
    <row r="60" spans="2:28" ht="16.350000000000001" hidden="1" customHeight="1" x14ac:dyDescent="0.2">
      <c r="AB60" s="4"/>
    </row>
    <row r="61" spans="2:28" ht="4.3499999999999996" customHeight="1" x14ac:dyDescent="0.2">
      <c r="AB61" s="4"/>
    </row>
    <row r="62" spans="2:28" x14ac:dyDescent="0.2">
      <c r="B62" s="62"/>
      <c r="C62" s="1" t="s">
        <v>256</v>
      </c>
      <c r="R62" s="1" t="s">
        <v>49</v>
      </c>
      <c r="U62" s="288"/>
      <c r="V62" s="289"/>
      <c r="W62" s="289"/>
      <c r="X62" s="289"/>
      <c r="Y62" s="289"/>
      <c r="Z62" s="290"/>
      <c r="AB62" s="4" t="str">
        <f>IF(U62="","←ZEHの認証を取得（予定）の場合には区分を選択してください","")</f>
        <v>←ZEHの認証を取得（予定）の場合には区分を選択してください</v>
      </c>
    </row>
    <row r="63" spans="2:28" ht="10.5" hidden="1" customHeight="1" x14ac:dyDescent="0.2">
      <c r="AB63" s="4"/>
    </row>
    <row r="64" spans="2:28" ht="5.85" customHeight="1" x14ac:dyDescent="0.2">
      <c r="AB64" s="4"/>
    </row>
    <row r="65" spans="2:28" x14ac:dyDescent="0.2">
      <c r="B65" s="62"/>
      <c r="C65" s="1" t="s">
        <v>257</v>
      </c>
      <c r="U65" s="76"/>
      <c r="V65" s="76"/>
      <c r="W65" s="76"/>
      <c r="X65" s="76"/>
      <c r="Y65" s="76"/>
      <c r="Z65" s="76"/>
      <c r="AB65" s="3" t="s">
        <v>445</v>
      </c>
    </row>
    <row r="66" spans="2:28" ht="12" customHeight="1" x14ac:dyDescent="0.2">
      <c r="C66" s="1" t="s">
        <v>409</v>
      </c>
      <c r="D66" s="13" t="s">
        <v>258</v>
      </c>
    </row>
    <row r="67" spans="2:28" ht="5.85" customHeight="1" x14ac:dyDescent="0.2"/>
    <row r="68" spans="2:28" x14ac:dyDescent="0.2">
      <c r="B68" s="62"/>
      <c r="C68" s="1" t="s">
        <v>411</v>
      </c>
    </row>
    <row r="69" spans="2:28" ht="4.3499999999999996" customHeight="1" x14ac:dyDescent="0.2"/>
    <row r="70" spans="2:28" ht="14.25" customHeight="1" x14ac:dyDescent="0.2">
      <c r="B70" s="92" t="s">
        <v>462</v>
      </c>
      <c r="C70" s="22"/>
      <c r="D70" s="98"/>
      <c r="E70" s="98"/>
      <c r="F70" s="98"/>
      <c r="G70" s="98"/>
      <c r="H70" s="98"/>
      <c r="I70" s="25"/>
      <c r="J70" s="25"/>
      <c r="K70" s="25"/>
      <c r="L70" s="25"/>
      <c r="M70" s="25"/>
      <c r="N70" s="25"/>
      <c r="O70" s="25"/>
      <c r="P70" s="25"/>
      <c r="Q70" s="25"/>
      <c r="R70" s="25"/>
      <c r="S70" s="25"/>
      <c r="T70" s="25"/>
      <c r="U70" s="25"/>
      <c r="V70" s="25"/>
      <c r="W70" s="25"/>
      <c r="X70" s="25"/>
      <c r="Y70" s="22"/>
    </row>
    <row r="71" spans="2:28" ht="13.5" customHeight="1" x14ac:dyDescent="0.2">
      <c r="D71" s="304" t="s">
        <v>260</v>
      </c>
      <c r="E71" s="305"/>
      <c r="F71" s="305"/>
      <c r="G71" s="305"/>
      <c r="H71" s="305"/>
      <c r="I71" s="305"/>
      <c r="J71" s="305"/>
      <c r="K71" s="305"/>
      <c r="L71" s="305"/>
      <c r="M71" s="305"/>
      <c r="N71" s="305"/>
      <c r="O71" s="306"/>
      <c r="P71" s="295" t="s">
        <v>5</v>
      </c>
      <c r="Q71" s="296"/>
      <c r="R71" s="296"/>
      <c r="S71" s="296"/>
      <c r="T71" s="297"/>
      <c r="U71" s="295" t="s">
        <v>19</v>
      </c>
      <c r="V71" s="296"/>
      <c r="W71" s="296"/>
      <c r="X71" s="296"/>
      <c r="Y71" s="296"/>
      <c r="Z71" s="297"/>
    </row>
    <row r="72" spans="2:28" x14ac:dyDescent="0.2">
      <c r="D72" s="307" t="str">
        <f>IF('要入力　交付決定状況入力シート'!C55&lt;&gt;0,'要入力　交付決定状況入力シート'!C55,"")</f>
        <v/>
      </c>
      <c r="E72" s="308"/>
      <c r="F72" s="308"/>
      <c r="G72" s="308"/>
      <c r="H72" s="308"/>
      <c r="I72" s="308"/>
      <c r="J72" s="308"/>
      <c r="K72" s="308"/>
      <c r="L72" s="308"/>
      <c r="M72" s="308"/>
      <c r="N72" s="308"/>
      <c r="O72" s="309"/>
      <c r="P72" s="288" t="str">
        <f>IF('要入力　交付決定状況入力シート'!C56&lt;&gt;0,'要入力　交付決定状況入力シート'!C56,"")</f>
        <v/>
      </c>
      <c r="Q72" s="289"/>
      <c r="R72" s="289"/>
      <c r="S72" s="289"/>
      <c r="T72" s="290"/>
      <c r="U72" s="288" t="str">
        <f>IF('要入力　交付決定状況入力シート'!C57&lt;&gt;0,'要入力　交付決定状況入力シート'!C57,"")</f>
        <v/>
      </c>
      <c r="V72" s="289"/>
      <c r="W72" s="289"/>
      <c r="X72" s="289"/>
      <c r="Y72" s="289"/>
      <c r="Z72" s="290"/>
    </row>
    <row r="73" spans="2:28" x14ac:dyDescent="0.2">
      <c r="D73" s="307" t="str">
        <f>IF('要入力　交付決定状況入力シート'!C58&lt;&gt;0,'要入力　交付決定状況入力シート'!C58,"")</f>
        <v/>
      </c>
      <c r="E73" s="308"/>
      <c r="F73" s="308"/>
      <c r="G73" s="308"/>
      <c r="H73" s="308"/>
      <c r="I73" s="308"/>
      <c r="J73" s="308"/>
      <c r="K73" s="308"/>
      <c r="L73" s="308"/>
      <c r="M73" s="308"/>
      <c r="N73" s="308"/>
      <c r="O73" s="309"/>
      <c r="P73" s="288" t="str">
        <f>IF('要入力　交付決定状況入力シート'!C59&lt;&gt;0,'要入力　交付決定状況入力シート'!C59,"")</f>
        <v/>
      </c>
      <c r="Q73" s="289"/>
      <c r="R73" s="289"/>
      <c r="S73" s="289"/>
      <c r="T73" s="290"/>
      <c r="U73" s="288" t="str">
        <f>IF('要入力　交付決定状況入力シート'!C60&lt;&gt;0,'要入力　交付決定状況入力シート'!C60,"")</f>
        <v/>
      </c>
      <c r="V73" s="289"/>
      <c r="W73" s="289"/>
      <c r="X73" s="289"/>
      <c r="Y73" s="289"/>
      <c r="Z73" s="290"/>
    </row>
    <row r="74" spans="2:28" x14ac:dyDescent="0.2">
      <c r="D74" s="307" t="str">
        <f>IF('要入力　交付決定状況入力シート'!C61&lt;&gt;0,'要入力　交付決定状況入力シート'!C61,"")</f>
        <v/>
      </c>
      <c r="E74" s="308"/>
      <c r="F74" s="308"/>
      <c r="G74" s="308"/>
      <c r="H74" s="308"/>
      <c r="I74" s="308"/>
      <c r="J74" s="308"/>
      <c r="K74" s="308"/>
      <c r="L74" s="308"/>
      <c r="M74" s="308"/>
      <c r="N74" s="308"/>
      <c r="O74" s="309"/>
      <c r="P74" s="288" t="str">
        <f>IF('要入力　交付決定状況入力シート'!C62&lt;&gt;0,'要入力　交付決定状況入力シート'!C62,"")</f>
        <v/>
      </c>
      <c r="Q74" s="289"/>
      <c r="R74" s="289"/>
      <c r="S74" s="289"/>
      <c r="T74" s="290"/>
      <c r="U74" s="288" t="str">
        <f>IF('要入力　交付決定状況入力シート'!C63&lt;&gt;0,'要入力　交付決定状況入力シート'!C63,"")</f>
        <v/>
      </c>
      <c r="V74" s="289"/>
      <c r="W74" s="289"/>
      <c r="X74" s="289"/>
      <c r="Y74" s="289"/>
      <c r="Z74" s="290"/>
    </row>
    <row r="75" spans="2:28" x14ac:dyDescent="0.2">
      <c r="D75" s="307" t="str">
        <f>IF('要入力　交付決定状況入力シート'!C64&lt;&gt;0,'要入力　交付決定状況入力シート'!C64,"")</f>
        <v/>
      </c>
      <c r="E75" s="308"/>
      <c r="F75" s="308"/>
      <c r="G75" s="308"/>
      <c r="H75" s="308"/>
      <c r="I75" s="308"/>
      <c r="J75" s="308"/>
      <c r="K75" s="308"/>
      <c r="L75" s="308"/>
      <c r="M75" s="308"/>
      <c r="N75" s="308"/>
      <c r="O75" s="309"/>
      <c r="P75" s="288" t="str">
        <f>IF('要入力　交付決定状況入力シート'!C65&lt;&gt;0,'要入力　交付決定状況入力シート'!C65,"")</f>
        <v/>
      </c>
      <c r="Q75" s="289"/>
      <c r="R75" s="289"/>
      <c r="S75" s="289"/>
      <c r="T75" s="290"/>
      <c r="U75" s="288" t="str">
        <f>IF('要入力　交付決定状況入力シート'!C66&lt;&gt;0,'要入力　交付決定状況入力シート'!C66,"")</f>
        <v/>
      </c>
      <c r="V75" s="289"/>
      <c r="W75" s="289"/>
      <c r="X75" s="289"/>
      <c r="Y75" s="289"/>
      <c r="Z75" s="290"/>
    </row>
    <row r="76" spans="2:28" x14ac:dyDescent="0.2">
      <c r="D76" s="307" t="str">
        <f>IF('要入力　交付決定状況入力シート'!C67&lt;&gt;0,'要入力　交付決定状況入力シート'!C67,"")</f>
        <v/>
      </c>
      <c r="E76" s="308"/>
      <c r="F76" s="308"/>
      <c r="G76" s="308"/>
      <c r="H76" s="308"/>
      <c r="I76" s="308"/>
      <c r="J76" s="308"/>
      <c r="K76" s="308"/>
      <c r="L76" s="308"/>
      <c r="M76" s="308"/>
      <c r="N76" s="308"/>
      <c r="O76" s="309"/>
      <c r="P76" s="288" t="str">
        <f>IF('要入力　交付決定状況入力シート'!C68&lt;&gt;0,'要入力　交付決定状況入力シート'!C68,"")</f>
        <v/>
      </c>
      <c r="Q76" s="289"/>
      <c r="R76" s="289"/>
      <c r="S76" s="289"/>
      <c r="T76" s="290"/>
      <c r="U76" s="288" t="str">
        <f>IF('要入力　交付決定状況入力シート'!C69&lt;&gt;0,'要入力　交付決定状況入力シート'!C69,"")</f>
        <v/>
      </c>
      <c r="V76" s="289"/>
      <c r="W76" s="289"/>
      <c r="X76" s="289"/>
      <c r="Y76" s="289"/>
      <c r="Z76" s="290"/>
    </row>
    <row r="77" spans="2:28" ht="4.5" customHeight="1" x14ac:dyDescent="0.2">
      <c r="C77" s="92"/>
      <c r="D77" s="23"/>
    </row>
    <row r="78" spans="2:28" ht="13.5" customHeight="1" x14ac:dyDescent="0.2">
      <c r="B78" s="62"/>
      <c r="C78" s="92" t="s">
        <v>461</v>
      </c>
      <c r="D78" s="23"/>
    </row>
    <row r="79" spans="2:28" ht="4.5" customHeight="1" x14ac:dyDescent="0.2">
      <c r="D79" s="23"/>
    </row>
    <row r="80" spans="2:28" ht="13.5" customHeight="1" x14ac:dyDescent="0.2">
      <c r="B80" s="62"/>
      <c r="C80" s="92" t="s">
        <v>463</v>
      </c>
      <c r="D80" s="23"/>
    </row>
    <row r="81" spans="1:28" ht="3.6" customHeight="1" x14ac:dyDescent="0.2">
      <c r="C81" s="92"/>
      <c r="D81" s="23"/>
    </row>
    <row r="82" spans="1:28" ht="13.5" customHeight="1" x14ac:dyDescent="0.2">
      <c r="B82" s="62"/>
      <c r="C82" s="92" t="s">
        <v>464</v>
      </c>
      <c r="D82" s="23"/>
    </row>
    <row r="83" spans="1:28" ht="3.9" customHeight="1" x14ac:dyDescent="0.2">
      <c r="D83" s="23"/>
    </row>
    <row r="84" spans="1:28" x14ac:dyDescent="0.2">
      <c r="B84" s="62"/>
      <c r="C84" s="1" t="s">
        <v>244</v>
      </c>
      <c r="E84" s="13"/>
      <c r="P84" s="24"/>
    </row>
    <row r="85" spans="1:28" x14ac:dyDescent="0.2">
      <c r="D85" s="75" t="str">
        <f>IF(B84="","",IF(B84="✔","＜実績報告時の提出書類&gt;変更後の各階平面図、配置図",""))</f>
        <v/>
      </c>
      <c r="E85" s="13"/>
      <c r="P85" s="24"/>
    </row>
    <row r="86" spans="1:28" x14ac:dyDescent="0.2">
      <c r="D86" s="75"/>
      <c r="E86" s="13"/>
      <c r="P86" s="24"/>
      <c r="AA86" s="5" t="s">
        <v>70</v>
      </c>
    </row>
    <row r="87" spans="1:28" x14ac:dyDescent="0.2">
      <c r="A87" s="1" t="s">
        <v>36</v>
      </c>
    </row>
    <row r="88" spans="1:28" x14ac:dyDescent="0.2">
      <c r="B88" s="62"/>
      <c r="C88" s="1" t="s">
        <v>148</v>
      </c>
    </row>
    <row r="90" spans="1:28" x14ac:dyDescent="0.2">
      <c r="B90" s="62"/>
      <c r="C90" s="1" t="s">
        <v>108</v>
      </c>
    </row>
    <row r="91" spans="1:28" x14ac:dyDescent="0.2">
      <c r="D91" s="295" t="s">
        <v>84</v>
      </c>
      <c r="E91" s="296"/>
      <c r="F91" s="296"/>
      <c r="G91" s="296"/>
      <c r="H91" s="297"/>
      <c r="I91" s="288" t="str">
        <f>IF('要入力　交付決定状況入力シート'!C70&lt;&gt;0,'要入力　交付決定状況入力シート'!C70,"")</f>
        <v/>
      </c>
      <c r="J91" s="289"/>
      <c r="K91" s="289"/>
      <c r="L91" s="289"/>
      <c r="M91" s="289"/>
      <c r="N91" s="289"/>
      <c r="O91" s="289"/>
      <c r="P91" s="289"/>
      <c r="Q91" s="289"/>
      <c r="R91" s="289"/>
      <c r="S91" s="289"/>
      <c r="T91" s="289"/>
      <c r="U91" s="289"/>
      <c r="V91" s="289"/>
      <c r="W91" s="289"/>
      <c r="X91" s="290"/>
      <c r="AB91" s="4" t="str">
        <f>IF(AND(B90="✔",I91=""),"←直接入力してください","")</f>
        <v/>
      </c>
    </row>
    <row r="92" spans="1:28" x14ac:dyDescent="0.2">
      <c r="D92" s="41" t="s">
        <v>171</v>
      </c>
      <c r="E92" s="38"/>
      <c r="F92" s="38"/>
      <c r="G92" s="38"/>
      <c r="H92" s="38"/>
      <c r="I92" s="38"/>
      <c r="J92" s="38"/>
      <c r="K92" s="38"/>
      <c r="L92" s="38"/>
      <c r="M92" s="38"/>
      <c r="N92" s="38"/>
      <c r="O92" s="38"/>
      <c r="P92" s="38"/>
      <c r="Q92" s="38"/>
      <c r="R92" s="38"/>
      <c r="S92" s="38"/>
      <c r="T92" s="38"/>
      <c r="U92" s="38"/>
      <c r="V92" s="38"/>
      <c r="W92" s="38"/>
      <c r="X92" s="38"/>
      <c r="Y92" s="38"/>
      <c r="AB92" s="4"/>
    </row>
    <row r="93" spans="1:28" x14ac:dyDescent="0.2">
      <c r="B93" s="42" t="s">
        <v>431</v>
      </c>
      <c r="F93" s="54"/>
    </row>
    <row r="94" spans="1:28" x14ac:dyDescent="0.2">
      <c r="B94" s="62"/>
      <c r="C94" s="1" t="s">
        <v>109</v>
      </c>
    </row>
    <row r="95" spans="1:28" x14ac:dyDescent="0.2">
      <c r="B95" s="440" t="str">
        <f>IF(AND(B90="✔",B94="✔"),"「プレカットを行う場合は、県内のプレカット工場で加工すること。」と「プレカットを一切使用しない。」のどちらかを✔してください。","")</f>
        <v/>
      </c>
      <c r="C95" s="440"/>
      <c r="D95" s="440"/>
      <c r="E95" s="440"/>
      <c r="F95" s="440"/>
      <c r="G95" s="440"/>
      <c r="H95" s="440"/>
      <c r="I95" s="440"/>
      <c r="J95" s="440"/>
      <c r="K95" s="440"/>
      <c r="L95" s="440"/>
      <c r="M95" s="440"/>
      <c r="N95" s="440"/>
      <c r="O95" s="440"/>
      <c r="P95" s="440"/>
      <c r="Q95" s="440"/>
      <c r="R95" s="440"/>
      <c r="S95" s="440"/>
      <c r="T95" s="440"/>
      <c r="U95" s="440"/>
      <c r="V95" s="440"/>
      <c r="W95" s="440"/>
      <c r="X95" s="440"/>
      <c r="Y95" s="440"/>
      <c r="Z95" s="440"/>
      <c r="AA95" s="440"/>
      <c r="AB95" s="3" t="str">
        <f>IF(B95="","","×")</f>
        <v/>
      </c>
    </row>
    <row r="96" spans="1:28" x14ac:dyDescent="0.2">
      <c r="B96" s="440"/>
      <c r="C96" s="440"/>
      <c r="D96" s="440"/>
      <c r="E96" s="440"/>
      <c r="F96" s="440"/>
      <c r="G96" s="440"/>
      <c r="H96" s="440"/>
      <c r="I96" s="440"/>
      <c r="J96" s="440"/>
      <c r="K96" s="440"/>
      <c r="L96" s="440"/>
      <c r="M96" s="440"/>
      <c r="N96" s="440"/>
      <c r="O96" s="440"/>
      <c r="P96" s="440"/>
      <c r="Q96" s="440"/>
      <c r="R96" s="440"/>
      <c r="S96" s="440"/>
      <c r="T96" s="440"/>
      <c r="U96" s="440"/>
      <c r="V96" s="440"/>
      <c r="W96" s="440"/>
      <c r="X96" s="440"/>
      <c r="Y96" s="440"/>
      <c r="Z96" s="440"/>
      <c r="AA96" s="440"/>
    </row>
    <row r="97" spans="1:39" hidden="1" x14ac:dyDescent="0.2">
      <c r="AA97" s="5"/>
    </row>
    <row r="98" spans="1:39" x14ac:dyDescent="0.2">
      <c r="Q98" s="1" t="s">
        <v>166</v>
      </c>
      <c r="T98" s="25"/>
    </row>
    <row r="99" spans="1:39" ht="18" customHeight="1" x14ac:dyDescent="0.2">
      <c r="D99" s="295" t="s">
        <v>49</v>
      </c>
      <c r="E99" s="296"/>
      <c r="F99" s="296"/>
      <c r="G99" s="296"/>
      <c r="H99" s="296"/>
      <c r="I99" s="296"/>
      <c r="J99" s="296"/>
      <c r="K99" s="296"/>
      <c r="L99" s="296"/>
      <c r="M99" s="296"/>
      <c r="N99" s="296"/>
      <c r="O99" s="296"/>
      <c r="P99" s="297"/>
      <c r="Q99" s="295" t="s">
        <v>48</v>
      </c>
      <c r="R99" s="296"/>
      <c r="S99" s="296"/>
      <c r="T99" s="297"/>
      <c r="U99" s="291" t="str">
        <f>IF(I37="併用住宅","併用住宅の場合、住宅部分の使用量","")</f>
        <v/>
      </c>
      <c r="V99" s="291"/>
      <c r="W99" s="291"/>
      <c r="X99" s="291"/>
      <c r="Y99" s="400" t="s">
        <v>94</v>
      </c>
      <c r="Z99" s="400"/>
      <c r="AA99" s="400"/>
    </row>
    <row r="100" spans="1:39" x14ac:dyDescent="0.2">
      <c r="D100" s="319" t="s">
        <v>95</v>
      </c>
      <c r="E100" s="322"/>
      <c r="F100" s="322"/>
      <c r="G100" s="322"/>
      <c r="H100" s="322"/>
      <c r="I100" s="322"/>
      <c r="J100" s="322"/>
      <c r="K100" s="322"/>
      <c r="L100" s="322"/>
      <c r="M100" s="322"/>
      <c r="N100" s="322"/>
      <c r="O100" s="322"/>
      <c r="P100" s="323"/>
      <c r="Q100" s="449"/>
      <c r="R100" s="450"/>
      <c r="S100" s="450"/>
      <c r="T100" s="451"/>
      <c r="U100" s="291"/>
      <c r="V100" s="291"/>
      <c r="W100" s="291"/>
      <c r="X100" s="291"/>
      <c r="Y100" s="394"/>
      <c r="Z100" s="394"/>
      <c r="AA100" s="394"/>
      <c r="AE100" s="1"/>
      <c r="AF100" s="1"/>
      <c r="AG100" s="1"/>
      <c r="AH100" s="26"/>
      <c r="AI100" s="27"/>
      <c r="AJ100" s="27"/>
      <c r="AK100" s="27"/>
      <c r="AL100" s="27"/>
      <c r="AM100" s="27"/>
    </row>
    <row r="101" spans="1:39" x14ac:dyDescent="0.2">
      <c r="D101" s="28"/>
      <c r="E101" s="310" t="s">
        <v>142</v>
      </c>
      <c r="F101" s="311"/>
      <c r="G101" s="311"/>
      <c r="H101" s="311"/>
      <c r="I101" s="311"/>
      <c r="J101" s="311"/>
      <c r="K101" s="311"/>
      <c r="L101" s="311"/>
      <c r="M101" s="311"/>
      <c r="N101" s="311"/>
      <c r="O101" s="311"/>
      <c r="P101" s="312"/>
      <c r="Q101" s="300"/>
      <c r="R101" s="300"/>
      <c r="S101" s="300"/>
      <c r="T101" s="300"/>
      <c r="U101" s="301"/>
      <c r="V101" s="302"/>
      <c r="W101" s="302"/>
      <c r="X101" s="303"/>
      <c r="Y101" s="375" t="str">
        <f>IF(OR(I37="",Q100=""),"",(IF(I37="専用住宅",IF(Q101&gt;=20,30,Q101*1.5),IF(I37="併用住宅",IF(U101&gt;=20,30,U101*1.5)))))</f>
        <v/>
      </c>
      <c r="Z101" s="376"/>
      <c r="AA101" s="29" t="s">
        <v>55</v>
      </c>
      <c r="AB101" s="61" t="str">
        <f t="shared" ref="AB101" si="0">Y101</f>
        <v/>
      </c>
      <c r="AE101" s="1"/>
      <c r="AF101" s="1"/>
      <c r="AG101" s="1"/>
      <c r="AH101" s="26"/>
      <c r="AI101" s="27"/>
      <c r="AJ101" s="27"/>
      <c r="AK101" s="27"/>
      <c r="AL101" s="27"/>
      <c r="AM101" s="27"/>
    </row>
    <row r="102" spans="1:39" x14ac:dyDescent="0.2">
      <c r="D102" s="28"/>
      <c r="E102" s="30"/>
      <c r="F102" s="319" t="s">
        <v>427</v>
      </c>
      <c r="G102" s="320"/>
      <c r="H102" s="320"/>
      <c r="I102" s="320"/>
      <c r="J102" s="320"/>
      <c r="K102" s="320"/>
      <c r="L102" s="320"/>
      <c r="M102" s="320"/>
      <c r="N102" s="320"/>
      <c r="O102" s="320"/>
      <c r="P102" s="321"/>
      <c r="Q102" s="300"/>
      <c r="R102" s="300"/>
      <c r="S102" s="300"/>
      <c r="T102" s="300"/>
      <c r="U102" s="301"/>
      <c r="V102" s="302"/>
      <c r="W102" s="302"/>
      <c r="X102" s="303"/>
      <c r="Y102" s="298" t="str">
        <f>IF(I37="","",IF(I37="専用住宅",IF(Q102&gt;=20,20,Q102),IF(I37="併用住宅",IF(U102&gt;=20,20,U102))))</f>
        <v/>
      </c>
      <c r="Z102" s="299"/>
      <c r="AA102" s="29" t="s">
        <v>55</v>
      </c>
      <c r="AB102" s="61" t="str">
        <f>Y102</f>
        <v/>
      </c>
      <c r="AE102" s="1"/>
      <c r="AF102" s="1"/>
      <c r="AG102" s="1"/>
      <c r="AH102" s="26"/>
      <c r="AI102" s="27"/>
      <c r="AJ102" s="27"/>
      <c r="AK102" s="27"/>
      <c r="AL102" s="27"/>
      <c r="AM102" s="27"/>
    </row>
    <row r="103" spans="1:39" x14ac:dyDescent="0.2">
      <c r="D103" s="28"/>
      <c r="E103" s="30"/>
      <c r="F103" s="276"/>
      <c r="G103" s="388" t="s">
        <v>453</v>
      </c>
      <c r="H103" s="389"/>
      <c r="I103" s="389"/>
      <c r="J103" s="389"/>
      <c r="K103" s="389"/>
      <c r="L103" s="389"/>
      <c r="M103" s="389"/>
      <c r="N103" s="389"/>
      <c r="O103" s="389"/>
      <c r="P103" s="390"/>
      <c r="Q103" s="362"/>
      <c r="R103" s="363"/>
      <c r="S103" s="363"/>
      <c r="T103" s="364"/>
      <c r="U103" s="368"/>
      <c r="V103" s="369"/>
      <c r="W103" s="369"/>
      <c r="X103" s="369"/>
      <c r="AB103" s="61" t="str">
        <f>Y106</f>
        <v/>
      </c>
      <c r="AE103" s="1"/>
      <c r="AF103" s="1"/>
      <c r="AG103" s="1"/>
      <c r="AH103" s="26"/>
      <c r="AI103" s="27"/>
      <c r="AJ103" s="27"/>
      <c r="AK103" s="27"/>
      <c r="AL103" s="27"/>
      <c r="AM103" s="27"/>
    </row>
    <row r="104" spans="1:39" x14ac:dyDescent="0.2">
      <c r="D104" s="28"/>
      <c r="E104" s="30"/>
      <c r="F104" s="276"/>
      <c r="G104" s="385" t="s">
        <v>438</v>
      </c>
      <c r="H104" s="386"/>
      <c r="I104" s="386"/>
      <c r="J104" s="386"/>
      <c r="K104" s="386"/>
      <c r="L104" s="386"/>
      <c r="M104" s="386"/>
      <c r="N104" s="386"/>
      <c r="O104" s="386"/>
      <c r="P104" s="387"/>
      <c r="Q104" s="365"/>
      <c r="R104" s="366"/>
      <c r="S104" s="366"/>
      <c r="T104" s="367"/>
      <c r="U104" s="368"/>
      <c r="V104" s="369"/>
      <c r="W104" s="369"/>
      <c r="X104" s="369"/>
      <c r="Y104" s="277"/>
      <c r="Z104" s="277"/>
      <c r="AA104" s="87"/>
      <c r="AB104" s="61"/>
      <c r="AE104" s="1"/>
      <c r="AF104" s="1"/>
      <c r="AG104" s="1"/>
      <c r="AH104" s="26" t="s">
        <v>438</v>
      </c>
      <c r="AI104" s="27">
        <f>Q103*3</f>
        <v>0</v>
      </c>
      <c r="AJ104" s="27">
        <f>U103*3</f>
        <v>0</v>
      </c>
      <c r="AK104" s="27"/>
      <c r="AL104" s="27"/>
      <c r="AM104" s="27"/>
    </row>
    <row r="105" spans="1:39" x14ac:dyDescent="0.2">
      <c r="D105" s="28"/>
      <c r="E105" s="30"/>
      <c r="F105" s="276"/>
      <c r="G105" s="388" t="s">
        <v>453</v>
      </c>
      <c r="H105" s="389"/>
      <c r="I105" s="389"/>
      <c r="J105" s="389"/>
      <c r="K105" s="389"/>
      <c r="L105" s="389"/>
      <c r="M105" s="389"/>
      <c r="N105" s="389"/>
      <c r="O105" s="389"/>
      <c r="P105" s="390"/>
      <c r="Q105" s="362"/>
      <c r="R105" s="363"/>
      <c r="S105" s="363"/>
      <c r="T105" s="364"/>
      <c r="U105" s="368"/>
      <c r="V105" s="369"/>
      <c r="W105" s="369"/>
      <c r="X105" s="369"/>
      <c r="Y105" s="277"/>
      <c r="Z105" s="277"/>
      <c r="AA105" s="87"/>
      <c r="AB105" s="61"/>
      <c r="AE105" s="1"/>
      <c r="AF105" s="1"/>
      <c r="AG105" s="1"/>
      <c r="AH105" s="26" t="s">
        <v>439</v>
      </c>
      <c r="AI105" s="27">
        <f>Q105*2</f>
        <v>0</v>
      </c>
      <c r="AJ105" s="27">
        <f>U105*2</f>
        <v>0</v>
      </c>
      <c r="AK105" s="27"/>
      <c r="AL105" s="27"/>
      <c r="AM105" s="27"/>
    </row>
    <row r="106" spans="1:39" x14ac:dyDescent="0.2">
      <c r="D106" s="28"/>
      <c r="E106" s="30"/>
      <c r="F106" s="275"/>
      <c r="G106" s="360" t="s">
        <v>439</v>
      </c>
      <c r="H106" s="361"/>
      <c r="I106" s="361"/>
      <c r="J106" s="361"/>
      <c r="K106" s="361"/>
      <c r="L106" s="361"/>
      <c r="M106" s="361"/>
      <c r="N106" s="361"/>
      <c r="O106" s="361"/>
      <c r="P106" s="453"/>
      <c r="Q106" s="365"/>
      <c r="R106" s="366"/>
      <c r="S106" s="366"/>
      <c r="T106" s="367"/>
      <c r="U106" s="368"/>
      <c r="V106" s="369"/>
      <c r="W106" s="369"/>
      <c r="X106" s="369"/>
      <c r="Y106" s="439" t="str">
        <f>IF(I37="","",IF(I37="専用住宅",IF(AI106&gt;=30,30,AI106),IF(I37="併用住宅",IF(AJ106&gt;=30,30,AJ106))))</f>
        <v/>
      </c>
      <c r="Z106" s="439"/>
      <c r="AA106" s="29" t="s">
        <v>0</v>
      </c>
      <c r="AB106" s="61"/>
      <c r="AE106" s="1"/>
      <c r="AF106" s="1"/>
      <c r="AG106" s="1"/>
      <c r="AH106" s="26"/>
      <c r="AI106" s="27">
        <f>SUM(AI104:AI105)</f>
        <v>0</v>
      </c>
      <c r="AJ106" s="27">
        <f>SUM(AJ104:AJ105)</f>
        <v>0</v>
      </c>
      <c r="AK106" s="27"/>
      <c r="AL106" s="27"/>
      <c r="AM106" s="27"/>
    </row>
    <row r="107" spans="1:39" x14ac:dyDescent="0.2">
      <c r="D107" s="28"/>
      <c r="E107" s="30"/>
      <c r="F107" s="370" t="s">
        <v>96</v>
      </c>
      <c r="G107" s="371"/>
      <c r="H107" s="371"/>
      <c r="I107" s="371"/>
      <c r="J107" s="371"/>
      <c r="K107" s="371"/>
      <c r="L107" s="371"/>
      <c r="M107" s="371"/>
      <c r="N107" s="371"/>
      <c r="O107" s="371"/>
      <c r="P107" s="372"/>
      <c r="Q107" s="300"/>
      <c r="R107" s="300"/>
      <c r="S107" s="300"/>
      <c r="T107" s="300"/>
      <c r="U107" s="301"/>
      <c r="V107" s="302"/>
      <c r="W107" s="302"/>
      <c r="X107" s="302"/>
      <c r="AE107" s="1"/>
      <c r="AF107" s="1"/>
      <c r="AG107" s="1"/>
      <c r="AH107" s="26"/>
      <c r="AI107" s="27"/>
      <c r="AJ107" s="27"/>
      <c r="AK107" s="27"/>
      <c r="AL107" s="27"/>
      <c r="AM107" s="27"/>
    </row>
    <row r="108" spans="1:39" x14ac:dyDescent="0.2">
      <c r="D108" s="8"/>
      <c r="E108" s="31"/>
      <c r="F108" s="370" t="s">
        <v>97</v>
      </c>
      <c r="G108" s="371"/>
      <c r="H108" s="371"/>
      <c r="I108" s="371"/>
      <c r="J108" s="371"/>
      <c r="K108" s="371"/>
      <c r="L108" s="371"/>
      <c r="M108" s="371"/>
      <c r="N108" s="371"/>
      <c r="O108" s="371"/>
      <c r="P108" s="372"/>
      <c r="Q108" s="448"/>
      <c r="R108" s="448"/>
      <c r="S108" s="448"/>
      <c r="T108" s="448"/>
      <c r="U108" s="447"/>
      <c r="V108" s="447"/>
      <c r="W108" s="447"/>
      <c r="X108" s="447"/>
      <c r="Y108" s="401" t="str">
        <f>IF(OR(I37="",AND(Q107="",Q108="")),"",MIN(IF(AND(I37="専用住宅",Q107&gt;=1),5,IF(AND(I37="併用住宅",U107&gt;=1),5,0))+IF(AND(I37="専用住宅",Q108&gt;=1),INT(Q108)*0.3,IF(AND(I37="併用住宅",U108&gt;=1),INT(U108)*0.3,0)),20))</f>
        <v/>
      </c>
      <c r="Z108" s="401"/>
      <c r="AA108" s="29" t="s">
        <v>55</v>
      </c>
      <c r="AB108" s="61" t="str">
        <f>Y108</f>
        <v/>
      </c>
      <c r="AE108" s="1"/>
      <c r="AF108" s="1"/>
      <c r="AG108" s="1"/>
      <c r="AH108" s="26"/>
      <c r="AI108" s="27"/>
      <c r="AJ108" s="27"/>
      <c r="AK108" s="27"/>
      <c r="AL108" s="27"/>
      <c r="AM108" s="27"/>
    </row>
    <row r="109" spans="1:39" ht="18" customHeight="1" x14ac:dyDescent="0.2">
      <c r="E109" s="13"/>
      <c r="X109" s="32" t="s">
        <v>69</v>
      </c>
      <c r="Y109" s="398" t="str">
        <f>IF(Y101="","",IF(AND(B27="✔",B29="✔",B46="✔",B51="✔",B55="✔",B88="✔",OR(B90="✔",B94="✔"),B95=""),SUM(Y101:Z108),0))</f>
        <v/>
      </c>
      <c r="Z109" s="398"/>
      <c r="AA109" s="29" t="s">
        <v>0</v>
      </c>
      <c r="AB109" s="4" t="str">
        <f>IF(AND(Y109=0),"←合計金額が算出されない場合は、前のページにチェック漏れ等がありますので御確認ください。","")</f>
        <v/>
      </c>
    </row>
    <row r="110" spans="1:39" x14ac:dyDescent="0.2">
      <c r="A110" s="14" t="s">
        <v>510</v>
      </c>
      <c r="B110" s="14"/>
      <c r="C110" s="14"/>
      <c r="D110" s="14"/>
      <c r="E110" s="14"/>
      <c r="F110" s="14"/>
      <c r="G110" s="14"/>
      <c r="H110" s="14"/>
      <c r="I110" s="14"/>
      <c r="J110" s="14"/>
      <c r="K110" s="14"/>
      <c r="L110" s="14"/>
      <c r="M110" s="14"/>
      <c r="N110" s="14"/>
    </row>
    <row r="111" spans="1:39" x14ac:dyDescent="0.2">
      <c r="A111" s="14"/>
      <c r="B111" s="43" t="s">
        <v>432</v>
      </c>
      <c r="C111" s="14"/>
      <c r="D111" s="14"/>
      <c r="E111" s="14"/>
      <c r="F111" s="14"/>
      <c r="G111" s="14"/>
      <c r="H111" s="14"/>
      <c r="I111" s="14"/>
      <c r="J111" s="14"/>
      <c r="K111" s="14"/>
      <c r="L111" s="14"/>
      <c r="M111" s="14"/>
      <c r="N111" s="14"/>
    </row>
    <row r="112" spans="1:39" x14ac:dyDescent="0.2">
      <c r="A112" s="14" t="s">
        <v>509</v>
      </c>
      <c r="B112" s="14"/>
      <c r="C112" s="14"/>
      <c r="D112" s="14"/>
      <c r="E112" s="14"/>
      <c r="F112" s="14"/>
      <c r="G112" s="14"/>
      <c r="H112" s="14"/>
      <c r="I112" s="14"/>
      <c r="J112" s="14"/>
      <c r="K112" s="14"/>
      <c r="L112" s="14"/>
      <c r="M112" s="14"/>
      <c r="N112" s="14"/>
    </row>
    <row r="113" spans="1:55" x14ac:dyDescent="0.2">
      <c r="A113" s="14"/>
      <c r="B113" s="43" t="s">
        <v>434</v>
      </c>
      <c r="C113" s="14"/>
      <c r="D113" s="14"/>
      <c r="E113" s="14"/>
      <c r="F113" s="14"/>
      <c r="G113" s="14"/>
      <c r="H113" s="14"/>
      <c r="I113" s="14"/>
      <c r="J113" s="14"/>
      <c r="K113" s="14"/>
      <c r="L113" s="14"/>
      <c r="M113" s="14"/>
      <c r="N113" s="14"/>
    </row>
    <row r="114" spans="1:55" x14ac:dyDescent="0.2">
      <c r="A114" s="14"/>
      <c r="C114" s="14"/>
      <c r="D114" s="14"/>
      <c r="E114" s="14"/>
      <c r="F114" s="14"/>
      <c r="G114" s="14"/>
      <c r="H114" s="43" t="s">
        <v>435</v>
      </c>
      <c r="I114" s="14"/>
      <c r="J114" s="14"/>
      <c r="K114" s="14"/>
      <c r="L114" s="14"/>
      <c r="M114" s="14"/>
      <c r="N114" s="14"/>
    </row>
    <row r="115" spans="1:55" ht="12" customHeight="1" x14ac:dyDescent="0.2">
      <c r="A115" s="452" t="s">
        <v>454</v>
      </c>
      <c r="B115" s="452"/>
      <c r="C115" s="452"/>
      <c r="D115" s="452"/>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row>
    <row r="116" spans="1:55" ht="12" customHeight="1" x14ac:dyDescent="0.2">
      <c r="A116" s="452"/>
      <c r="B116" s="452"/>
      <c r="C116" s="452"/>
      <c r="D116" s="452"/>
      <c r="E116" s="452"/>
      <c r="F116" s="452"/>
      <c r="G116" s="452"/>
      <c r="H116" s="452"/>
      <c r="I116" s="452"/>
      <c r="J116" s="452"/>
      <c r="K116" s="452"/>
      <c r="L116" s="452"/>
      <c r="M116" s="452"/>
      <c r="N116" s="452"/>
      <c r="O116" s="452"/>
      <c r="P116" s="452"/>
      <c r="Q116" s="452"/>
      <c r="R116" s="452"/>
      <c r="S116" s="452"/>
      <c r="T116" s="452"/>
      <c r="U116" s="452"/>
      <c r="V116" s="452"/>
      <c r="W116" s="452"/>
      <c r="X116" s="452"/>
      <c r="Y116" s="452"/>
      <c r="Z116" s="452"/>
      <c r="AA116" s="452"/>
    </row>
    <row r="117" spans="1:55" x14ac:dyDescent="0.2">
      <c r="A117" s="14"/>
      <c r="B117" s="43" t="s">
        <v>455</v>
      </c>
      <c r="C117" s="14"/>
      <c r="D117" s="14"/>
      <c r="E117" s="14"/>
      <c r="F117" s="14"/>
      <c r="G117" s="14"/>
      <c r="H117" s="14"/>
      <c r="I117" s="14"/>
      <c r="J117" s="14"/>
      <c r="K117" s="14"/>
      <c r="L117" s="14"/>
      <c r="M117" s="14"/>
      <c r="N117" s="14"/>
    </row>
    <row r="118" spans="1:55" x14ac:dyDescent="0.2">
      <c r="A118" s="14" t="s">
        <v>149</v>
      </c>
      <c r="B118" s="14"/>
      <c r="C118" s="14"/>
      <c r="D118" s="14"/>
      <c r="E118" s="14"/>
      <c r="F118" s="14"/>
      <c r="G118" s="14"/>
      <c r="H118" s="14"/>
      <c r="I118" s="14"/>
      <c r="J118" s="14"/>
      <c r="K118" s="14"/>
      <c r="L118" s="14"/>
      <c r="M118" s="14"/>
      <c r="N118" s="14"/>
    </row>
    <row r="119" spans="1:55" x14ac:dyDescent="0.2">
      <c r="A119" s="14"/>
      <c r="B119" s="43" t="s">
        <v>450</v>
      </c>
      <c r="C119" s="14"/>
      <c r="D119" s="14"/>
      <c r="E119" s="14"/>
      <c r="F119" s="14"/>
      <c r="G119" s="14"/>
      <c r="H119" s="14"/>
      <c r="I119" s="14"/>
      <c r="J119" s="14"/>
      <c r="K119" s="14"/>
      <c r="L119" s="14"/>
      <c r="M119" s="14"/>
      <c r="N119" s="14"/>
    </row>
    <row r="120" spans="1:55" x14ac:dyDescent="0.2">
      <c r="A120" s="14" t="s">
        <v>429</v>
      </c>
      <c r="B120" s="14"/>
      <c r="C120" s="14"/>
      <c r="D120" s="14"/>
      <c r="E120" s="14"/>
      <c r="F120" s="14"/>
      <c r="G120" s="14"/>
      <c r="H120" s="14"/>
      <c r="I120" s="14"/>
      <c r="J120" s="14"/>
      <c r="K120" s="14"/>
      <c r="L120" s="14"/>
      <c r="M120" s="14"/>
      <c r="N120" s="14"/>
    </row>
    <row r="121" spans="1:55" x14ac:dyDescent="0.2">
      <c r="A121" s="14"/>
      <c r="B121" s="43" t="s">
        <v>140</v>
      </c>
      <c r="C121" s="14"/>
      <c r="D121" s="14"/>
      <c r="E121" s="14"/>
      <c r="F121" s="14"/>
      <c r="G121" s="14"/>
      <c r="H121" s="14"/>
      <c r="I121" s="14"/>
      <c r="J121" s="14"/>
      <c r="K121" s="14"/>
      <c r="L121" s="14"/>
      <c r="M121" s="14"/>
      <c r="N121" s="14"/>
    </row>
    <row r="122" spans="1:55" x14ac:dyDescent="0.2">
      <c r="A122" s="14"/>
      <c r="C122" s="14"/>
      <c r="D122" s="14"/>
      <c r="E122" s="14"/>
      <c r="F122" s="14"/>
      <c r="G122" s="14"/>
      <c r="H122" s="53" t="s">
        <v>437</v>
      </c>
      <c r="I122" s="14"/>
      <c r="J122" s="14"/>
      <c r="K122" s="14"/>
      <c r="L122" s="14"/>
      <c r="M122" s="14"/>
      <c r="N122" s="14"/>
    </row>
    <row r="123" spans="1:55" x14ac:dyDescent="0.2">
      <c r="A123" s="14"/>
      <c r="C123" s="14"/>
      <c r="D123" s="14"/>
      <c r="E123" s="14"/>
      <c r="F123" s="14"/>
      <c r="G123" s="14"/>
      <c r="H123" s="53" t="s">
        <v>436</v>
      </c>
      <c r="I123" s="14"/>
      <c r="J123" s="14"/>
      <c r="K123" s="14"/>
      <c r="L123" s="14"/>
      <c r="M123" s="14"/>
      <c r="N123" s="14"/>
    </row>
    <row r="124" spans="1:55" x14ac:dyDescent="0.2">
      <c r="A124" s="14" t="s">
        <v>430</v>
      </c>
      <c r="B124" s="14"/>
      <c r="C124" s="14"/>
      <c r="D124" s="14"/>
      <c r="E124" s="14"/>
      <c r="F124" s="14"/>
      <c r="G124" s="14"/>
      <c r="H124" s="14"/>
      <c r="I124" s="14"/>
      <c r="J124" s="14"/>
      <c r="K124" s="14"/>
      <c r="L124" s="14"/>
      <c r="M124" s="14"/>
      <c r="N124" s="14"/>
    </row>
    <row r="125" spans="1:55" ht="5.25" customHeight="1" x14ac:dyDescent="0.2">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x14ac:dyDescent="0.2">
      <c r="A126" s="1" t="s">
        <v>194</v>
      </c>
      <c r="Y126" s="400" t="s">
        <v>94</v>
      </c>
      <c r="Z126" s="400"/>
      <c r="AA126" s="400"/>
    </row>
    <row r="127" spans="1:55" ht="14.25" customHeight="1" x14ac:dyDescent="0.2">
      <c r="B127" s="1" t="s">
        <v>54</v>
      </c>
      <c r="Y127" s="394"/>
      <c r="Z127" s="394"/>
      <c r="AA127" s="394"/>
    </row>
    <row r="128" spans="1:55" x14ac:dyDescent="0.2">
      <c r="B128" s="280" t="s">
        <v>456</v>
      </c>
      <c r="Y128" s="391" t="str">
        <f>IF(AND(Y109&lt;&gt;"",Y109&gt;=15,OR(B130="✔",P130="✔")),IF(B80="✔",0,10),"")</f>
        <v/>
      </c>
      <c r="Z128" s="392"/>
      <c r="AA128" s="29" t="s">
        <v>0</v>
      </c>
      <c r="AB128" s="3" t="str">
        <f>Y128</f>
        <v/>
      </c>
      <c r="AD128" s="3" t="s">
        <v>75</v>
      </c>
    </row>
    <row r="129" spans="1:27" ht="7.35" customHeight="1" x14ac:dyDescent="0.2"/>
    <row r="130" spans="1:27" ht="11.25" customHeight="1" x14ac:dyDescent="0.2">
      <c r="B130" s="62"/>
      <c r="C130" s="1" t="s">
        <v>51</v>
      </c>
      <c r="P130" s="62"/>
      <c r="Q130" s="1" t="s">
        <v>53</v>
      </c>
    </row>
    <row r="131" spans="1:27" ht="13.5" customHeight="1" x14ac:dyDescent="0.2">
      <c r="C131" s="1" t="s">
        <v>52</v>
      </c>
      <c r="Q131" s="396" t="s">
        <v>165</v>
      </c>
      <c r="R131" s="396"/>
      <c r="S131" s="396"/>
      <c r="T131" s="396"/>
      <c r="U131" s="396"/>
      <c r="V131" s="396"/>
      <c r="W131" s="396"/>
      <c r="X131" s="396"/>
      <c r="Y131" s="396"/>
      <c r="Z131" s="396"/>
      <c r="AA131" s="396"/>
    </row>
    <row r="132" spans="1:27" ht="7.5" customHeight="1" x14ac:dyDescent="0.2">
      <c r="Q132" s="396"/>
      <c r="R132" s="396"/>
      <c r="S132" s="396"/>
      <c r="T132" s="396"/>
      <c r="U132" s="396"/>
      <c r="V132" s="396"/>
      <c r="W132" s="396"/>
      <c r="X132" s="396"/>
      <c r="Y132" s="396"/>
      <c r="Z132" s="396"/>
      <c r="AA132" s="396"/>
    </row>
    <row r="133" spans="1:27" x14ac:dyDescent="0.2">
      <c r="C133" s="13" t="s">
        <v>46</v>
      </c>
      <c r="Q133" s="13" t="s">
        <v>46</v>
      </c>
    </row>
    <row r="134" spans="1:27" x14ac:dyDescent="0.2">
      <c r="C134" s="397" t="s">
        <v>50</v>
      </c>
      <c r="D134" s="396"/>
      <c r="E134" s="396"/>
      <c r="F134" s="396"/>
      <c r="G134" s="396"/>
      <c r="H134" s="396"/>
      <c r="I134" s="396"/>
      <c r="J134" s="396"/>
      <c r="K134" s="396"/>
      <c r="L134" s="396"/>
      <c r="M134" s="396"/>
      <c r="N134" s="396"/>
      <c r="Q134" s="397" t="s">
        <v>47</v>
      </c>
      <c r="R134" s="397"/>
      <c r="S134" s="397"/>
      <c r="T134" s="397"/>
      <c r="U134" s="397"/>
      <c r="V134" s="397"/>
      <c r="W134" s="397"/>
      <c r="X134" s="397"/>
      <c r="Y134" s="397"/>
      <c r="Z134" s="397"/>
      <c r="AA134" s="397"/>
    </row>
    <row r="135" spans="1:27" x14ac:dyDescent="0.2">
      <c r="C135" s="396"/>
      <c r="D135" s="396"/>
      <c r="E135" s="396"/>
      <c r="F135" s="396"/>
      <c r="G135" s="396"/>
      <c r="H135" s="396"/>
      <c r="I135" s="396"/>
      <c r="J135" s="396"/>
      <c r="K135" s="396"/>
      <c r="L135" s="396"/>
      <c r="M135" s="396"/>
      <c r="N135" s="396"/>
      <c r="Q135" s="397"/>
      <c r="R135" s="397"/>
      <c r="S135" s="397"/>
      <c r="T135" s="397"/>
      <c r="U135" s="397"/>
      <c r="V135" s="397"/>
      <c r="W135" s="397"/>
      <c r="X135" s="397"/>
      <c r="Y135" s="397"/>
      <c r="Z135" s="397"/>
      <c r="AA135" s="397"/>
    </row>
    <row r="136" spans="1:27" x14ac:dyDescent="0.2">
      <c r="C136" s="43" t="s">
        <v>110</v>
      </c>
      <c r="D136" s="44"/>
      <c r="E136" s="44"/>
      <c r="F136" s="44"/>
      <c r="G136" s="44"/>
      <c r="H136" s="44"/>
      <c r="I136" s="44"/>
      <c r="J136" s="44"/>
      <c r="K136" s="44"/>
      <c r="L136" s="44"/>
      <c r="M136" s="44"/>
      <c r="N136" s="44"/>
      <c r="Q136" s="43" t="s">
        <v>110</v>
      </c>
      <c r="R136" s="44"/>
      <c r="S136" s="44"/>
      <c r="T136" s="44"/>
      <c r="U136" s="44"/>
      <c r="V136" s="44"/>
      <c r="W136" s="44"/>
      <c r="X136" s="44"/>
      <c r="Y136" s="44"/>
      <c r="Z136" s="44"/>
      <c r="AA136" s="44"/>
    </row>
    <row r="137" spans="1:27" ht="13.5" customHeight="1" x14ac:dyDescent="0.2">
      <c r="C137" s="399" t="s">
        <v>241</v>
      </c>
      <c r="D137" s="399"/>
      <c r="E137" s="399"/>
      <c r="F137" s="399"/>
      <c r="G137" s="399"/>
      <c r="H137" s="399"/>
      <c r="I137" s="399"/>
      <c r="J137" s="399"/>
      <c r="K137" s="399"/>
      <c r="L137" s="399"/>
      <c r="M137" s="399"/>
      <c r="N137" s="399"/>
      <c r="Q137" s="399" t="s">
        <v>242</v>
      </c>
      <c r="R137" s="399"/>
      <c r="S137" s="399"/>
      <c r="T137" s="399"/>
      <c r="U137" s="399"/>
      <c r="V137" s="399"/>
      <c r="W137" s="399"/>
      <c r="X137" s="399"/>
      <c r="Y137" s="399"/>
      <c r="Z137" s="399"/>
      <c r="AA137" s="399"/>
    </row>
    <row r="138" spans="1:27" ht="13.5" customHeight="1" x14ac:dyDescent="0.2">
      <c r="C138" s="399"/>
      <c r="D138" s="399"/>
      <c r="E138" s="399"/>
      <c r="F138" s="399"/>
      <c r="G138" s="399"/>
      <c r="H138" s="399"/>
      <c r="I138" s="399"/>
      <c r="J138" s="399"/>
      <c r="K138" s="399"/>
      <c r="L138" s="399"/>
      <c r="M138" s="399"/>
      <c r="N138" s="399"/>
      <c r="Q138" s="399"/>
      <c r="R138" s="399"/>
      <c r="S138" s="399"/>
      <c r="T138" s="399"/>
      <c r="U138" s="399"/>
      <c r="V138" s="399"/>
      <c r="W138" s="399"/>
      <c r="X138" s="399"/>
      <c r="Y138" s="399"/>
      <c r="Z138" s="399"/>
      <c r="AA138" s="399"/>
    </row>
    <row r="139" spans="1:27" ht="13.5" customHeight="1" x14ac:dyDescent="0.2">
      <c r="D139" s="34"/>
      <c r="E139" s="34"/>
      <c r="F139" s="34"/>
      <c r="G139" s="34"/>
      <c r="H139" s="34"/>
      <c r="I139" s="34"/>
      <c r="J139" s="34"/>
      <c r="K139" s="34"/>
      <c r="L139" s="34"/>
      <c r="M139" s="34"/>
      <c r="N139" s="34"/>
      <c r="Q139" s="50" t="s">
        <v>240</v>
      </c>
      <c r="R139" s="35"/>
      <c r="S139" s="35"/>
      <c r="T139" s="35"/>
      <c r="U139" s="35"/>
      <c r="V139" s="35"/>
      <c r="W139" s="35"/>
      <c r="X139" s="35"/>
      <c r="Y139" s="35"/>
      <c r="Z139" s="35"/>
      <c r="AA139" s="35"/>
    </row>
    <row r="140" spans="1:27" ht="3" customHeight="1" x14ac:dyDescent="0.2"/>
    <row r="141" spans="1:27" x14ac:dyDescent="0.2">
      <c r="C141" s="395" t="s">
        <v>76</v>
      </c>
      <c r="D141" s="395"/>
      <c r="E141" s="395"/>
      <c r="F141" s="395"/>
      <c r="G141" s="395"/>
      <c r="H141" s="395"/>
      <c r="I141" s="395"/>
      <c r="J141" s="395"/>
      <c r="K141" s="395"/>
      <c r="L141" s="395"/>
      <c r="M141" s="395"/>
      <c r="N141" s="395"/>
      <c r="O141" s="395"/>
      <c r="P141" s="395"/>
      <c r="Q141" s="395"/>
      <c r="R141" s="395"/>
      <c r="S141" s="395"/>
      <c r="T141" s="395"/>
      <c r="U141" s="395"/>
      <c r="V141" s="395"/>
      <c r="W141" s="395"/>
      <c r="X141" s="395"/>
      <c r="Y141" s="395"/>
      <c r="Z141" s="395"/>
      <c r="AA141" s="35"/>
    </row>
    <row r="142" spans="1:27" ht="9" customHeight="1" x14ac:dyDescent="0.2">
      <c r="C142" s="395"/>
      <c r="D142" s="395"/>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395"/>
      <c r="AA142" s="35"/>
    </row>
    <row r="143" spans="1:27" ht="2.25" customHeight="1" x14ac:dyDescent="0.2">
      <c r="Y143" s="36"/>
      <c r="Z143" s="36"/>
      <c r="AA143" s="36"/>
    </row>
    <row r="144" spans="1:27" x14ac:dyDescent="0.2">
      <c r="A144" s="1" t="s">
        <v>195</v>
      </c>
      <c r="Y144" s="393" t="s">
        <v>94</v>
      </c>
      <c r="Z144" s="393"/>
      <c r="AA144" s="393"/>
    </row>
    <row r="145" spans="1:30" ht="13.5" customHeight="1" x14ac:dyDescent="0.2">
      <c r="B145" s="92" t="s">
        <v>457</v>
      </c>
      <c r="C145" s="92"/>
      <c r="D145" s="92"/>
      <c r="Y145" s="394"/>
      <c r="Z145" s="394"/>
      <c r="AA145" s="394"/>
    </row>
    <row r="146" spans="1:30" ht="13.5" customHeight="1" x14ac:dyDescent="0.2">
      <c r="B146" s="22" t="s">
        <v>466</v>
      </c>
      <c r="C146" s="92"/>
      <c r="D146" s="92"/>
      <c r="Y146" s="391" t="str">
        <f>IF(OR(B147="✔",B150="✔",B152="✔",B147="✔"),10,"")</f>
        <v/>
      </c>
      <c r="Z146" s="392"/>
      <c r="AA146" s="29" t="s">
        <v>0</v>
      </c>
      <c r="AB146" s="3" t="str">
        <f>Y146</f>
        <v/>
      </c>
    </row>
    <row r="147" spans="1:30" x14ac:dyDescent="0.2">
      <c r="B147" s="62"/>
      <c r="C147" s="287" t="s">
        <v>468</v>
      </c>
      <c r="D147" s="92"/>
      <c r="AB147" s="1"/>
      <c r="AD147" s="3" t="s">
        <v>75</v>
      </c>
    </row>
    <row r="148" spans="1:30" x14ac:dyDescent="0.2">
      <c r="C148" s="13" t="s">
        <v>506</v>
      </c>
    </row>
    <row r="149" spans="1:30" ht="3.6" customHeight="1" x14ac:dyDescent="0.2"/>
    <row r="150" spans="1:30" x14ac:dyDescent="0.2">
      <c r="B150" s="62"/>
      <c r="C150" s="287" t="s">
        <v>469</v>
      </c>
      <c r="D150" s="92"/>
      <c r="Y150" s="38"/>
      <c r="Z150" s="38"/>
      <c r="AA150" s="87"/>
    </row>
    <row r="151" spans="1:30" ht="3.6" customHeight="1" x14ac:dyDescent="0.2"/>
    <row r="152" spans="1:30" x14ac:dyDescent="0.2">
      <c r="B152" s="62"/>
      <c r="C152" s="287" t="s">
        <v>470</v>
      </c>
      <c r="D152" s="92"/>
      <c r="Y152" s="38"/>
      <c r="Z152" s="38"/>
      <c r="AA152" s="87"/>
    </row>
    <row r="153" spans="1:30" x14ac:dyDescent="0.2">
      <c r="C153" s="13" t="s">
        <v>507</v>
      </c>
    </row>
    <row r="154" spans="1:30" ht="3" customHeight="1" x14ac:dyDescent="0.2"/>
    <row r="155" spans="1:30" ht="15" customHeight="1" x14ac:dyDescent="0.2">
      <c r="B155" s="438" t="s">
        <v>467</v>
      </c>
      <c r="C155" s="438"/>
      <c r="D155" s="438"/>
      <c r="E155" s="438"/>
      <c r="F155" s="438"/>
      <c r="G155" s="438"/>
      <c r="H155" s="318" t="s">
        <v>152</v>
      </c>
      <c r="I155" s="318"/>
      <c r="J155" s="318"/>
      <c r="K155" s="318"/>
      <c r="L155" s="318"/>
      <c r="M155" s="318"/>
      <c r="N155" s="318"/>
      <c r="O155" s="424" t="str">
        <f>IF('要入力　交付決定状況入力シート'!C71&lt;&gt;0,'要入力　交付決定状況入力シート'!C71,"")</f>
        <v/>
      </c>
      <c r="P155" s="424"/>
      <c r="Q155" s="424"/>
      <c r="R155" s="424"/>
      <c r="S155" s="424"/>
      <c r="T155" s="424"/>
      <c r="U155" s="424"/>
      <c r="V155" s="424"/>
      <c r="W155" s="424"/>
      <c r="X155" s="424"/>
      <c r="Y155" s="424"/>
      <c r="Z155" s="424"/>
      <c r="AB155" s="4" t="str">
        <f>IF(AND(O155="",B147="✔"),"→申請者の住宅建設地の小学校区を記載してください。","")</f>
        <v/>
      </c>
    </row>
    <row r="156" spans="1:30" ht="15" customHeight="1" x14ac:dyDescent="0.2">
      <c r="A156" s="80"/>
      <c r="B156" s="441" t="s">
        <v>245</v>
      </c>
      <c r="C156" s="442"/>
      <c r="D156" s="442"/>
      <c r="E156" s="442"/>
      <c r="F156" s="442"/>
      <c r="G156" s="443"/>
      <c r="H156" s="318" t="s">
        <v>153</v>
      </c>
      <c r="I156" s="318"/>
      <c r="J156" s="318"/>
      <c r="K156" s="318"/>
      <c r="L156" s="318"/>
      <c r="M156" s="318"/>
      <c r="N156" s="318"/>
      <c r="O156" s="424" t="str">
        <f>IF('要入力　交付決定状況入力シート'!C72&lt;&gt;0,'要入力　交付決定状況入力シート'!C72,"")</f>
        <v/>
      </c>
      <c r="P156" s="424"/>
      <c r="Q156" s="424"/>
      <c r="R156" s="424"/>
      <c r="S156" s="424"/>
      <c r="T156" s="424"/>
      <c r="U156" s="424"/>
      <c r="V156" s="424"/>
      <c r="W156" s="424"/>
      <c r="X156" s="424"/>
      <c r="Y156" s="424"/>
      <c r="Z156" s="424"/>
      <c r="AB156" s="4" t="str">
        <f>IF(AND(O156="",B147="✔"),"→近居対象の親族世帯の住所を記載してください。","")</f>
        <v/>
      </c>
    </row>
    <row r="157" spans="1:30" ht="15" customHeight="1" x14ac:dyDescent="0.2">
      <c r="A157" s="80"/>
      <c r="B157" s="444"/>
      <c r="C157" s="445"/>
      <c r="D157" s="445"/>
      <c r="E157" s="445"/>
      <c r="F157" s="445"/>
      <c r="G157" s="446"/>
      <c r="H157" s="318" t="s">
        <v>154</v>
      </c>
      <c r="I157" s="318"/>
      <c r="J157" s="318"/>
      <c r="K157" s="318"/>
      <c r="L157" s="318"/>
      <c r="M157" s="318"/>
      <c r="N157" s="318"/>
      <c r="O157" s="424" t="str">
        <f>IF('要入力　交付決定状況入力シート'!C73&lt;&gt;0,'要入力　交付決定状況入力シート'!C73,"")</f>
        <v/>
      </c>
      <c r="P157" s="424"/>
      <c r="Q157" s="424"/>
      <c r="R157" s="424"/>
      <c r="S157" s="424"/>
      <c r="T157" s="424"/>
      <c r="U157" s="424"/>
      <c r="V157" s="424"/>
      <c r="W157" s="424"/>
      <c r="X157" s="424"/>
      <c r="Y157" s="424"/>
      <c r="Z157" s="424"/>
      <c r="AB157" s="4" t="str">
        <f>IF(AND(O157="",B147="✔"),"→近居対象の親族世帯の小学校区を記載してください。","")</f>
        <v/>
      </c>
    </row>
    <row r="158" spans="1:30" ht="12.75" customHeight="1" x14ac:dyDescent="0.2">
      <c r="C158" s="45" t="s">
        <v>110</v>
      </c>
    </row>
    <row r="159" spans="1:30" x14ac:dyDescent="0.2">
      <c r="C159" s="46" t="s">
        <v>85</v>
      </c>
      <c r="D159" s="33"/>
      <c r="E159" s="33"/>
      <c r="F159" s="33"/>
      <c r="G159" s="33"/>
      <c r="H159" s="33"/>
      <c r="I159" s="33"/>
      <c r="J159" s="33"/>
      <c r="K159" s="33"/>
      <c r="L159" s="33"/>
      <c r="M159" s="33"/>
      <c r="N159" s="33"/>
    </row>
    <row r="160" spans="1:30" ht="13.5" customHeight="1" x14ac:dyDescent="0.2">
      <c r="C160" s="46" t="s">
        <v>243</v>
      </c>
      <c r="D160" s="35"/>
      <c r="E160" s="35"/>
      <c r="F160" s="35"/>
      <c r="G160" s="35"/>
      <c r="H160" s="35"/>
      <c r="I160" s="35"/>
      <c r="J160" s="35"/>
      <c r="K160" s="35"/>
      <c r="L160" s="35"/>
      <c r="M160" s="35"/>
      <c r="N160" s="35"/>
    </row>
    <row r="161" spans="1:30" x14ac:dyDescent="0.2">
      <c r="AA161" s="5" t="s">
        <v>70</v>
      </c>
    </row>
    <row r="162" spans="1:30" x14ac:dyDescent="0.2">
      <c r="A162" s="92" t="s">
        <v>458</v>
      </c>
      <c r="Y162" s="400" t="s">
        <v>94</v>
      </c>
      <c r="Z162" s="400"/>
      <c r="AA162" s="400"/>
    </row>
    <row r="163" spans="1:30" ht="12.75" customHeight="1" x14ac:dyDescent="0.2">
      <c r="B163" s="432" t="s">
        <v>459</v>
      </c>
      <c r="C163" s="432"/>
      <c r="D163" s="432"/>
      <c r="E163" s="432"/>
      <c r="F163" s="432"/>
      <c r="G163" s="432"/>
      <c r="H163" s="432"/>
      <c r="I163" s="432"/>
      <c r="J163" s="432"/>
      <c r="K163" s="432"/>
      <c r="L163" s="432"/>
      <c r="M163" s="432"/>
      <c r="N163" s="432"/>
      <c r="O163" s="432"/>
      <c r="P163" s="432"/>
      <c r="Q163" s="432"/>
      <c r="R163" s="432"/>
      <c r="S163" s="432"/>
      <c r="T163" s="432"/>
      <c r="U163" s="432"/>
      <c r="V163" s="432"/>
      <c r="W163" s="432"/>
      <c r="X163" s="433"/>
      <c r="Y163" s="400"/>
      <c r="Z163" s="400"/>
      <c r="AA163" s="400"/>
    </row>
    <row r="164" spans="1:30" x14ac:dyDescent="0.2">
      <c r="B164" s="432"/>
      <c r="C164" s="432"/>
      <c r="D164" s="432"/>
      <c r="E164" s="432"/>
      <c r="F164" s="432"/>
      <c r="G164" s="432"/>
      <c r="H164" s="432"/>
      <c r="I164" s="432"/>
      <c r="J164" s="432"/>
      <c r="K164" s="432"/>
      <c r="L164" s="432"/>
      <c r="M164" s="432"/>
      <c r="N164" s="432"/>
      <c r="O164" s="432"/>
      <c r="P164" s="432"/>
      <c r="Q164" s="432"/>
      <c r="R164" s="432"/>
      <c r="S164" s="432"/>
      <c r="T164" s="432"/>
      <c r="U164" s="432"/>
      <c r="V164" s="432"/>
      <c r="W164" s="432"/>
      <c r="X164" s="433"/>
      <c r="Y164" s="391" t="str">
        <f>IF(AND(Y109&lt;&gt;"",Y109&gt;=15,B168="✔",I42&lt;&gt;"その他",SUM(F173,F178,F185,F193,F201,F211,F218)&gt;=4),20,"")</f>
        <v/>
      </c>
      <c r="Z164" s="392"/>
      <c r="AA164" s="29" t="s">
        <v>0</v>
      </c>
      <c r="AB164" s="3" t="str">
        <f>Y164</f>
        <v/>
      </c>
    </row>
    <row r="165" spans="1:30" ht="13.5" customHeight="1" x14ac:dyDescent="0.2">
      <c r="B165" s="37"/>
      <c r="C165" s="422" t="s">
        <v>460</v>
      </c>
      <c r="D165" s="422"/>
      <c r="E165" s="422"/>
      <c r="F165" s="422"/>
      <c r="G165" s="422"/>
      <c r="H165" s="422"/>
      <c r="I165" s="422"/>
      <c r="J165" s="422"/>
      <c r="K165" s="422"/>
      <c r="L165" s="422"/>
      <c r="M165" s="422"/>
      <c r="N165" s="422"/>
      <c r="O165" s="422"/>
      <c r="P165" s="422"/>
      <c r="Q165" s="422"/>
      <c r="R165" s="422"/>
      <c r="S165" s="422"/>
      <c r="T165" s="422"/>
      <c r="U165" s="422"/>
      <c r="V165" s="422"/>
      <c r="W165" s="422"/>
      <c r="X165" s="422"/>
      <c r="Y165" s="422"/>
      <c r="Z165" s="422"/>
      <c r="AA165" s="422"/>
    </row>
    <row r="166" spans="1:30" ht="13.5" customHeight="1" x14ac:dyDescent="0.2">
      <c r="B166" s="37"/>
      <c r="C166" s="422"/>
      <c r="D166" s="422"/>
      <c r="E166" s="422"/>
      <c r="F166" s="422"/>
      <c r="G166" s="422"/>
      <c r="H166" s="422"/>
      <c r="I166" s="422"/>
      <c r="J166" s="422"/>
      <c r="K166" s="422"/>
      <c r="L166" s="422"/>
      <c r="M166" s="422"/>
      <c r="N166" s="422"/>
      <c r="O166" s="422"/>
      <c r="P166" s="422"/>
      <c r="Q166" s="422"/>
      <c r="R166" s="422"/>
      <c r="S166" s="422"/>
      <c r="T166" s="422"/>
      <c r="U166" s="422"/>
      <c r="V166" s="422"/>
      <c r="W166" s="422"/>
      <c r="X166" s="422"/>
      <c r="Y166" s="422"/>
      <c r="Z166" s="422"/>
      <c r="AA166" s="422"/>
    </row>
    <row r="167" spans="1:30" ht="7.35" customHeight="1" x14ac:dyDescent="0.2"/>
    <row r="168" spans="1:30" x14ac:dyDescent="0.2">
      <c r="B168" s="62"/>
      <c r="C168" s="1" t="s">
        <v>20</v>
      </c>
      <c r="H168" s="1" t="s">
        <v>190</v>
      </c>
      <c r="AD168" s="3" t="s">
        <v>75</v>
      </c>
    </row>
    <row r="169" spans="1:30" x14ac:dyDescent="0.2">
      <c r="B169" s="22" t="str">
        <f>IF(AND(I42="その他",B168="✔"),"工法が異なります","")</f>
        <v/>
      </c>
      <c r="H169" s="1" t="s">
        <v>189</v>
      </c>
    </row>
    <row r="170" spans="1:30" ht="7.35" customHeight="1" x14ac:dyDescent="0.2"/>
    <row r="171" spans="1:30" ht="13.5" customHeight="1" x14ac:dyDescent="0.2">
      <c r="B171" s="62"/>
      <c r="C171" s="1" t="s">
        <v>59</v>
      </c>
      <c r="H171" s="374" t="s">
        <v>172</v>
      </c>
      <c r="I171" s="374"/>
      <c r="J171" s="374"/>
      <c r="K171" s="374"/>
      <c r="L171" s="374"/>
      <c r="M171" s="374"/>
      <c r="N171" s="374"/>
      <c r="O171" s="374"/>
      <c r="P171" s="374"/>
      <c r="Q171" s="374"/>
      <c r="R171" s="374"/>
      <c r="S171" s="374"/>
      <c r="T171" s="374"/>
      <c r="U171" s="374"/>
      <c r="V171" s="374"/>
      <c r="W171" s="374"/>
      <c r="X171" s="374"/>
      <c r="Y171" s="374"/>
      <c r="Z171" s="374"/>
      <c r="AA171" s="374"/>
      <c r="AC171" s="3">
        <f>IF(AND(B90="",B94="✔",B171="✔"),4,0)</f>
        <v>0</v>
      </c>
    </row>
    <row r="172" spans="1:30" x14ac:dyDescent="0.2">
      <c r="C172" s="1" t="s">
        <v>90</v>
      </c>
      <c r="H172" s="374"/>
      <c r="I172" s="374"/>
      <c r="J172" s="374"/>
      <c r="K172" s="374"/>
      <c r="L172" s="374"/>
      <c r="M172" s="374"/>
      <c r="N172" s="374"/>
      <c r="O172" s="374"/>
      <c r="P172" s="374"/>
      <c r="Q172" s="374"/>
      <c r="R172" s="374"/>
      <c r="S172" s="374"/>
      <c r="T172" s="374"/>
      <c r="U172" s="374"/>
      <c r="V172" s="374"/>
      <c r="W172" s="374"/>
      <c r="X172" s="374"/>
      <c r="Y172" s="374"/>
      <c r="Z172" s="374"/>
      <c r="AA172" s="374"/>
    </row>
    <row r="173" spans="1:30" x14ac:dyDescent="0.2">
      <c r="C173" s="377" t="s">
        <v>158</v>
      </c>
      <c r="D173" s="378"/>
      <c r="E173" s="379"/>
      <c r="F173" s="51" t="str">
        <f>IF(AC171=0,"",AC171)</f>
        <v/>
      </c>
      <c r="H173" s="374"/>
      <c r="I173" s="374"/>
      <c r="J173" s="374"/>
      <c r="K173" s="374"/>
      <c r="L173" s="374"/>
      <c r="M173" s="374"/>
      <c r="N173" s="374"/>
      <c r="O173" s="374"/>
      <c r="P173" s="374"/>
      <c r="Q173" s="374"/>
      <c r="R173" s="374"/>
      <c r="S173" s="374"/>
      <c r="T173" s="374"/>
      <c r="U173" s="374"/>
      <c r="V173" s="374"/>
      <c r="W173" s="374"/>
      <c r="X173" s="374"/>
      <c r="Y173" s="374"/>
      <c r="Z173" s="374"/>
      <c r="AA173" s="374"/>
    </row>
    <row r="174" spans="1:30" x14ac:dyDescent="0.2">
      <c r="C174" s="434" t="s">
        <v>177</v>
      </c>
      <c r="D174" s="434"/>
      <c r="E174" s="434"/>
      <c r="F174" s="434"/>
      <c r="G174" s="434"/>
      <c r="H174" s="434"/>
      <c r="I174" s="434"/>
      <c r="J174" s="434"/>
      <c r="K174" s="434"/>
      <c r="L174" s="434"/>
      <c r="M174" s="434"/>
      <c r="N174" s="434"/>
      <c r="O174" s="434"/>
      <c r="P174" s="434"/>
      <c r="Q174" s="434"/>
      <c r="R174" s="434"/>
      <c r="S174" s="434"/>
      <c r="T174" s="434"/>
      <c r="U174" s="434"/>
      <c r="V174" s="434"/>
      <c r="W174" s="434"/>
      <c r="X174" s="434"/>
      <c r="Y174" s="434"/>
      <c r="Z174" s="434"/>
      <c r="AA174" s="434"/>
    </row>
    <row r="175" spans="1:30" x14ac:dyDescent="0.2">
      <c r="H175" s="37"/>
      <c r="I175" s="37"/>
      <c r="J175" s="37"/>
      <c r="K175" s="37"/>
      <c r="L175" s="37"/>
      <c r="M175" s="37"/>
      <c r="N175" s="37"/>
      <c r="O175" s="37"/>
      <c r="P175" s="37"/>
      <c r="Q175" s="37"/>
      <c r="R175" s="37"/>
      <c r="S175" s="37"/>
      <c r="T175" s="37"/>
      <c r="U175" s="37"/>
      <c r="V175" s="37"/>
      <c r="W175" s="37"/>
      <c r="X175" s="37"/>
      <c r="Y175" s="37"/>
      <c r="Z175" s="37"/>
      <c r="AA175" s="37"/>
    </row>
    <row r="176" spans="1:30" x14ac:dyDescent="0.2">
      <c r="B176" s="62"/>
      <c r="C176" s="1" t="s">
        <v>60</v>
      </c>
      <c r="H176" s="1" t="s">
        <v>174</v>
      </c>
      <c r="AC176" s="3">
        <f>IF(AND(B176="✔",N180&gt;=40,OR(N179="ささら子下見板",N179="押縁下見板",N179="南京下見板")),2,0)</f>
        <v>0</v>
      </c>
    </row>
    <row r="177" spans="2:29" x14ac:dyDescent="0.2">
      <c r="C177" s="1" t="s">
        <v>91</v>
      </c>
      <c r="H177" s="413" t="s">
        <v>63</v>
      </c>
      <c r="I177" s="413"/>
      <c r="J177" s="413"/>
      <c r="K177" s="413"/>
      <c r="L177" s="413"/>
      <c r="M177" s="413"/>
      <c r="N177" s="413"/>
      <c r="O177" s="413"/>
      <c r="P177" s="413" t="s">
        <v>57</v>
      </c>
      <c r="Q177" s="413"/>
      <c r="R177" s="413"/>
      <c r="S177" s="413"/>
      <c r="T177" s="413"/>
      <c r="U177" s="413"/>
      <c r="V177" s="413"/>
      <c r="W177" s="413"/>
      <c r="X177" s="413"/>
      <c r="Y177" s="413"/>
      <c r="Z177" s="413"/>
      <c r="AA177" s="413"/>
    </row>
    <row r="178" spans="2:29" x14ac:dyDescent="0.2">
      <c r="C178" s="295" t="s">
        <v>158</v>
      </c>
      <c r="D178" s="296"/>
      <c r="E178" s="297"/>
      <c r="F178" s="51" t="str">
        <f>IF(AC176=0,"",AC176)</f>
        <v/>
      </c>
      <c r="H178" s="413" t="s">
        <v>64</v>
      </c>
      <c r="I178" s="413"/>
      <c r="J178" s="413"/>
      <c r="K178" s="413"/>
      <c r="L178" s="413"/>
      <c r="M178" s="413"/>
      <c r="N178" s="413"/>
      <c r="O178" s="413"/>
      <c r="P178" s="413" t="s">
        <v>58</v>
      </c>
      <c r="Q178" s="413"/>
      <c r="R178" s="413"/>
      <c r="S178" s="413"/>
      <c r="T178" s="413"/>
      <c r="U178" s="413"/>
      <c r="V178" s="413"/>
      <c r="W178" s="413"/>
      <c r="X178" s="413"/>
      <c r="Y178" s="413"/>
      <c r="Z178" s="413"/>
      <c r="AA178" s="413"/>
    </row>
    <row r="179" spans="2:29" x14ac:dyDescent="0.2">
      <c r="H179" s="1" t="s">
        <v>104</v>
      </c>
      <c r="N179" s="288"/>
      <c r="O179" s="289"/>
      <c r="P179" s="289"/>
      <c r="Q179" s="289"/>
      <c r="R179" s="289"/>
      <c r="S179" s="290"/>
      <c r="AB179" s="4" t="str">
        <f>IF(AND(B176="✔",N179=""),"←リストから選択してください（ささら子下見板、押縁下見板、南京下見板）","")</f>
        <v/>
      </c>
    </row>
    <row r="180" spans="2:29" x14ac:dyDescent="0.2">
      <c r="H180" s="13" t="s">
        <v>105</v>
      </c>
      <c r="N180" s="436"/>
      <c r="O180" s="337"/>
      <c r="P180" s="437"/>
      <c r="Q180" s="1" t="s">
        <v>89</v>
      </c>
      <c r="AB180" s="4" t="str">
        <f>IF(AND(B176="✔",N180=""),"←施工面積を入力してください。","")</f>
        <v/>
      </c>
    </row>
    <row r="181" spans="2:29" x14ac:dyDescent="0.2">
      <c r="C181" s="435" t="s">
        <v>178</v>
      </c>
      <c r="D181" s="435"/>
      <c r="E181" s="435"/>
      <c r="F181" s="435"/>
      <c r="G181" s="435"/>
      <c r="H181" s="435"/>
      <c r="I181" s="435"/>
      <c r="J181" s="435"/>
      <c r="K181" s="435"/>
      <c r="L181" s="435"/>
      <c r="M181" s="435"/>
      <c r="N181" s="435"/>
      <c r="O181" s="435"/>
      <c r="P181" s="435"/>
      <c r="Q181" s="435"/>
      <c r="R181" s="435"/>
      <c r="S181" s="435"/>
      <c r="T181" s="435"/>
      <c r="U181" s="435"/>
      <c r="V181" s="435"/>
      <c r="W181" s="435"/>
      <c r="X181" s="435"/>
      <c r="Y181" s="435"/>
      <c r="Z181" s="435"/>
      <c r="AA181" s="435"/>
    </row>
    <row r="183" spans="2:29" x14ac:dyDescent="0.2">
      <c r="B183" s="62"/>
      <c r="C183" s="1" t="s">
        <v>61</v>
      </c>
      <c r="H183" s="55" t="s">
        <v>185</v>
      </c>
      <c r="AC183" s="3">
        <f>IF(AND(B183="✔",N187&gt;=40),2,IF(AND(B183="✔",N187+N188&gt;=40),1,0))</f>
        <v>0</v>
      </c>
    </row>
    <row r="184" spans="2:29" x14ac:dyDescent="0.2">
      <c r="C184" s="1" t="s">
        <v>155</v>
      </c>
      <c r="H184" s="55" t="s">
        <v>186</v>
      </c>
    </row>
    <row r="185" spans="2:29" x14ac:dyDescent="0.2">
      <c r="C185" s="377" t="s">
        <v>158</v>
      </c>
      <c r="D185" s="378"/>
      <c r="E185" s="379"/>
      <c r="F185" s="51" t="str">
        <f>IF(AC183=0,"",AC183)</f>
        <v/>
      </c>
      <c r="H185" s="1" t="s">
        <v>187</v>
      </c>
    </row>
    <row r="186" spans="2:29" x14ac:dyDescent="0.2">
      <c r="H186" s="23" t="s">
        <v>179</v>
      </c>
      <c r="AB186" s="22" t="str">
        <f>IF(AND(N187&gt;0,R187=""),"←こて塗り仕上げの材料を選択してください。",IF(AND(R187="その他のこて塗り",V187=""),"←こて塗りの材料を記載してください。",""))</f>
        <v/>
      </c>
    </row>
    <row r="187" spans="2:29" x14ac:dyDescent="0.2">
      <c r="B187" s="13" t="s">
        <v>176</v>
      </c>
      <c r="N187" s="288"/>
      <c r="O187" s="289"/>
      <c r="P187" s="290"/>
      <c r="Q187" s="1" t="s">
        <v>157</v>
      </c>
      <c r="R187" s="431" t="s">
        <v>428</v>
      </c>
      <c r="S187" s="431"/>
      <c r="T187" s="431"/>
      <c r="U187" s="431"/>
      <c r="V187" s="427"/>
      <c r="W187" s="428"/>
      <c r="X187" s="428"/>
      <c r="Y187" s="428"/>
      <c r="Z187" s="428"/>
      <c r="AB187" s="4" t="str">
        <f>IF(AND(B183="✔",N187=""),"←こて塗り（珪藻土及びじゅらく以外）の面積を入力してください。","")</f>
        <v/>
      </c>
      <c r="AC187" s="22"/>
    </row>
    <row r="188" spans="2:29" x14ac:dyDescent="0.2">
      <c r="B188" s="13" t="s">
        <v>156</v>
      </c>
      <c r="N188" s="288"/>
      <c r="O188" s="289"/>
      <c r="P188" s="290"/>
      <c r="Q188" s="1" t="s">
        <v>157</v>
      </c>
      <c r="R188" s="431" t="s">
        <v>428</v>
      </c>
      <c r="S188" s="431"/>
      <c r="T188" s="431"/>
      <c r="U188" s="431"/>
      <c r="V188" s="427"/>
      <c r="W188" s="428"/>
      <c r="X188" s="428"/>
      <c r="Y188" s="428"/>
      <c r="Z188" s="428"/>
      <c r="AB188" s="4" t="str">
        <f>IF(AND(B183="✔",N188=""),"←こて塗り（珪藻土及びじゅらく）の面積を入力してください。","")</f>
        <v/>
      </c>
      <c r="AC188" s="22"/>
    </row>
    <row r="189" spans="2:29" x14ac:dyDescent="0.2">
      <c r="C189" s="42" t="s">
        <v>180</v>
      </c>
      <c r="AB189" s="22" t="str">
        <f>IF(AND(N188&gt;0,R188=""),"こて塗り仕上げの材料を選択してください。",IF(AND(R188="その他のこて塗り",V188=""),"←こて塗りの材料を記載してください。",""))</f>
        <v/>
      </c>
    </row>
    <row r="191" spans="2:29" x14ac:dyDescent="0.2">
      <c r="B191" s="62"/>
      <c r="C191" s="1" t="s">
        <v>86</v>
      </c>
      <c r="H191" s="374" t="s">
        <v>87</v>
      </c>
      <c r="I191" s="374"/>
      <c r="J191" s="374"/>
      <c r="K191" s="374"/>
      <c r="L191" s="374"/>
      <c r="M191" s="374"/>
      <c r="N191" s="374"/>
      <c r="O191" s="374"/>
      <c r="P191" s="374"/>
      <c r="Q191" s="374"/>
      <c r="R191" s="374"/>
      <c r="S191" s="374"/>
      <c r="T191" s="374"/>
      <c r="U191" s="374"/>
      <c r="V191" s="374"/>
      <c r="W191" s="374"/>
      <c r="X191" s="374"/>
      <c r="Y191" s="374"/>
      <c r="Z191" s="374"/>
      <c r="AA191" s="374"/>
      <c r="AC191" s="3">
        <f>IF(AND(B191="✔",OR(N194="和瓦",N194="平板瓦",N194="S瓦")),2,0)</f>
        <v>0</v>
      </c>
    </row>
    <row r="192" spans="2:29" x14ac:dyDescent="0.2">
      <c r="C192" s="1" t="s">
        <v>91</v>
      </c>
      <c r="H192" s="374"/>
      <c r="I192" s="374"/>
      <c r="J192" s="374"/>
      <c r="K192" s="374"/>
      <c r="L192" s="374"/>
      <c r="M192" s="374"/>
      <c r="N192" s="374"/>
      <c r="O192" s="374"/>
      <c r="P192" s="374"/>
      <c r="Q192" s="374"/>
      <c r="R192" s="374"/>
      <c r="S192" s="374"/>
      <c r="T192" s="374"/>
      <c r="U192" s="374"/>
      <c r="V192" s="374"/>
      <c r="W192" s="374"/>
      <c r="X192" s="374"/>
      <c r="Y192" s="374"/>
      <c r="Z192" s="374"/>
      <c r="AA192" s="374"/>
    </row>
    <row r="193" spans="2:29" x14ac:dyDescent="0.2">
      <c r="C193" s="377" t="s">
        <v>158</v>
      </c>
      <c r="D193" s="378"/>
      <c r="E193" s="379"/>
      <c r="F193" s="51" t="str">
        <f>IF(AC191=0,"",AC191)</f>
        <v/>
      </c>
      <c r="H193" s="22" t="s">
        <v>93</v>
      </c>
      <c r="I193" s="37"/>
      <c r="J193" s="37"/>
      <c r="K193" s="37"/>
      <c r="L193" s="37"/>
      <c r="M193" s="37"/>
      <c r="N193" s="37"/>
      <c r="O193" s="37"/>
      <c r="P193" s="37"/>
      <c r="Q193" s="37"/>
      <c r="R193" s="37"/>
      <c r="S193" s="37"/>
      <c r="T193" s="37"/>
      <c r="U193" s="37"/>
      <c r="V193" s="37"/>
      <c r="W193" s="37"/>
      <c r="X193" s="37"/>
      <c r="Y193" s="37"/>
      <c r="Z193" s="37"/>
      <c r="AA193" s="37"/>
    </row>
    <row r="194" spans="2:29" x14ac:dyDescent="0.2">
      <c r="I194" s="428" t="s">
        <v>98</v>
      </c>
      <c r="J194" s="428"/>
      <c r="K194" s="428"/>
      <c r="L194" s="428"/>
      <c r="M194" s="37"/>
      <c r="N194" s="307" t="s">
        <v>428</v>
      </c>
      <c r="O194" s="308"/>
      <c r="P194" s="309"/>
      <c r="Q194" s="37"/>
      <c r="R194" s="37"/>
      <c r="S194" s="37"/>
      <c r="T194" s="37"/>
      <c r="U194" s="37"/>
      <c r="V194" s="37"/>
      <c r="W194" s="37"/>
      <c r="X194" s="37"/>
      <c r="Y194" s="37"/>
      <c r="Z194" s="37"/>
      <c r="AA194" s="37"/>
      <c r="AB194" s="4" t="str">
        <f>IF(AND(B191="✔",N194=""),"←リストから選択してください（和瓦、平板瓦、S瓦）","")</f>
        <v/>
      </c>
    </row>
    <row r="195" spans="2:29" x14ac:dyDescent="0.2">
      <c r="C195" s="422" t="s">
        <v>181</v>
      </c>
      <c r="D195" s="422"/>
      <c r="E195" s="422"/>
      <c r="F195" s="422"/>
      <c r="G195" s="422"/>
      <c r="H195" s="422"/>
      <c r="I195" s="422"/>
      <c r="J195" s="422"/>
      <c r="K195" s="422"/>
      <c r="L195" s="422"/>
      <c r="M195" s="422"/>
      <c r="N195" s="422"/>
      <c r="O195" s="422"/>
      <c r="P195" s="422"/>
      <c r="Q195" s="422"/>
      <c r="R195" s="422"/>
      <c r="S195" s="422"/>
      <c r="T195" s="422"/>
      <c r="U195" s="422"/>
      <c r="V195" s="422"/>
      <c r="W195" s="422"/>
      <c r="X195" s="422"/>
      <c r="Y195" s="422"/>
      <c r="Z195" s="422"/>
      <c r="AA195" s="422"/>
    </row>
    <row r="196" spans="2:29" x14ac:dyDescent="0.2">
      <c r="C196" s="422"/>
      <c r="D196" s="422"/>
      <c r="E196" s="422"/>
      <c r="F196" s="422"/>
      <c r="G196" s="422"/>
      <c r="H196" s="422"/>
      <c r="I196" s="422"/>
      <c r="J196" s="422"/>
      <c r="K196" s="422"/>
      <c r="L196" s="422"/>
      <c r="M196" s="422"/>
      <c r="N196" s="422"/>
      <c r="O196" s="422"/>
      <c r="P196" s="422"/>
      <c r="Q196" s="422"/>
      <c r="R196" s="422"/>
      <c r="S196" s="422"/>
      <c r="T196" s="422"/>
      <c r="U196" s="422"/>
      <c r="V196" s="422"/>
      <c r="W196" s="422"/>
      <c r="X196" s="422"/>
      <c r="Y196" s="422"/>
      <c r="Z196" s="422"/>
      <c r="AA196" s="422"/>
    </row>
    <row r="197" spans="2:29" x14ac:dyDescent="0.2">
      <c r="C197" s="422"/>
      <c r="D197" s="422"/>
      <c r="E197" s="422"/>
      <c r="F197" s="422"/>
      <c r="G197" s="422"/>
      <c r="H197" s="422"/>
      <c r="I197" s="422"/>
      <c r="J197" s="422"/>
      <c r="K197" s="422"/>
      <c r="L197" s="422"/>
      <c r="M197" s="422"/>
      <c r="N197" s="422"/>
      <c r="O197" s="422"/>
      <c r="P197" s="422"/>
      <c r="Q197" s="422"/>
      <c r="R197" s="422"/>
      <c r="S197" s="422"/>
      <c r="T197" s="422"/>
      <c r="U197" s="422"/>
      <c r="V197" s="422"/>
      <c r="W197" s="422"/>
      <c r="X197" s="422"/>
      <c r="Y197" s="422"/>
      <c r="Z197" s="422"/>
      <c r="AA197" s="422"/>
    </row>
    <row r="199" spans="2:29" x14ac:dyDescent="0.2">
      <c r="B199" s="62"/>
      <c r="C199" s="1" t="s">
        <v>62</v>
      </c>
      <c r="H199" s="374" t="s">
        <v>175</v>
      </c>
      <c r="I199" s="374"/>
      <c r="J199" s="374"/>
      <c r="K199" s="374"/>
      <c r="L199" s="374"/>
      <c r="M199" s="374"/>
      <c r="N199" s="374"/>
      <c r="O199" s="374"/>
      <c r="P199" s="374"/>
      <c r="Q199" s="374"/>
      <c r="R199" s="374"/>
      <c r="S199" s="374"/>
      <c r="T199" s="374"/>
      <c r="U199" s="374"/>
      <c r="V199" s="374"/>
      <c r="W199" s="374"/>
      <c r="X199" s="374"/>
      <c r="Y199" s="374"/>
      <c r="Z199" s="374"/>
      <c r="AA199" s="374"/>
      <c r="AC199" s="3">
        <f>IF(AND(B199="✔",N204&gt;=10),2,IF(AND(B199="✔",N204&gt;=5),1,0))</f>
        <v>0</v>
      </c>
    </row>
    <row r="200" spans="2:29" x14ac:dyDescent="0.2">
      <c r="C200" s="1" t="s">
        <v>92</v>
      </c>
      <c r="H200" s="374"/>
      <c r="I200" s="374"/>
      <c r="J200" s="374"/>
      <c r="K200" s="374"/>
      <c r="L200" s="374"/>
      <c r="M200" s="374"/>
      <c r="N200" s="374"/>
      <c r="O200" s="374"/>
      <c r="P200" s="374"/>
      <c r="Q200" s="374"/>
      <c r="R200" s="374"/>
      <c r="S200" s="374"/>
      <c r="T200" s="374"/>
      <c r="U200" s="374"/>
      <c r="V200" s="374"/>
      <c r="W200" s="374"/>
      <c r="X200" s="374"/>
      <c r="Y200" s="374"/>
      <c r="Z200" s="374"/>
      <c r="AA200" s="374"/>
    </row>
    <row r="201" spans="2:29" x14ac:dyDescent="0.2">
      <c r="C201" s="377" t="s">
        <v>158</v>
      </c>
      <c r="D201" s="378"/>
      <c r="E201" s="379"/>
      <c r="F201" s="51" t="str">
        <f>IF(AC199=0,"",AC199)</f>
        <v/>
      </c>
      <c r="H201" s="374"/>
      <c r="I201" s="374"/>
      <c r="J201" s="374"/>
      <c r="K201" s="374"/>
      <c r="L201" s="374"/>
      <c r="M201" s="374"/>
      <c r="N201" s="374"/>
      <c r="O201" s="374"/>
      <c r="P201" s="374"/>
      <c r="Q201" s="374"/>
      <c r="R201" s="374"/>
      <c r="S201" s="374"/>
      <c r="T201" s="374"/>
      <c r="U201" s="374"/>
      <c r="V201" s="374"/>
      <c r="W201" s="374"/>
      <c r="X201" s="374"/>
      <c r="Y201" s="374"/>
      <c r="Z201" s="374"/>
      <c r="AA201" s="374"/>
    </row>
    <row r="202" spans="2:29" ht="13.5" hidden="1" customHeight="1" x14ac:dyDescent="0.2">
      <c r="H202" s="413"/>
      <c r="I202" s="413"/>
      <c r="J202" s="413"/>
      <c r="K202" s="413"/>
      <c r="L202" s="413"/>
      <c r="M202" s="413"/>
      <c r="N202" s="413"/>
      <c r="O202" s="413"/>
      <c r="P202" s="374"/>
      <c r="Q202" s="374"/>
      <c r="R202" s="374"/>
      <c r="S202" s="374"/>
      <c r="T202" s="374"/>
      <c r="U202" s="374"/>
      <c r="V202" s="374"/>
      <c r="W202" s="374"/>
      <c r="X202" s="374"/>
      <c r="Y202" s="374"/>
      <c r="Z202" s="374"/>
      <c r="AA202" s="374"/>
    </row>
    <row r="203" spans="2:29" hidden="1" x14ac:dyDescent="0.2">
      <c r="H203" s="413"/>
      <c r="I203" s="413"/>
      <c r="J203" s="413"/>
      <c r="K203" s="413"/>
      <c r="L203" s="413"/>
      <c r="M203" s="413"/>
      <c r="N203" s="413"/>
      <c r="O203" s="413"/>
      <c r="P203" s="413"/>
      <c r="Q203" s="413"/>
      <c r="R203" s="413"/>
      <c r="S203" s="413"/>
      <c r="T203" s="413"/>
      <c r="U203" s="413"/>
      <c r="V203" s="413"/>
      <c r="W203" s="413"/>
      <c r="X203" s="413"/>
      <c r="Y203" s="413"/>
      <c r="Z203" s="413"/>
      <c r="AA203" s="413"/>
    </row>
    <row r="204" spans="2:29" x14ac:dyDescent="0.2">
      <c r="G204" s="1" t="s">
        <v>99</v>
      </c>
      <c r="N204" s="288"/>
      <c r="O204" s="289"/>
      <c r="P204" s="290"/>
      <c r="Q204" s="1" t="s">
        <v>88</v>
      </c>
      <c r="AB204" s="4" t="str">
        <f>IF(AND(B199="✔",N204=""),"←見付面積を入力してください。","")</f>
        <v/>
      </c>
    </row>
    <row r="205" spans="2:29" x14ac:dyDescent="0.2">
      <c r="C205" s="422" t="s">
        <v>182</v>
      </c>
      <c r="D205" s="422"/>
      <c r="E205" s="422"/>
      <c r="F205" s="422"/>
      <c r="G205" s="422"/>
      <c r="H205" s="422"/>
      <c r="I205" s="422"/>
      <c r="J205" s="422"/>
      <c r="K205" s="422"/>
      <c r="L205" s="422"/>
      <c r="M205" s="422"/>
      <c r="N205" s="422"/>
      <c r="O205" s="422"/>
      <c r="P205" s="422"/>
      <c r="Q205" s="422"/>
      <c r="R205" s="422"/>
      <c r="S205" s="422"/>
      <c r="T205" s="422"/>
      <c r="U205" s="422"/>
      <c r="V205" s="422"/>
      <c r="W205" s="422"/>
      <c r="X205" s="422"/>
      <c r="Y205" s="422"/>
      <c r="Z205" s="422"/>
      <c r="AA205" s="422"/>
    </row>
    <row r="206" spans="2:29" x14ac:dyDescent="0.2">
      <c r="C206" s="422"/>
      <c r="D206" s="422"/>
      <c r="E206" s="422"/>
      <c r="F206" s="422"/>
      <c r="G206" s="422"/>
      <c r="H206" s="422"/>
      <c r="I206" s="422"/>
      <c r="J206" s="422"/>
      <c r="K206" s="422"/>
      <c r="L206" s="422"/>
      <c r="M206" s="422"/>
      <c r="N206" s="422"/>
      <c r="O206" s="422"/>
      <c r="P206" s="422"/>
      <c r="Q206" s="422"/>
      <c r="R206" s="422"/>
      <c r="S206" s="422"/>
      <c r="T206" s="422"/>
      <c r="U206" s="422"/>
      <c r="V206" s="422"/>
      <c r="W206" s="422"/>
      <c r="X206" s="422"/>
      <c r="Y206" s="422"/>
      <c r="Z206" s="422"/>
      <c r="AA206" s="422"/>
    </row>
    <row r="207" spans="2:29" x14ac:dyDescent="0.2">
      <c r="C207" s="422"/>
      <c r="D207" s="422"/>
      <c r="E207" s="422"/>
      <c r="F207" s="422"/>
      <c r="G207" s="422"/>
      <c r="H207" s="422"/>
      <c r="I207" s="422"/>
      <c r="J207" s="422"/>
      <c r="K207" s="422"/>
      <c r="L207" s="422"/>
      <c r="M207" s="422"/>
      <c r="N207" s="422"/>
      <c r="O207" s="422"/>
      <c r="P207" s="422"/>
      <c r="Q207" s="422"/>
      <c r="R207" s="422"/>
      <c r="S207" s="422"/>
      <c r="T207" s="422"/>
      <c r="U207" s="422"/>
      <c r="V207" s="422"/>
      <c r="W207" s="422"/>
      <c r="X207" s="422"/>
      <c r="Y207" s="422"/>
      <c r="Z207" s="422"/>
      <c r="AA207" s="422"/>
    </row>
    <row r="208" spans="2:29" x14ac:dyDescent="0.2">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2:29" x14ac:dyDescent="0.2">
      <c r="B209" s="62"/>
      <c r="C209" s="1" t="s">
        <v>100</v>
      </c>
      <c r="H209" s="374" t="s">
        <v>173</v>
      </c>
      <c r="I209" s="374"/>
      <c r="J209" s="374"/>
      <c r="K209" s="374"/>
      <c r="L209" s="374"/>
      <c r="M209" s="374"/>
      <c r="N209" s="374"/>
      <c r="O209" s="374"/>
      <c r="P209" s="374"/>
      <c r="Q209" s="374"/>
      <c r="R209" s="374"/>
      <c r="S209" s="374"/>
      <c r="T209" s="374"/>
      <c r="U209" s="374"/>
      <c r="V209" s="374"/>
      <c r="W209" s="374"/>
      <c r="X209" s="374"/>
      <c r="Y209" s="374"/>
      <c r="Z209" s="374"/>
      <c r="AA209" s="374"/>
      <c r="AC209" s="3">
        <f>IF(AND(B209="✔",N211&gt;=6),1,0)</f>
        <v>0</v>
      </c>
    </row>
    <row r="210" spans="2:29" x14ac:dyDescent="0.2">
      <c r="C210" s="1" t="s">
        <v>101</v>
      </c>
      <c r="H210" s="374"/>
      <c r="I210" s="374"/>
      <c r="J210" s="374"/>
      <c r="K210" s="374"/>
      <c r="L210" s="374"/>
      <c r="M210" s="374"/>
      <c r="N210" s="374"/>
      <c r="O210" s="374"/>
      <c r="P210" s="374"/>
      <c r="Q210" s="374"/>
      <c r="R210" s="374"/>
      <c r="S210" s="374"/>
      <c r="T210" s="374"/>
      <c r="U210" s="374"/>
      <c r="V210" s="374"/>
      <c r="W210" s="374"/>
      <c r="X210" s="374"/>
      <c r="Y210" s="374"/>
      <c r="Z210" s="374"/>
      <c r="AA210" s="374"/>
    </row>
    <row r="211" spans="2:29" x14ac:dyDescent="0.2">
      <c r="C211" s="377" t="s">
        <v>158</v>
      </c>
      <c r="D211" s="378"/>
      <c r="E211" s="379"/>
      <c r="F211" s="51" t="str">
        <f>IF(AC209=0,"",AC209)</f>
        <v/>
      </c>
      <c r="I211" s="1" t="s">
        <v>102</v>
      </c>
      <c r="N211" s="288"/>
      <c r="O211" s="289"/>
      <c r="P211" s="290"/>
      <c r="Q211" s="1" t="s">
        <v>103</v>
      </c>
      <c r="AB211" s="4" t="str">
        <f>IF(AND(B209="✔",N211=""),"←畳の数量を入力してください。","")</f>
        <v/>
      </c>
    </row>
    <row r="212" spans="2:29" x14ac:dyDescent="0.2">
      <c r="C212" s="422" t="s">
        <v>183</v>
      </c>
      <c r="D212" s="422"/>
      <c r="E212" s="422"/>
      <c r="F212" s="422"/>
      <c r="G212" s="422"/>
      <c r="H212" s="422"/>
      <c r="I212" s="422"/>
      <c r="J212" s="422"/>
      <c r="K212" s="422"/>
      <c r="L212" s="422"/>
      <c r="M212" s="422"/>
      <c r="N212" s="422"/>
      <c r="O212" s="422"/>
      <c r="P212" s="422"/>
      <c r="Q212" s="422"/>
      <c r="R212" s="422"/>
      <c r="S212" s="422"/>
      <c r="T212" s="422"/>
      <c r="U212" s="422"/>
      <c r="V212" s="422"/>
      <c r="W212" s="422"/>
      <c r="X212" s="422"/>
      <c r="Y212" s="422"/>
      <c r="Z212" s="422"/>
      <c r="AA212" s="422"/>
    </row>
    <row r="213" spans="2:29" x14ac:dyDescent="0.2">
      <c r="C213" s="422"/>
      <c r="D213" s="422"/>
      <c r="E213" s="422"/>
      <c r="F213" s="422"/>
      <c r="G213" s="422"/>
      <c r="H213" s="422"/>
      <c r="I213" s="422"/>
      <c r="J213" s="422"/>
      <c r="K213" s="422"/>
      <c r="L213" s="422"/>
      <c r="M213" s="422"/>
      <c r="N213" s="422"/>
      <c r="O213" s="422"/>
      <c r="P213" s="422"/>
      <c r="Q213" s="422"/>
      <c r="R213" s="422"/>
      <c r="S213" s="422"/>
      <c r="T213" s="422"/>
      <c r="U213" s="422"/>
      <c r="V213" s="422"/>
      <c r="W213" s="422"/>
      <c r="X213" s="422"/>
      <c r="Y213" s="422"/>
      <c r="Z213" s="422"/>
      <c r="AA213" s="422"/>
    </row>
    <row r="214" spans="2:29" x14ac:dyDescent="0.2">
      <c r="C214" s="422"/>
      <c r="D214" s="422"/>
      <c r="E214" s="422"/>
      <c r="F214" s="422"/>
      <c r="G214" s="422"/>
      <c r="H214" s="422"/>
      <c r="I214" s="422"/>
      <c r="J214" s="422"/>
      <c r="K214" s="422"/>
      <c r="L214" s="422"/>
      <c r="M214" s="422"/>
      <c r="N214" s="422"/>
      <c r="O214" s="422"/>
      <c r="P214" s="422"/>
      <c r="Q214" s="422"/>
      <c r="R214" s="422"/>
      <c r="S214" s="422"/>
      <c r="T214" s="422"/>
      <c r="U214" s="422"/>
      <c r="V214" s="422"/>
      <c r="W214" s="422"/>
      <c r="X214" s="422"/>
      <c r="Y214" s="422"/>
      <c r="Z214" s="422"/>
      <c r="AA214" s="422"/>
    </row>
    <row r="215" spans="2:29" ht="6" customHeight="1" x14ac:dyDescent="0.2"/>
    <row r="216" spans="2:29" ht="13.5" customHeight="1" x14ac:dyDescent="0.2">
      <c r="B216" s="62"/>
      <c r="C216" s="425" t="s">
        <v>170</v>
      </c>
      <c r="D216" s="426"/>
      <c r="E216" s="426"/>
      <c r="F216" s="426"/>
      <c r="G216" s="426"/>
      <c r="H216" s="412" t="s">
        <v>444</v>
      </c>
      <c r="I216" s="412"/>
      <c r="J216" s="412"/>
      <c r="K216" s="412"/>
      <c r="L216" s="412"/>
      <c r="M216" s="412"/>
      <c r="N216" s="412"/>
      <c r="O216" s="412"/>
      <c r="P216" s="412"/>
      <c r="Q216" s="412"/>
      <c r="R216" s="412"/>
      <c r="S216" s="412"/>
      <c r="T216" s="412"/>
      <c r="U216" s="412"/>
      <c r="V216" s="412"/>
      <c r="W216" s="412"/>
      <c r="X216" s="412"/>
      <c r="Y216" s="412"/>
      <c r="Z216" s="412"/>
      <c r="AA216" s="412"/>
      <c r="AC216" s="3">
        <f>IF(AND(B216="✔",N222&gt;=20),2,IF(AND(B216="✔",N222&gt;=10),1,0))</f>
        <v>0</v>
      </c>
    </row>
    <row r="217" spans="2:29" ht="13.5" customHeight="1" x14ac:dyDescent="0.2">
      <c r="C217" s="1" t="s">
        <v>92</v>
      </c>
      <c r="H217" s="412"/>
      <c r="I217" s="412"/>
      <c r="J217" s="412"/>
      <c r="K217" s="412"/>
      <c r="L217" s="412"/>
      <c r="M217" s="412"/>
      <c r="N217" s="412"/>
      <c r="O217" s="412"/>
      <c r="P217" s="412"/>
      <c r="Q217" s="412"/>
      <c r="R217" s="412"/>
      <c r="S217" s="412"/>
      <c r="T217" s="412"/>
      <c r="U217" s="412"/>
      <c r="V217" s="412"/>
      <c r="W217" s="412"/>
      <c r="X217" s="412"/>
      <c r="Y217" s="412"/>
      <c r="Z217" s="412"/>
      <c r="AA217" s="412"/>
    </row>
    <row r="218" spans="2:29" x14ac:dyDescent="0.2">
      <c r="C218" s="377" t="s">
        <v>158</v>
      </c>
      <c r="D218" s="378"/>
      <c r="E218" s="379"/>
      <c r="F218" s="51" t="str">
        <f>IF(AC216=0,"",AC216)</f>
        <v/>
      </c>
      <c r="H218" s="412"/>
      <c r="I218" s="412"/>
      <c r="J218" s="412"/>
      <c r="K218" s="412"/>
      <c r="L218" s="412"/>
      <c r="M218" s="412"/>
      <c r="N218" s="412"/>
      <c r="O218" s="412"/>
      <c r="P218" s="412"/>
      <c r="Q218" s="412"/>
      <c r="R218" s="412"/>
      <c r="S218" s="412"/>
      <c r="T218" s="412"/>
      <c r="U218" s="412"/>
      <c r="V218" s="412"/>
      <c r="W218" s="412"/>
      <c r="X218" s="412"/>
      <c r="Y218" s="412"/>
      <c r="Z218" s="412"/>
      <c r="AA218" s="412"/>
    </row>
    <row r="219" spans="2:29" x14ac:dyDescent="0.2">
      <c r="D219" s="37"/>
      <c r="E219" s="37"/>
      <c r="F219" s="37"/>
      <c r="H219" s="412"/>
      <c r="I219" s="412"/>
      <c r="J219" s="412"/>
      <c r="K219" s="412"/>
      <c r="L219" s="412"/>
      <c r="M219" s="412"/>
      <c r="N219" s="412"/>
      <c r="O219" s="412"/>
      <c r="P219" s="412"/>
      <c r="Q219" s="412"/>
      <c r="R219" s="412"/>
      <c r="S219" s="412"/>
      <c r="T219" s="412"/>
      <c r="U219" s="412"/>
      <c r="V219" s="412"/>
      <c r="W219" s="412"/>
      <c r="X219" s="412"/>
      <c r="Y219" s="412"/>
      <c r="Z219" s="412"/>
      <c r="AA219" s="412"/>
    </row>
    <row r="220" spans="2:29" ht="13.5" customHeight="1" x14ac:dyDescent="0.2">
      <c r="H220" s="412"/>
      <c r="I220" s="412"/>
      <c r="J220" s="412"/>
      <c r="K220" s="412"/>
      <c r="L220" s="412"/>
      <c r="M220" s="412"/>
      <c r="N220" s="412"/>
      <c r="O220" s="412"/>
      <c r="P220" s="412"/>
      <c r="Q220" s="412"/>
      <c r="R220" s="412"/>
      <c r="S220" s="412"/>
      <c r="T220" s="412"/>
      <c r="U220" s="412"/>
      <c r="V220" s="412"/>
      <c r="W220" s="412"/>
      <c r="X220" s="412"/>
      <c r="Y220" s="412"/>
      <c r="Z220" s="412"/>
      <c r="AA220" s="412"/>
    </row>
    <row r="221" spans="2:29" x14ac:dyDescent="0.2">
      <c r="C221" s="374" t="s">
        <v>169</v>
      </c>
      <c r="D221" s="374"/>
      <c r="E221" s="374"/>
      <c r="F221" s="374"/>
      <c r="G221" s="374"/>
      <c r="H221" s="374"/>
      <c r="I221" s="374"/>
      <c r="J221" s="374"/>
      <c r="K221" s="374"/>
      <c r="L221" s="374"/>
    </row>
    <row r="222" spans="2:29" x14ac:dyDescent="0.2">
      <c r="C222" s="374"/>
      <c r="D222" s="374"/>
      <c r="E222" s="374"/>
      <c r="F222" s="374"/>
      <c r="G222" s="374"/>
      <c r="H222" s="374"/>
      <c r="I222" s="374"/>
      <c r="J222" s="374"/>
      <c r="K222" s="374"/>
      <c r="L222" s="374"/>
      <c r="N222" s="288"/>
      <c r="O222" s="289"/>
      <c r="P222" s="290"/>
      <c r="Q222" s="1" t="s">
        <v>88</v>
      </c>
      <c r="AB222" s="4" t="str">
        <f>IF(AND(B216="✔",N222=""),"←小屋組又は床組みの県産材構造現し見上げ面積を入力してください。","")</f>
        <v/>
      </c>
    </row>
    <row r="223" spans="2:29" ht="42" customHeight="1" x14ac:dyDescent="0.2">
      <c r="C223" s="422" t="s">
        <v>443</v>
      </c>
      <c r="D223" s="422"/>
      <c r="E223" s="422"/>
      <c r="F223" s="422"/>
      <c r="G223" s="422"/>
      <c r="H223" s="422"/>
      <c r="I223" s="422"/>
      <c r="J223" s="422"/>
      <c r="K223" s="422"/>
      <c r="L223" s="422"/>
      <c r="M223" s="422"/>
      <c r="N223" s="422"/>
      <c r="O223" s="422"/>
      <c r="P223" s="422"/>
      <c r="Q223" s="422"/>
      <c r="R223" s="422"/>
      <c r="S223" s="422"/>
      <c r="T223" s="422"/>
      <c r="U223" s="422"/>
      <c r="V223" s="422"/>
      <c r="W223" s="422"/>
      <c r="X223" s="422"/>
      <c r="Y223" s="422"/>
      <c r="Z223" s="422"/>
      <c r="AA223" s="422"/>
    </row>
    <row r="224" spans="2:29" x14ac:dyDescent="0.2">
      <c r="B224" s="430" t="s">
        <v>159</v>
      </c>
      <c r="C224" s="430"/>
      <c r="D224" s="430"/>
      <c r="E224" s="430"/>
      <c r="F224" s="52" t="str">
        <f>IF(SUM(F173,F178,F185,F193,F201,F211,F218)=0,"",SUM(F173,F178,F185,F193,F201,F211,F218))</f>
        <v/>
      </c>
      <c r="G224" s="48"/>
      <c r="H224" s="48"/>
      <c r="I224" s="48"/>
      <c r="J224" s="48"/>
      <c r="K224" s="48"/>
      <c r="L224" s="48"/>
      <c r="M224" s="48"/>
      <c r="N224" s="48"/>
      <c r="O224" s="48"/>
      <c r="P224" s="48"/>
      <c r="Q224" s="48"/>
      <c r="R224" s="48"/>
      <c r="S224" s="48"/>
      <c r="T224" s="48"/>
      <c r="U224" s="48"/>
      <c r="V224" s="48"/>
      <c r="W224" s="48"/>
      <c r="X224" s="48"/>
      <c r="Y224" s="48"/>
      <c r="Z224" s="48"/>
      <c r="AA224" s="48"/>
    </row>
    <row r="225" spans="1:28" x14ac:dyDescent="0.2">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5" t="s">
        <v>70</v>
      </c>
    </row>
    <row r="226" spans="1:28" x14ac:dyDescent="0.2">
      <c r="K226" s="398">
        <f>IFERROR(IF(T230="","",T230+T231),T230)</f>
        <v>0</v>
      </c>
      <c r="L226" s="398"/>
      <c r="M226" s="398"/>
    </row>
    <row r="227" spans="1:28" x14ac:dyDescent="0.2">
      <c r="C227" s="1" t="s">
        <v>193</v>
      </c>
      <c r="K227" s="398"/>
      <c r="L227" s="398"/>
      <c r="M227" s="398"/>
      <c r="N227" s="1" t="s">
        <v>65</v>
      </c>
      <c r="AB227" s="61">
        <f>SUM(AB164,AB146,AB128,AB108,AB103,AB102,AB101)</f>
        <v>0</v>
      </c>
    </row>
    <row r="229" spans="1:28" x14ac:dyDescent="0.2">
      <c r="D229" s="1" t="s">
        <v>262</v>
      </c>
    </row>
    <row r="230" spans="1:28" ht="27" customHeight="1" x14ac:dyDescent="0.2">
      <c r="D230" s="419" t="s">
        <v>263</v>
      </c>
      <c r="E230" s="420"/>
      <c r="F230" s="420"/>
      <c r="G230" s="420"/>
      <c r="H230" s="420"/>
      <c r="I230" s="420"/>
      <c r="J230" s="420"/>
      <c r="K230" s="420"/>
      <c r="L230" s="420"/>
      <c r="M230" s="420"/>
      <c r="N230" s="420"/>
      <c r="O230" s="420"/>
      <c r="P230" s="420"/>
      <c r="Q230" s="420"/>
      <c r="R230" s="420"/>
      <c r="S230" s="421"/>
      <c r="T230" s="417">
        <f>IF(Y109="",0,MIN(SUM(Y109,Y128,Y146,Y164),100))</f>
        <v>0</v>
      </c>
      <c r="U230" s="418"/>
      <c r="V230" s="418"/>
      <c r="W230" s="10" t="s">
        <v>0</v>
      </c>
      <c r="X230" s="11"/>
    </row>
    <row r="231" spans="1:28" ht="28.5" customHeight="1" x14ac:dyDescent="0.2">
      <c r="D231" s="415" t="s">
        <v>264</v>
      </c>
      <c r="E231" s="416"/>
      <c r="F231" s="416"/>
      <c r="G231" s="416"/>
      <c r="H231" s="416"/>
      <c r="I231" s="416"/>
      <c r="J231" s="416"/>
      <c r="K231" s="416"/>
      <c r="L231" s="416"/>
      <c r="M231" s="416"/>
      <c r="N231" s="416"/>
      <c r="O231" s="416"/>
      <c r="P231" s="416"/>
      <c r="Q231" s="416"/>
      <c r="R231" s="416"/>
      <c r="S231" s="416"/>
      <c r="T231" s="417">
        <f>IF(B88="",IF(B68="",0,AB231),AB231)</f>
        <v>0</v>
      </c>
      <c r="U231" s="418"/>
      <c r="V231" s="418"/>
      <c r="W231" s="10" t="s">
        <v>0</v>
      </c>
      <c r="X231" s="11"/>
      <c r="AB231" s="3" t="str">
        <f>IF(U57="","",IF(AND(B62="",B65=""),"",IF(AND(B62="✔",B65="✔"),"error",IF(B82="✔",IF(U57="T-G1",5,IF(U57="T-G2",15,IF(U57="T-G3",25,0))),(IF(U57="T-G1",10,IF(U57="T-G2",30,IF(U57="T-G3",50,0)))))))+IF(B78="",IF(B80="",IF(B82="",(IF(AND(B59="✔",U62="『ZEH』"),50,IF(AND(B59="✔",U62="Nearly ZEH（多雪地域に限る）"),50,0)))))))</f>
        <v/>
      </c>
    </row>
    <row r="234" spans="1:28" x14ac:dyDescent="0.2">
      <c r="A234" s="13" t="s">
        <v>77</v>
      </c>
    </row>
    <row r="236" spans="1:28" x14ac:dyDescent="0.2">
      <c r="C236" s="1" t="s">
        <v>424</v>
      </c>
    </row>
    <row r="237" spans="1:28" x14ac:dyDescent="0.2">
      <c r="C237" s="22" t="s">
        <v>106</v>
      </c>
    </row>
    <row r="239" spans="1:28" x14ac:dyDescent="0.2">
      <c r="C239" s="1" t="s">
        <v>196</v>
      </c>
    </row>
    <row r="240" spans="1:28" x14ac:dyDescent="0.2">
      <c r="C240" s="1" t="s">
        <v>423</v>
      </c>
    </row>
    <row r="241" spans="3:55" x14ac:dyDescent="0.2">
      <c r="C241" s="1" t="str">
        <f>IF(I52="要","検査済み証の写し",IF(I52="不要","建築工事届の写し",""))</f>
        <v/>
      </c>
    </row>
    <row r="242" spans="3:55" x14ac:dyDescent="0.2">
      <c r="C242" s="1" t="str">
        <f>IF(B84="✔","変更後の各階平面図、配置図","")</f>
        <v/>
      </c>
    </row>
    <row r="243" spans="3:55" x14ac:dyDescent="0.2">
      <c r="C243" s="1" t="s">
        <v>197</v>
      </c>
    </row>
    <row r="244" spans="3:55" x14ac:dyDescent="0.2">
      <c r="C244" s="1" t="s">
        <v>433</v>
      </c>
    </row>
    <row r="245" spans="3:55" ht="26.25" customHeight="1" x14ac:dyDescent="0.2">
      <c r="C245" s="414" t="str">
        <f>IF(B90="","","県内プレカット加工証明書（様式第９号）の原本若しくはその写し又はプレカット工場が記載された鳥取県産材活用協議会が発行する県産材の産地証明書写し")</f>
        <v/>
      </c>
      <c r="D245" s="414"/>
      <c r="E245" s="414"/>
      <c r="F245" s="414"/>
      <c r="G245" s="414"/>
      <c r="H245" s="414"/>
      <c r="I245" s="414"/>
      <c r="J245" s="414"/>
      <c r="K245" s="414"/>
      <c r="L245" s="414"/>
      <c r="M245" s="414"/>
      <c r="N245" s="414"/>
      <c r="O245" s="414"/>
      <c r="P245" s="414"/>
      <c r="Q245" s="414"/>
      <c r="R245" s="414"/>
      <c r="S245" s="414"/>
      <c r="T245" s="414"/>
      <c r="U245" s="414"/>
      <c r="V245" s="414"/>
      <c r="W245" s="414"/>
      <c r="X245" s="414"/>
      <c r="Y245" s="414"/>
      <c r="Z245" s="414"/>
      <c r="AA245" s="414"/>
    </row>
    <row r="246" spans="3:55" ht="33.9" customHeight="1" x14ac:dyDescent="0.2">
      <c r="C246" s="414" t="str">
        <f>IF(Y102="","","鳥取県木材協同組合連合会が発行する日本農林規格県産材（ＪＡＳ格付及び含水率20%以下）であることを証明する書類等")</f>
        <v/>
      </c>
      <c r="D246" s="414"/>
      <c r="E246" s="414"/>
      <c r="F246" s="414"/>
      <c r="G246" s="414"/>
      <c r="H246" s="414"/>
      <c r="I246" s="414"/>
      <c r="J246" s="414"/>
      <c r="K246" s="414"/>
      <c r="L246" s="414"/>
      <c r="M246" s="414"/>
      <c r="N246" s="414"/>
      <c r="O246" s="414"/>
      <c r="P246" s="414"/>
      <c r="Q246" s="414"/>
      <c r="R246" s="414"/>
      <c r="S246" s="414"/>
      <c r="T246" s="414"/>
      <c r="U246" s="414"/>
      <c r="V246" s="414"/>
      <c r="W246" s="414"/>
      <c r="X246" s="414"/>
      <c r="Y246" s="414"/>
      <c r="Z246" s="414"/>
      <c r="AA246" s="414"/>
    </row>
    <row r="247" spans="3:55" x14ac:dyDescent="0.2">
      <c r="C247" s="414" t="str">
        <f>IF(Y106="","","県産ヤング係数確認構造材一覧表（様式第８号）又は同等の内容を記載した証明書類若しくはその写し")</f>
        <v/>
      </c>
      <c r="D247" s="414"/>
      <c r="E247" s="414"/>
      <c r="F247" s="414"/>
      <c r="G247" s="414"/>
      <c r="H247" s="414"/>
      <c r="I247" s="414"/>
      <c r="J247" s="414"/>
      <c r="K247" s="414"/>
      <c r="L247" s="414"/>
      <c r="M247" s="414"/>
      <c r="N247" s="414"/>
      <c r="O247" s="414"/>
      <c r="P247" s="414"/>
      <c r="Q247" s="414"/>
      <c r="R247" s="414"/>
      <c r="S247" s="414"/>
      <c r="T247" s="414"/>
      <c r="U247" s="414"/>
      <c r="V247" s="414"/>
      <c r="W247" s="414"/>
      <c r="X247" s="414"/>
      <c r="Y247" s="414"/>
      <c r="Z247" s="414"/>
      <c r="AA247" s="414"/>
    </row>
    <row r="248" spans="3:55" x14ac:dyDescent="0.2">
      <c r="C248" s="414" t="str">
        <f>IF(Q107="","","県産CLT材であることを証明する書類（納品書等）")</f>
        <v/>
      </c>
      <c r="D248" s="414"/>
      <c r="E248" s="414"/>
      <c r="F248" s="414"/>
      <c r="G248" s="414"/>
      <c r="H248" s="414"/>
      <c r="I248" s="414"/>
      <c r="J248" s="414"/>
      <c r="K248" s="414"/>
      <c r="L248" s="414"/>
      <c r="M248" s="414"/>
      <c r="N248" s="414"/>
      <c r="O248" s="414"/>
      <c r="P248" s="414"/>
      <c r="Q248" s="414"/>
      <c r="R248" s="414"/>
      <c r="S248" s="414"/>
      <c r="T248" s="414"/>
      <c r="U248" s="414"/>
      <c r="V248" s="414"/>
      <c r="W248" s="414"/>
      <c r="X248" s="414"/>
      <c r="Y248" s="414"/>
      <c r="Z248" s="414"/>
      <c r="AA248" s="414"/>
    </row>
    <row r="249" spans="3:55" ht="56.4" customHeight="1" x14ac:dyDescent="0.2">
      <c r="C249" s="374" t="str">
        <f>IF(Q108="","","県産内外装材の見付面積及び使用場所を図示した立面図、展開図等の図面並びに含水率の測定結果写真（鳥取県木材協同組合連合会が発行する日本農林規格県産材であることを証明する書類の写しで含水率20%以下であることを証することができる場合を除く。）、内外装材に係る県産材の産地証明書の写し")</f>
        <v/>
      </c>
      <c r="D249" s="374"/>
      <c r="E249" s="374"/>
      <c r="F249" s="374"/>
      <c r="G249" s="374"/>
      <c r="H249" s="374"/>
      <c r="I249" s="374"/>
      <c r="J249" s="374"/>
      <c r="K249" s="374"/>
      <c r="L249" s="374"/>
      <c r="M249" s="374"/>
      <c r="N249" s="374"/>
      <c r="O249" s="374"/>
      <c r="P249" s="374"/>
      <c r="Q249" s="374"/>
      <c r="R249" s="374"/>
      <c r="S249" s="374"/>
      <c r="T249" s="374"/>
      <c r="U249" s="374"/>
      <c r="V249" s="374"/>
      <c r="W249" s="374"/>
      <c r="X249" s="374"/>
      <c r="Y249" s="374"/>
      <c r="Z249" s="374"/>
      <c r="AA249" s="374"/>
      <c r="AB249" s="67" t="s">
        <v>201</v>
      </c>
      <c r="AC249" s="67"/>
      <c r="AD249" s="67"/>
      <c r="AE249" s="67"/>
      <c r="AF249" s="67"/>
      <c r="AG249" s="67"/>
      <c r="AH249" s="67"/>
      <c r="AI249" s="67"/>
      <c r="AJ249" s="67"/>
      <c r="AK249" s="67"/>
    </row>
    <row r="250" spans="3:55" ht="13.5" customHeight="1" x14ac:dyDescent="0.2">
      <c r="C250" s="374" t="str">
        <f>IF(AC250="はい","登録された建売住宅（登録住宅）を購入した場合は、その購入契約書の写し","")</f>
        <v/>
      </c>
      <c r="D250" s="374"/>
      <c r="E250" s="374"/>
      <c r="F250" s="374"/>
      <c r="G250" s="374"/>
      <c r="H250" s="374"/>
      <c r="I250" s="374"/>
      <c r="J250" s="374"/>
      <c r="K250" s="374"/>
      <c r="L250" s="374"/>
      <c r="M250" s="374"/>
      <c r="N250" s="374"/>
      <c r="O250" s="374"/>
      <c r="P250" s="374"/>
      <c r="Q250" s="374"/>
      <c r="R250" s="374"/>
      <c r="S250" s="374"/>
      <c r="T250" s="374"/>
      <c r="U250" s="374"/>
      <c r="V250" s="374"/>
      <c r="W250" s="374"/>
      <c r="X250" s="374"/>
      <c r="Y250" s="374"/>
      <c r="Z250" s="374"/>
      <c r="AA250" s="374"/>
      <c r="AB250" s="67" t="s">
        <v>199</v>
      </c>
      <c r="AC250" s="68" t="s">
        <v>200</v>
      </c>
      <c r="AE250" s="67" t="s">
        <v>202</v>
      </c>
      <c r="AT250" s="1"/>
      <c r="AU250" s="1"/>
      <c r="AV250" s="1"/>
      <c r="AW250" s="1"/>
      <c r="AX250" s="1"/>
      <c r="AY250" s="1"/>
      <c r="AZ250" s="1"/>
      <c r="BA250" s="1"/>
      <c r="BB250" s="1"/>
      <c r="BC250" s="1"/>
    </row>
    <row r="251" spans="3:55" ht="13.5" customHeight="1" x14ac:dyDescent="0.2">
      <c r="C251" s="374" t="str">
        <f>IF(OR(Y128=0,Y128=""),"","補助対象住宅に転居後の世帯全員の住民票")</f>
        <v/>
      </c>
      <c r="D251" s="374"/>
      <c r="E251" s="374"/>
      <c r="F251" s="374"/>
      <c r="G251" s="374"/>
      <c r="H251" s="374"/>
      <c r="I251" s="374"/>
      <c r="J251" s="374"/>
      <c r="K251" s="374"/>
      <c r="L251" s="374"/>
      <c r="M251" s="374"/>
      <c r="N251" s="374"/>
      <c r="O251" s="374"/>
      <c r="P251" s="374"/>
      <c r="Q251" s="374"/>
      <c r="R251" s="374"/>
      <c r="S251" s="374"/>
      <c r="T251" s="374"/>
      <c r="U251" s="374"/>
      <c r="V251" s="374"/>
      <c r="W251" s="374"/>
      <c r="X251" s="374"/>
      <c r="Y251" s="374"/>
      <c r="Z251" s="374"/>
      <c r="AA251" s="374"/>
    </row>
    <row r="252" spans="3:55" ht="13.5" customHeight="1" x14ac:dyDescent="0.2">
      <c r="C252" s="374" t="str">
        <f>IF(AND(Y128=10,B130="",P130="✔"),"申請者の戸籍抄本、申請者の戸籍謄本","")</f>
        <v/>
      </c>
      <c r="D252" s="374"/>
      <c r="E252" s="374"/>
      <c r="F252" s="374"/>
      <c r="G252" s="374"/>
      <c r="H252" s="374"/>
      <c r="I252" s="374"/>
      <c r="J252" s="374"/>
      <c r="K252" s="374"/>
      <c r="L252" s="374"/>
      <c r="M252" s="374"/>
      <c r="N252" s="374"/>
      <c r="O252" s="374"/>
      <c r="P252" s="374"/>
      <c r="Q252" s="374"/>
      <c r="R252" s="374"/>
      <c r="S252" s="374"/>
      <c r="T252" s="374"/>
      <c r="U252" s="374"/>
      <c r="V252" s="374"/>
      <c r="W252" s="374"/>
      <c r="X252" s="374"/>
      <c r="Y252" s="374"/>
      <c r="Z252" s="374"/>
      <c r="AA252" s="374"/>
      <c r="AB252" s="66" t="str">
        <f>IF(C252="","","申請者の戸籍抄本、申請者の戸籍謄本、誓約書のうちいづれか一つを添付してください。")</f>
        <v/>
      </c>
      <c r="AI252" s="1"/>
    </row>
    <row r="253" spans="3:55" ht="13.5" customHeight="1" x14ac:dyDescent="0.2">
      <c r="C253" s="374" t="str">
        <f>IF(Y146="","","補助対象住宅に転居後の同居又は近居の対象となる直系親族世帯全員の住民票")</f>
        <v/>
      </c>
      <c r="D253" s="374"/>
      <c r="E253" s="374"/>
      <c r="F253" s="374"/>
      <c r="G253" s="374"/>
      <c r="H253" s="374"/>
      <c r="I253" s="374"/>
      <c r="J253" s="374"/>
      <c r="K253" s="374"/>
      <c r="L253" s="374"/>
      <c r="M253" s="374"/>
      <c r="N253" s="374"/>
      <c r="O253" s="374"/>
      <c r="P253" s="374"/>
      <c r="Q253" s="374"/>
      <c r="R253" s="374"/>
      <c r="S253" s="374"/>
      <c r="T253" s="374"/>
      <c r="U253" s="374"/>
      <c r="V253" s="374"/>
      <c r="W253" s="374"/>
      <c r="X253" s="374"/>
      <c r="Y253" s="374"/>
      <c r="Z253" s="374"/>
      <c r="AA253" s="374"/>
    </row>
    <row r="254" spans="3:55" ht="13.2" customHeight="1" x14ac:dyDescent="0.2">
      <c r="C254" s="374" t="str">
        <f>IF(Y146="","","同居又は近居する直系親族と姓が異なる場合は、申請者の戸籍謄本等直系親族とわかる書類")</f>
        <v/>
      </c>
      <c r="D254" s="374"/>
      <c r="E254" s="374"/>
      <c r="F254" s="374"/>
      <c r="G254" s="374"/>
      <c r="H254" s="374"/>
      <c r="I254" s="374"/>
      <c r="J254" s="374"/>
      <c r="K254" s="374"/>
      <c r="L254" s="374"/>
      <c r="M254" s="374"/>
      <c r="N254" s="374"/>
      <c r="O254" s="374"/>
      <c r="P254" s="374"/>
      <c r="Q254" s="374"/>
      <c r="R254" s="374"/>
      <c r="S254" s="374"/>
      <c r="T254" s="374"/>
      <c r="U254" s="374"/>
      <c r="V254" s="374"/>
      <c r="W254" s="374"/>
      <c r="X254" s="374"/>
      <c r="Y254" s="374"/>
      <c r="Z254" s="374"/>
      <c r="AA254" s="374"/>
    </row>
    <row r="255" spans="3:55" ht="13.5" customHeight="1" x14ac:dyDescent="0.2">
      <c r="C255" s="374" t="str">
        <f>IF(AND(B168="✔",OR(B176="✔",B183="✔",B191="✔",B199="✔",B209="✔",B216="✔")),"各伝統技能（手刻み加工を除く。）の施工面積及び施工箇所を図示した立面図、展開図等の図面","")</f>
        <v/>
      </c>
      <c r="D255" s="374"/>
      <c r="E255" s="374"/>
      <c r="F255" s="374"/>
      <c r="G255" s="374"/>
      <c r="H255" s="374"/>
      <c r="I255" s="374"/>
      <c r="J255" s="374"/>
      <c r="K255" s="374"/>
      <c r="L255" s="374"/>
      <c r="M255" s="374"/>
      <c r="N255" s="374"/>
      <c r="O255" s="374"/>
      <c r="P255" s="374"/>
      <c r="Q255" s="374"/>
      <c r="R255" s="374"/>
      <c r="S255" s="374"/>
      <c r="T255" s="374"/>
      <c r="U255" s="374"/>
      <c r="V255" s="374"/>
      <c r="W255" s="374"/>
      <c r="X255" s="374"/>
      <c r="Y255" s="374"/>
      <c r="Z255" s="374"/>
      <c r="AA255" s="374"/>
    </row>
    <row r="256" spans="3:55" ht="13.5" customHeight="1" x14ac:dyDescent="0.2">
      <c r="C256" s="374" t="str">
        <f>IF(B171="","","手刻み加工で仕口、継手等を加工している写真（建築主名を記載した工事看板を写し込んだもの）")</f>
        <v/>
      </c>
      <c r="D256" s="374"/>
      <c r="E256" s="374"/>
      <c r="F256" s="374"/>
      <c r="G256" s="374"/>
      <c r="H256" s="374"/>
      <c r="I256" s="374"/>
      <c r="J256" s="374"/>
      <c r="K256" s="374"/>
      <c r="L256" s="374"/>
      <c r="M256" s="374"/>
      <c r="N256" s="374"/>
      <c r="O256" s="374"/>
      <c r="P256" s="374"/>
      <c r="Q256" s="374"/>
      <c r="R256" s="374"/>
      <c r="S256" s="374"/>
      <c r="T256" s="374"/>
      <c r="U256" s="374"/>
      <c r="V256" s="374"/>
      <c r="W256" s="374"/>
      <c r="X256" s="374"/>
      <c r="Y256" s="374"/>
      <c r="Z256" s="374"/>
      <c r="AA256" s="374"/>
    </row>
    <row r="257" spans="1:55" ht="13.5" customHeight="1" x14ac:dyDescent="0.2">
      <c r="C257" s="374" t="str">
        <f>IF(B176="","","下見板張り施工後の写真（建築主名を記載した工事看板を写し込んだもの）")</f>
        <v/>
      </c>
      <c r="D257" s="374"/>
      <c r="E257" s="374"/>
      <c r="F257" s="374"/>
      <c r="G257" s="374"/>
      <c r="H257" s="374"/>
      <c r="I257" s="374"/>
      <c r="J257" s="374"/>
      <c r="K257" s="374"/>
      <c r="L257" s="374"/>
      <c r="M257" s="374"/>
      <c r="N257" s="374"/>
      <c r="O257" s="374"/>
      <c r="P257" s="374"/>
      <c r="Q257" s="374"/>
      <c r="R257" s="374"/>
      <c r="S257" s="374"/>
      <c r="T257" s="374"/>
      <c r="U257" s="374"/>
      <c r="V257" s="374"/>
      <c r="W257" s="374"/>
      <c r="X257" s="374"/>
      <c r="Y257" s="374"/>
      <c r="Z257" s="374"/>
      <c r="AA257" s="374"/>
    </row>
    <row r="258" spans="1:55" ht="13.5" customHeight="1" x14ac:dyDescent="0.2">
      <c r="C258" s="374" t="str">
        <f>IF(B183="","","左官仕上げのこて塗りが確認できる施工状況写真（建築主名を記載した工事看板を写し込んだもの）")</f>
        <v/>
      </c>
      <c r="D258" s="374"/>
      <c r="E258" s="374"/>
      <c r="F258" s="374"/>
      <c r="G258" s="374"/>
      <c r="H258" s="374"/>
      <c r="I258" s="374"/>
      <c r="J258" s="374"/>
      <c r="K258" s="374"/>
      <c r="L258" s="374"/>
      <c r="M258" s="374"/>
      <c r="N258" s="374"/>
      <c r="O258" s="374"/>
      <c r="P258" s="374"/>
      <c r="Q258" s="374"/>
      <c r="R258" s="374"/>
      <c r="S258" s="374"/>
      <c r="T258" s="374"/>
      <c r="U258" s="374"/>
      <c r="V258" s="374"/>
      <c r="W258" s="374"/>
      <c r="X258" s="374"/>
      <c r="Y258" s="374"/>
      <c r="Z258" s="374"/>
      <c r="AA258" s="374"/>
      <c r="AB258" s="66" t="str">
        <f>IF(C258="","","こて塗りで実際施工中の写真を添付してください（建築主名記載の工事看板入り）。")</f>
        <v/>
      </c>
    </row>
    <row r="259" spans="1:55" ht="30.75" customHeight="1" x14ac:dyDescent="0.2">
      <c r="C259" s="374" t="str">
        <f>IF(B191="","","瓦の留め付け状況及び棟の補強金物及び屋根下地への緊結状況がわかる写真（建築主名を記載した工事看板を写し込んだもの）")</f>
        <v/>
      </c>
      <c r="D259" s="374"/>
      <c r="E259" s="374"/>
      <c r="F259" s="374"/>
      <c r="G259" s="374"/>
      <c r="H259" s="374"/>
      <c r="I259" s="374"/>
      <c r="J259" s="374"/>
      <c r="K259" s="374"/>
      <c r="L259" s="374"/>
      <c r="M259" s="374"/>
      <c r="N259" s="374"/>
      <c r="O259" s="374"/>
      <c r="P259" s="374"/>
      <c r="Q259" s="374"/>
      <c r="R259" s="374"/>
      <c r="S259" s="374"/>
      <c r="T259" s="374"/>
      <c r="U259" s="374"/>
      <c r="V259" s="374"/>
      <c r="W259" s="374"/>
      <c r="X259" s="374"/>
      <c r="Y259" s="374"/>
      <c r="Z259" s="374"/>
      <c r="AA259" s="374"/>
      <c r="AB259" s="66" t="str">
        <f>IF(C259="","","瓦の施工作業中の写真を添付してください（建築主名記載の工事看板入り）。")</f>
        <v/>
      </c>
    </row>
    <row r="260" spans="1:55" ht="39" customHeight="1" x14ac:dyDescent="0.2">
      <c r="C260" s="374" t="str">
        <f>IF(B199="","","木製建具の種類及び見付面積が確認できる資料、設置完了後の写真（建具の種類ごとに建築主名、建具業者名及び建具の名称を記載した工事看板を写し込んだもの）及び当該木製建具に係る納品書の写し")</f>
        <v/>
      </c>
      <c r="D260" s="374"/>
      <c r="E260" s="374"/>
      <c r="F260" s="374"/>
      <c r="G260" s="374"/>
      <c r="H260" s="374"/>
      <c r="I260" s="374"/>
      <c r="J260" s="374"/>
      <c r="K260" s="374"/>
      <c r="L260" s="374"/>
      <c r="M260" s="374"/>
      <c r="N260" s="374"/>
      <c r="O260" s="374"/>
      <c r="P260" s="374"/>
      <c r="Q260" s="374"/>
      <c r="R260" s="374"/>
      <c r="S260" s="374"/>
      <c r="T260" s="374"/>
      <c r="U260" s="374"/>
      <c r="V260" s="374"/>
      <c r="W260" s="374"/>
      <c r="X260" s="374"/>
      <c r="Y260" s="374"/>
      <c r="Z260" s="374"/>
      <c r="AA260" s="374"/>
    </row>
    <row r="261" spans="1:55" ht="26.25" customHeight="1" x14ac:dyDescent="0.2">
      <c r="C261" s="374" t="str">
        <f>IF(B209="","","畳の設置完了後の写真（建築主名、畳業者名を記載した看板を写し込んだもの）及び当該畳に係る納品書の写し")</f>
        <v/>
      </c>
      <c r="D261" s="374"/>
      <c r="E261" s="374"/>
      <c r="F261" s="374"/>
      <c r="G261" s="374"/>
      <c r="H261" s="374"/>
      <c r="I261" s="374"/>
      <c r="J261" s="374"/>
      <c r="K261" s="374"/>
      <c r="L261" s="374"/>
      <c r="M261" s="374"/>
      <c r="N261" s="374"/>
      <c r="O261" s="374"/>
      <c r="P261" s="374"/>
      <c r="Q261" s="374"/>
      <c r="R261" s="374"/>
      <c r="S261" s="374"/>
      <c r="T261" s="374"/>
      <c r="U261" s="374"/>
      <c r="V261" s="374"/>
      <c r="W261" s="374"/>
      <c r="X261" s="374"/>
      <c r="Y261" s="374"/>
      <c r="Z261" s="374"/>
      <c r="AA261" s="374"/>
    </row>
    <row r="262" spans="1:55" ht="42.75" customHeight="1" x14ac:dyDescent="0.2">
      <c r="C262" s="374" t="str">
        <f>IF(B216="","","構造材現し　施工後の写真（建築主名を記載した工事看板を写し込んだもの）並びに主要なはり、桁及び母屋を記載した伏図（小屋伏図及び床伏図をいう。）に、居室で構造材現しになっているものを色分けした資料")</f>
        <v/>
      </c>
      <c r="D262" s="374"/>
      <c r="E262" s="374"/>
      <c r="F262" s="374"/>
      <c r="G262" s="374"/>
      <c r="H262" s="374"/>
      <c r="I262" s="374"/>
      <c r="J262" s="374"/>
      <c r="K262" s="374"/>
      <c r="L262" s="374"/>
      <c r="M262" s="374"/>
      <c r="N262" s="374"/>
      <c r="O262" s="374"/>
      <c r="P262" s="374"/>
      <c r="Q262" s="374"/>
      <c r="R262" s="374"/>
      <c r="S262" s="374"/>
      <c r="T262" s="374"/>
      <c r="U262" s="374"/>
      <c r="V262" s="374"/>
      <c r="W262" s="374"/>
      <c r="X262" s="374"/>
      <c r="Y262" s="374"/>
      <c r="Z262" s="374"/>
      <c r="AA262" s="374"/>
    </row>
    <row r="263" spans="1:55" ht="13.5" customHeight="1" x14ac:dyDescent="0.2">
      <c r="C263" s="413" t="str">
        <f>IF(AC264="はい","現地審査に関する通知書（竣工時）の写し","")</f>
        <v/>
      </c>
      <c r="D263" s="413"/>
      <c r="E263" s="413"/>
      <c r="F263" s="413"/>
      <c r="G263" s="413"/>
      <c r="H263" s="413"/>
      <c r="I263" s="413"/>
      <c r="J263" s="413"/>
      <c r="K263" s="413"/>
      <c r="L263" s="413"/>
      <c r="M263" s="413"/>
      <c r="N263" s="413"/>
      <c r="O263" s="413"/>
      <c r="P263" s="413"/>
      <c r="Q263" s="413"/>
      <c r="R263" s="413"/>
      <c r="S263" s="413"/>
      <c r="T263" s="413"/>
      <c r="U263" s="413"/>
      <c r="V263" s="413"/>
      <c r="W263" s="413"/>
      <c r="X263" s="413"/>
      <c r="Y263" s="413"/>
      <c r="Z263" s="413"/>
      <c r="AA263" s="413"/>
      <c r="AB263" s="67" t="s">
        <v>198</v>
      </c>
      <c r="AC263" s="67"/>
      <c r="AD263" s="67"/>
      <c r="AE263" s="67"/>
      <c r="AF263" s="67"/>
      <c r="AG263" s="67"/>
      <c r="AH263" s="67"/>
      <c r="AI263" s="67"/>
      <c r="AJ263" s="67"/>
      <c r="AK263" s="67"/>
    </row>
    <row r="264" spans="1:55" ht="13.5" customHeight="1" x14ac:dyDescent="0.2">
      <c r="C264" s="1" t="str">
        <f>IF(B62="","","ZEHを証する書類")</f>
        <v/>
      </c>
      <c r="AB264" s="67" t="s">
        <v>199</v>
      </c>
      <c r="AC264" s="68" t="s">
        <v>200</v>
      </c>
      <c r="AU264" s="1"/>
      <c r="AV264" s="1"/>
      <c r="AW264" s="1"/>
      <c r="AX264" s="1"/>
      <c r="AY264" s="1"/>
      <c r="AZ264" s="1"/>
      <c r="BA264" s="1"/>
      <c r="BB264" s="1"/>
      <c r="BC264" s="1"/>
    </row>
    <row r="265" spans="1:55" ht="13.5" customHeight="1" x14ac:dyDescent="0.2">
      <c r="C265" s="1" t="str">
        <f>IF(B57="","","とっとり健康省エネ住宅認定証の写し")</f>
        <v/>
      </c>
      <c r="AB265" s="67"/>
      <c r="AC265" s="108"/>
      <c r="AU265" s="1"/>
      <c r="AV265" s="1"/>
      <c r="AW265" s="1"/>
      <c r="AX265" s="1"/>
      <c r="AY265" s="1"/>
      <c r="AZ265" s="1"/>
      <c r="BA265" s="1"/>
      <c r="BB265" s="1"/>
      <c r="BC265" s="1"/>
    </row>
    <row r="266" spans="1:55" ht="13.5" customHeight="1" x14ac:dyDescent="0.2">
      <c r="C266" s="1" t="str">
        <f>IF(Q108="",IF(B68="","","県産内外装材の見付面積及び使用場所を示した立面図、展開図等の図面"),"")</f>
        <v/>
      </c>
      <c r="AB266" s="67"/>
      <c r="AC266" s="108"/>
      <c r="AU266" s="1"/>
      <c r="AV266" s="1"/>
      <c r="AW266" s="1"/>
      <c r="AX266" s="1"/>
      <c r="AY266" s="1"/>
      <c r="AZ266" s="1"/>
      <c r="BA266" s="1"/>
      <c r="BB266" s="1"/>
      <c r="BC266" s="1"/>
    </row>
    <row r="267" spans="1:55" ht="13.5" customHeight="1" x14ac:dyDescent="0.2">
      <c r="W267" s="48"/>
      <c r="X267" s="48"/>
      <c r="Y267" s="48"/>
      <c r="Z267" s="48"/>
      <c r="AA267" s="5"/>
    </row>
    <row r="268" spans="1:55" x14ac:dyDescent="0.2">
      <c r="A268" s="374" t="s">
        <v>425</v>
      </c>
      <c r="B268" s="374"/>
      <c r="C268" s="374"/>
      <c r="D268" s="374"/>
      <c r="E268" s="374"/>
      <c r="F268" s="374"/>
      <c r="G268" s="374"/>
      <c r="H268" s="374"/>
      <c r="I268" s="374"/>
      <c r="J268" s="374"/>
      <c r="K268" s="374"/>
      <c r="L268" s="374"/>
      <c r="M268" s="374"/>
      <c r="N268" s="374"/>
      <c r="O268" s="374"/>
      <c r="P268" s="374"/>
      <c r="Q268" s="374"/>
      <c r="R268" s="374"/>
      <c r="S268" s="374"/>
      <c r="T268" s="374"/>
      <c r="U268" s="374"/>
      <c r="V268" s="374"/>
      <c r="W268" s="374"/>
      <c r="X268" s="374"/>
      <c r="Y268" s="374"/>
      <c r="Z268" s="374"/>
      <c r="AA268" s="374"/>
    </row>
    <row r="269" spans="1:55" x14ac:dyDescent="0.2">
      <c r="A269" s="374"/>
      <c r="B269" s="374"/>
      <c r="C269" s="374"/>
      <c r="D269" s="374"/>
      <c r="E269" s="374"/>
      <c r="F269" s="374"/>
      <c r="G269" s="374"/>
      <c r="H269" s="374"/>
      <c r="I269" s="374"/>
      <c r="J269" s="374"/>
      <c r="K269" s="374"/>
      <c r="L269" s="374"/>
      <c r="M269" s="374"/>
      <c r="N269" s="374"/>
      <c r="O269" s="374"/>
      <c r="P269" s="374"/>
      <c r="Q269" s="374"/>
      <c r="R269" s="374"/>
      <c r="S269" s="374"/>
      <c r="T269" s="374"/>
      <c r="U269" s="374"/>
      <c r="V269" s="374"/>
      <c r="W269" s="374"/>
      <c r="X269" s="374"/>
      <c r="Y269" s="374"/>
      <c r="Z269" s="374"/>
      <c r="AA269" s="374"/>
    </row>
    <row r="271" spans="1:55" ht="17.25" customHeight="1" x14ac:dyDescent="0.2">
      <c r="J271" s="423" t="s">
        <v>191</v>
      </c>
      <c r="K271" s="424"/>
      <c r="L271" s="424"/>
      <c r="M271" s="424"/>
      <c r="N271" s="424"/>
      <c r="O271" s="424"/>
      <c r="P271" s="424" t="str">
        <f>IF('要入力　交付決定状況入力シート'!C74&lt;&gt;0,'要入力　交付決定状況入力シート'!C74,"")</f>
        <v/>
      </c>
      <c r="Q271" s="424"/>
      <c r="R271" s="424"/>
      <c r="S271" s="424"/>
      <c r="T271" s="424"/>
      <c r="U271" s="424"/>
      <c r="V271" s="424"/>
      <c r="W271" s="424"/>
      <c r="X271" s="424"/>
      <c r="Y271" s="424"/>
      <c r="Z271" s="424"/>
      <c r="AA271" s="424"/>
      <c r="AB271" s="4" t="str">
        <f>IF(P271="","←工事監理者氏名（工事監理者が不要な場合は工事施工者氏名を選択し、当該内容）を入力してください。","")</f>
        <v>←工事監理者氏名（工事監理者が不要な場合は工事施工者氏名を選択し、当該内容）を入力してください。</v>
      </c>
    </row>
    <row r="272" spans="1:55" ht="17.25" customHeight="1" x14ac:dyDescent="0.2">
      <c r="J272" s="318" t="s">
        <v>160</v>
      </c>
      <c r="K272" s="318"/>
      <c r="L272" s="318"/>
      <c r="M272" s="318"/>
      <c r="N272" s="318"/>
      <c r="O272" s="318"/>
      <c r="P272" s="424" t="str">
        <f>IF('要入力　交付決定状況入力シート'!C75&lt;&gt;0,'要入力　交付決定状況入力シート'!C75,"")</f>
        <v/>
      </c>
      <c r="Q272" s="424"/>
      <c r="R272" s="424"/>
      <c r="S272" s="424"/>
      <c r="T272" s="424"/>
      <c r="U272" s="424"/>
      <c r="V272" s="424"/>
      <c r="W272" s="424"/>
      <c r="X272" s="424"/>
      <c r="Y272" s="424"/>
      <c r="Z272" s="424"/>
      <c r="AA272" s="424"/>
      <c r="AB272" s="4" t="str">
        <f>IF(P272="","←建築士事務所名を入力してください。","")</f>
        <v>←建築士事務所名を入力してください。</v>
      </c>
    </row>
    <row r="273" spans="1:28" ht="17.25" customHeight="1" x14ac:dyDescent="0.2">
      <c r="J273" s="315" t="s">
        <v>161</v>
      </c>
      <c r="K273" s="316"/>
      <c r="L273" s="316"/>
      <c r="M273" s="316"/>
      <c r="N273" s="316"/>
      <c r="O273" s="317"/>
      <c r="P273" s="295" t="s">
        <v>49</v>
      </c>
      <c r="Q273" s="296"/>
      <c r="R273" s="296"/>
      <c r="S273" s="296"/>
      <c r="T273" s="289" t="str">
        <f>IF('要入力　交付決定状況入力シート'!C76&lt;&gt;0,'要入力　交付決定状況入力シート'!C76,"")</f>
        <v/>
      </c>
      <c r="U273" s="289"/>
      <c r="V273" s="289"/>
      <c r="W273" s="289"/>
      <c r="X273" s="289"/>
      <c r="Y273" s="289"/>
      <c r="Z273" s="289"/>
      <c r="AA273" s="290"/>
      <c r="AB273" s="4" t="str">
        <f>IF(T273="","←建築士事務所の登録区分を選択（１級、２級、木造）してください。","")</f>
        <v>←建築士事務所の登録区分を選択（１級、２級、木造）してください。</v>
      </c>
    </row>
    <row r="274" spans="1:28" ht="17.25" customHeight="1" x14ac:dyDescent="0.2">
      <c r="J274" s="427"/>
      <c r="K274" s="428"/>
      <c r="L274" s="428"/>
      <c r="M274" s="428"/>
      <c r="N274" s="428"/>
      <c r="O274" s="429"/>
      <c r="P274" s="295" t="s">
        <v>163</v>
      </c>
      <c r="Q274" s="296"/>
      <c r="R274" s="296"/>
      <c r="S274" s="296"/>
      <c r="T274" s="289" t="str">
        <f>IF('要入力　交付決定状況入力シート'!C77&lt;&gt;0,'要入力　交付決定状況入力シート'!C77,"")</f>
        <v/>
      </c>
      <c r="U274" s="289"/>
      <c r="V274" s="289"/>
      <c r="W274" s="289"/>
      <c r="X274" s="289"/>
      <c r="Y274" s="289"/>
      <c r="Z274" s="296" t="s">
        <v>164</v>
      </c>
      <c r="AA274" s="297"/>
      <c r="AB274" s="4" t="str">
        <f>IF(T274="","←建築士事務所の登録を受けた都道府県名入力してください。","")</f>
        <v>←建築士事務所の登録を受けた都道府県名入力してください。</v>
      </c>
    </row>
    <row r="275" spans="1:28" ht="17.25" customHeight="1" x14ac:dyDescent="0.2">
      <c r="J275" s="347"/>
      <c r="K275" s="348"/>
      <c r="L275" s="348"/>
      <c r="M275" s="348"/>
      <c r="N275" s="348"/>
      <c r="O275" s="349"/>
      <c r="P275" s="295" t="s">
        <v>162</v>
      </c>
      <c r="Q275" s="296"/>
      <c r="R275" s="296"/>
      <c r="S275" s="296"/>
      <c r="T275" s="289" t="str">
        <f>IF('要入力　交付決定状況入力シート'!C78&lt;&gt;0,'要入力　交付決定状況入力シート'!C78,"")</f>
        <v/>
      </c>
      <c r="U275" s="289"/>
      <c r="V275" s="289"/>
      <c r="W275" s="289"/>
      <c r="X275" s="289"/>
      <c r="Y275" s="289"/>
      <c r="Z275" s="289"/>
      <c r="AA275" s="290"/>
      <c r="AB275" s="4" t="str">
        <f>IF(T275="","←建築士事務所の登録番号を入力してください。","")</f>
        <v>←建築士事務所の登録番号を入力してください。</v>
      </c>
    </row>
    <row r="276" spans="1:28" x14ac:dyDescent="0.2">
      <c r="A276" s="1" t="s">
        <v>184</v>
      </c>
    </row>
    <row r="277" spans="1:28" ht="31.5" customHeight="1" x14ac:dyDescent="0.2">
      <c r="A277" s="374" t="s">
        <v>192</v>
      </c>
      <c r="B277" s="374"/>
      <c r="C277" s="374"/>
      <c r="D277" s="374"/>
      <c r="E277" s="374"/>
      <c r="F277" s="374"/>
      <c r="G277" s="374"/>
      <c r="H277" s="374"/>
      <c r="I277" s="374"/>
      <c r="J277" s="374"/>
      <c r="K277" s="374"/>
      <c r="L277" s="374"/>
      <c r="M277" s="374"/>
      <c r="N277" s="374"/>
      <c r="O277" s="374"/>
      <c r="P277" s="374"/>
      <c r="Q277" s="374"/>
      <c r="R277" s="374"/>
      <c r="S277" s="374"/>
      <c r="T277" s="374"/>
      <c r="U277" s="374"/>
      <c r="V277" s="374"/>
      <c r="W277" s="374"/>
      <c r="X277" s="374"/>
      <c r="Y277" s="374"/>
      <c r="Z277" s="374"/>
      <c r="AA277" s="374"/>
    </row>
  </sheetData>
  <sheetProtection algorithmName="SHA-512" hashValue="4FBZaF+4wKLy3AugGW9yxxeUSnekABhdsFHMuc9VxAe/PRMlInCrrALbo7bCuUVRnDstg7Szcz5ABbwZsPjdKA==" saltValue="O226Gp9muZp08T5stiJBYA==" spinCount="100000" sheet="1" selectLockedCells="1"/>
  <mergeCells count="219">
    <mergeCell ref="U76:Z76"/>
    <mergeCell ref="C165:AA166"/>
    <mergeCell ref="Y162:AA163"/>
    <mergeCell ref="Y164:Z164"/>
    <mergeCell ref="B155:G155"/>
    <mergeCell ref="Y106:Z106"/>
    <mergeCell ref="H157:N157"/>
    <mergeCell ref="O157:Z157"/>
    <mergeCell ref="U101:X101"/>
    <mergeCell ref="B95:AA96"/>
    <mergeCell ref="D99:P99"/>
    <mergeCell ref="H155:N155"/>
    <mergeCell ref="B156:G157"/>
    <mergeCell ref="O155:Z155"/>
    <mergeCell ref="U107:X107"/>
    <mergeCell ref="U108:X108"/>
    <mergeCell ref="Q108:T108"/>
    <mergeCell ref="G103:P103"/>
    <mergeCell ref="H156:N156"/>
    <mergeCell ref="O156:Z156"/>
    <mergeCell ref="Y99:AA100"/>
    <mergeCell ref="Q100:T100"/>
    <mergeCell ref="A115:AA116"/>
    <mergeCell ref="G106:P106"/>
    <mergeCell ref="C173:E173"/>
    <mergeCell ref="H171:AA173"/>
    <mergeCell ref="B163:X164"/>
    <mergeCell ref="H209:AA210"/>
    <mergeCell ref="N211:P211"/>
    <mergeCell ref="C195:AA197"/>
    <mergeCell ref="H202:O202"/>
    <mergeCell ref="P202:AA202"/>
    <mergeCell ref="H203:O203"/>
    <mergeCell ref="P203:AA203"/>
    <mergeCell ref="H191:AA192"/>
    <mergeCell ref="H199:AA201"/>
    <mergeCell ref="N204:P204"/>
    <mergeCell ref="C193:E193"/>
    <mergeCell ref="C201:E201"/>
    <mergeCell ref="N194:P194"/>
    <mergeCell ref="N188:P188"/>
    <mergeCell ref="C174:AA174"/>
    <mergeCell ref="I194:L194"/>
    <mergeCell ref="C181:AA181"/>
    <mergeCell ref="N180:P180"/>
    <mergeCell ref="R188:U188"/>
    <mergeCell ref="V187:Z187"/>
    <mergeCell ref="V188:Z188"/>
    <mergeCell ref="C211:E211"/>
    <mergeCell ref="C205:AA207"/>
    <mergeCell ref="C178:E178"/>
    <mergeCell ref="C185:E185"/>
    <mergeCell ref="N179:S179"/>
    <mergeCell ref="R187:U187"/>
    <mergeCell ref="H177:O177"/>
    <mergeCell ref="H178:O178"/>
    <mergeCell ref="P177:AA177"/>
    <mergeCell ref="P178:AA178"/>
    <mergeCell ref="N187:P187"/>
    <mergeCell ref="C212:AA214"/>
    <mergeCell ref="C223:AA223"/>
    <mergeCell ref="C246:AA246"/>
    <mergeCell ref="A277:AA277"/>
    <mergeCell ref="P273:S273"/>
    <mergeCell ref="J271:O271"/>
    <mergeCell ref="P271:AA271"/>
    <mergeCell ref="J272:O272"/>
    <mergeCell ref="P272:AA272"/>
    <mergeCell ref="C216:G216"/>
    <mergeCell ref="T273:AA273"/>
    <mergeCell ref="C250:AA250"/>
    <mergeCell ref="C252:AA252"/>
    <mergeCell ref="C251:AA251"/>
    <mergeCell ref="C245:AA245"/>
    <mergeCell ref="J273:O275"/>
    <mergeCell ref="T274:Y274"/>
    <mergeCell ref="Z274:AA274"/>
    <mergeCell ref="P275:S275"/>
    <mergeCell ref="T275:AA275"/>
    <mergeCell ref="P274:S274"/>
    <mergeCell ref="B224:E224"/>
    <mergeCell ref="A268:AA269"/>
    <mergeCell ref="K226:M227"/>
    <mergeCell ref="H216:AA220"/>
    <mergeCell ref="C221:L222"/>
    <mergeCell ref="N222:P222"/>
    <mergeCell ref="C263:AA263"/>
    <mergeCell ref="C253:AA253"/>
    <mergeCell ref="C255:AA255"/>
    <mergeCell ref="C256:AA256"/>
    <mergeCell ref="C257:AA257"/>
    <mergeCell ref="C258:AA258"/>
    <mergeCell ref="C262:AA262"/>
    <mergeCell ref="C259:AA259"/>
    <mergeCell ref="C260:AA260"/>
    <mergeCell ref="C261:AA261"/>
    <mergeCell ref="C254:AA254"/>
    <mergeCell ref="C247:AA247"/>
    <mergeCell ref="C248:AA248"/>
    <mergeCell ref="C249:AA249"/>
    <mergeCell ref="D231:S231"/>
    <mergeCell ref="T231:V231"/>
    <mergeCell ref="D230:S230"/>
    <mergeCell ref="T230:V230"/>
    <mergeCell ref="C218:E218"/>
    <mergeCell ref="H15:I15"/>
    <mergeCell ref="K15:L15"/>
    <mergeCell ref="N19:Z19"/>
    <mergeCell ref="N20:Z20"/>
    <mergeCell ref="N18:Z18"/>
    <mergeCell ref="O17:Z17"/>
    <mergeCell ref="O37:R37"/>
    <mergeCell ref="W37:X37"/>
    <mergeCell ref="S37:V37"/>
    <mergeCell ref="C27:AA28"/>
    <mergeCell ref="E15:F15"/>
    <mergeCell ref="A23:AA23"/>
    <mergeCell ref="D36:H36"/>
    <mergeCell ref="I36:X36"/>
    <mergeCell ref="D37:H37"/>
    <mergeCell ref="G104:P104"/>
    <mergeCell ref="G105:P105"/>
    <mergeCell ref="Q103:T104"/>
    <mergeCell ref="Y146:Z146"/>
    <mergeCell ref="Y144:AA145"/>
    <mergeCell ref="C141:Z142"/>
    <mergeCell ref="Q131:AA132"/>
    <mergeCell ref="C134:N135"/>
    <mergeCell ref="Y109:Z109"/>
    <mergeCell ref="Q107:T107"/>
    <mergeCell ref="Y128:Z128"/>
    <mergeCell ref="C137:N138"/>
    <mergeCell ref="Q137:AA138"/>
    <mergeCell ref="Y126:AA127"/>
    <mergeCell ref="Q134:AA135"/>
    <mergeCell ref="Y108:Z108"/>
    <mergeCell ref="U59:Z59"/>
    <mergeCell ref="U62:Z62"/>
    <mergeCell ref="Q105:T106"/>
    <mergeCell ref="U103:X104"/>
    <mergeCell ref="U105:X106"/>
    <mergeCell ref="F107:P107"/>
    <mergeCell ref="F108:P108"/>
    <mergeCell ref="A9:AA9"/>
    <mergeCell ref="A12:AA13"/>
    <mergeCell ref="D52:H52"/>
    <mergeCell ref="Y101:Z101"/>
    <mergeCell ref="Q101:T101"/>
    <mergeCell ref="D53:N53"/>
    <mergeCell ref="O53:Q53"/>
    <mergeCell ref="S53:T53"/>
    <mergeCell ref="V53:W53"/>
    <mergeCell ref="A10:AA10"/>
    <mergeCell ref="D91:H91"/>
    <mergeCell ref="I91:X91"/>
    <mergeCell ref="I35:X35"/>
    <mergeCell ref="D34:H35"/>
    <mergeCell ref="I34:L34"/>
    <mergeCell ref="M34:X34"/>
    <mergeCell ref="I37:N37"/>
    <mergeCell ref="V44:W44"/>
    <mergeCell ref="D45:H45"/>
    <mergeCell ref="I47:X47"/>
    <mergeCell ref="I43:M43"/>
    <mergeCell ref="I45:X45"/>
    <mergeCell ref="S43:T43"/>
    <mergeCell ref="S44:T44"/>
    <mergeCell ref="D43:H44"/>
    <mergeCell ref="V43:W43"/>
    <mergeCell ref="N44:Q44"/>
    <mergeCell ref="I44:M44"/>
    <mergeCell ref="I38:K39"/>
    <mergeCell ref="D40:H40"/>
    <mergeCell ref="D42:H42"/>
    <mergeCell ref="F102:P102"/>
    <mergeCell ref="D48:H48"/>
    <mergeCell ref="I52:N52"/>
    <mergeCell ref="D100:P100"/>
    <mergeCell ref="L38:L39"/>
    <mergeCell ref="I40:N40"/>
    <mergeCell ref="D76:O76"/>
    <mergeCell ref="P76:T76"/>
    <mergeCell ref="S40:U40"/>
    <mergeCell ref="D47:H47"/>
    <mergeCell ref="I48:X48"/>
    <mergeCell ref="N43:Q43"/>
    <mergeCell ref="I41:K41"/>
    <mergeCell ref="I42:X42"/>
    <mergeCell ref="V38:W38"/>
    <mergeCell ref="V39:W39"/>
    <mergeCell ref="R38:U38"/>
    <mergeCell ref="R39:U39"/>
    <mergeCell ref="V40:W40"/>
    <mergeCell ref="M38:Q39"/>
    <mergeCell ref="D38:H39"/>
    <mergeCell ref="U57:Z57"/>
    <mergeCell ref="U99:X100"/>
    <mergeCell ref="I49:X49"/>
    <mergeCell ref="D49:H49"/>
    <mergeCell ref="Y102:Z102"/>
    <mergeCell ref="Q102:T102"/>
    <mergeCell ref="U102:X102"/>
    <mergeCell ref="D71:O71"/>
    <mergeCell ref="P71:T71"/>
    <mergeCell ref="U71:Z71"/>
    <mergeCell ref="D72:O72"/>
    <mergeCell ref="P72:T72"/>
    <mergeCell ref="U72:Z72"/>
    <mergeCell ref="D73:O73"/>
    <mergeCell ref="P73:T73"/>
    <mergeCell ref="U73:Z73"/>
    <mergeCell ref="D74:O74"/>
    <mergeCell ref="P74:T74"/>
    <mergeCell ref="U74:Z74"/>
    <mergeCell ref="D75:O75"/>
    <mergeCell ref="P75:T75"/>
    <mergeCell ref="U75:Z75"/>
    <mergeCell ref="Q99:T99"/>
    <mergeCell ref="E101:P101"/>
  </mergeCells>
  <phoneticPr fontId="1"/>
  <conditionalFormatting sqref="B27 O155:Z157">
    <cfRule type="containsBlanks" dxfId="91" priority="228">
      <formula>LEN(TRIM(B27))=0</formula>
    </cfRule>
  </conditionalFormatting>
  <conditionalFormatting sqref="B29">
    <cfRule type="containsBlanks" dxfId="90" priority="229">
      <formula>LEN(TRIM(B29))=0</formula>
    </cfRule>
  </conditionalFormatting>
  <conditionalFormatting sqref="B46">
    <cfRule type="containsBlanks" dxfId="89" priority="230">
      <formula>LEN(TRIM(B46))=0</formula>
    </cfRule>
  </conditionalFormatting>
  <conditionalFormatting sqref="B51">
    <cfRule type="containsBlanks" dxfId="88" priority="231">
      <formula>LEN(TRIM(B51))=0</formula>
    </cfRule>
  </conditionalFormatting>
  <conditionalFormatting sqref="B55">
    <cfRule type="containsBlanks" dxfId="87" priority="232">
      <formula>LEN(TRIM(B55))=0</formula>
    </cfRule>
  </conditionalFormatting>
  <conditionalFormatting sqref="B57">
    <cfRule type="containsBlanks" dxfId="86" priority="49">
      <formula>LEN(TRIM(B57))=0</formula>
    </cfRule>
  </conditionalFormatting>
  <conditionalFormatting sqref="B59">
    <cfRule type="containsBlanks" dxfId="85" priority="47">
      <formula>LEN(TRIM(B59))=0</formula>
    </cfRule>
  </conditionalFormatting>
  <conditionalFormatting sqref="B62">
    <cfRule type="containsBlanks" dxfId="84" priority="46">
      <formula>LEN(TRIM(B62))=0</formula>
    </cfRule>
  </conditionalFormatting>
  <conditionalFormatting sqref="B65">
    <cfRule type="containsBlanks" dxfId="83" priority="43">
      <formula>LEN(TRIM(B65))=0</formula>
    </cfRule>
  </conditionalFormatting>
  <conditionalFormatting sqref="B68">
    <cfRule type="containsBlanks" dxfId="82" priority="34">
      <formula>LEN(TRIM(B68))=0</formula>
    </cfRule>
  </conditionalFormatting>
  <conditionalFormatting sqref="B78">
    <cfRule type="containsBlanks" dxfId="81" priority="48">
      <formula>LEN(TRIM(B78))=0</formula>
    </cfRule>
  </conditionalFormatting>
  <conditionalFormatting sqref="B80 B82">
    <cfRule type="containsBlanks" dxfId="80" priority="8">
      <formula>LEN(TRIM(B80))=0</formula>
    </cfRule>
  </conditionalFormatting>
  <conditionalFormatting sqref="B84">
    <cfRule type="containsBlanks" dxfId="79" priority="55">
      <formula>LEN(TRIM(B84))=0</formula>
    </cfRule>
  </conditionalFormatting>
  <conditionalFormatting sqref="B88">
    <cfRule type="containsBlanks" dxfId="78" priority="234">
      <formula>LEN(TRIM(B88))=0</formula>
    </cfRule>
  </conditionalFormatting>
  <conditionalFormatting sqref="B90">
    <cfRule type="containsBlanks" dxfId="77" priority="235">
      <formula>LEN(TRIM(B90))=0</formula>
    </cfRule>
  </conditionalFormatting>
  <conditionalFormatting sqref="B94">
    <cfRule type="containsBlanks" dxfId="76" priority="227">
      <formula>LEN(TRIM(B94))=0</formula>
    </cfRule>
  </conditionalFormatting>
  <conditionalFormatting sqref="B130">
    <cfRule type="containsBlanks" dxfId="75" priority="203">
      <formula>LEN(TRIM(B130))=0</formula>
    </cfRule>
  </conditionalFormatting>
  <conditionalFormatting sqref="B147">
    <cfRule type="containsBlanks" dxfId="74" priority="208">
      <formula>LEN(TRIM(B147))=0</formula>
    </cfRule>
  </conditionalFormatting>
  <conditionalFormatting sqref="B150">
    <cfRule type="containsBlanks" dxfId="73" priority="209">
      <formula>LEN(TRIM(B150))=0</formula>
    </cfRule>
  </conditionalFormatting>
  <conditionalFormatting sqref="B152">
    <cfRule type="containsBlanks" dxfId="72" priority="50">
      <formula>LEN(TRIM(B152))=0</formula>
    </cfRule>
  </conditionalFormatting>
  <conditionalFormatting sqref="B168">
    <cfRule type="containsBlanks" dxfId="71" priority="210">
      <formula>LEN(TRIM(B168))=0</formula>
    </cfRule>
  </conditionalFormatting>
  <conditionalFormatting sqref="B171">
    <cfRule type="containsBlanks" dxfId="70" priority="211">
      <formula>LEN(TRIM(B171))=0</formula>
    </cfRule>
  </conditionalFormatting>
  <conditionalFormatting sqref="B176">
    <cfRule type="containsBlanks" dxfId="69" priority="212">
      <formula>LEN(TRIM(B176))=0</formula>
    </cfRule>
  </conditionalFormatting>
  <conditionalFormatting sqref="B183">
    <cfRule type="containsBlanks" dxfId="68" priority="213">
      <formula>LEN(TRIM(B183))=0</formula>
    </cfRule>
  </conditionalFormatting>
  <conditionalFormatting sqref="B191">
    <cfRule type="containsBlanks" dxfId="67" priority="219">
      <formula>LEN(TRIM(B191))=0</formula>
    </cfRule>
  </conditionalFormatting>
  <conditionalFormatting sqref="B199">
    <cfRule type="containsBlanks" dxfId="66" priority="225">
      <formula>LEN(TRIM(B199))=0</formula>
    </cfRule>
  </conditionalFormatting>
  <conditionalFormatting sqref="B209">
    <cfRule type="containsBlanks" dxfId="65" priority="223">
      <formula>LEN(TRIM(B209))=0</formula>
    </cfRule>
  </conditionalFormatting>
  <conditionalFormatting sqref="B216">
    <cfRule type="containsBlanks" dxfId="64" priority="217">
      <formula>LEN(TRIM(B216))=0</formula>
    </cfRule>
  </conditionalFormatting>
  <conditionalFormatting sqref="D72:Z76">
    <cfRule type="cellIs" dxfId="63" priority="2" operator="equal">
      <formula>""</formula>
    </cfRule>
  </conditionalFormatting>
  <conditionalFormatting sqref="E15">
    <cfRule type="containsBlanks" dxfId="62" priority="115">
      <formula>LEN(TRIM(E15))=0</formula>
    </cfRule>
  </conditionalFormatting>
  <conditionalFormatting sqref="H15">
    <cfRule type="containsBlanks" dxfId="61" priority="117">
      <formula>LEN(TRIM(H15))=0</formula>
    </cfRule>
  </conditionalFormatting>
  <conditionalFormatting sqref="I35:I38">
    <cfRule type="containsBlanks" dxfId="60" priority="33">
      <formula>LEN(TRIM(I35))=0</formula>
    </cfRule>
  </conditionalFormatting>
  <conditionalFormatting sqref="I40">
    <cfRule type="containsBlanks" dxfId="59" priority="60">
      <formula>LEN(TRIM(I40))=0</formula>
    </cfRule>
  </conditionalFormatting>
  <conditionalFormatting sqref="I52:N52">
    <cfRule type="containsBlanks" dxfId="58" priority="107">
      <formula>LEN(TRIM(I52))=0</formula>
    </cfRule>
  </conditionalFormatting>
  <conditionalFormatting sqref="I45:X45">
    <cfRule type="expression" dxfId="57" priority="196">
      <formula>AND($I$42="その他",$I$45="")</formula>
    </cfRule>
  </conditionalFormatting>
  <conditionalFormatting sqref="I70:X70">
    <cfRule type="expression" dxfId="56" priority="7">
      <formula>AND($I$42="その他",#REF!="")</formula>
    </cfRule>
  </conditionalFormatting>
  <conditionalFormatting sqref="I91:X91">
    <cfRule type="containsBlanks" dxfId="55" priority="75">
      <formula>LEN(TRIM(I91))=0</formula>
    </cfRule>
  </conditionalFormatting>
  <conditionalFormatting sqref="K15">
    <cfRule type="containsBlanks" dxfId="54" priority="116">
      <formula>LEN(TRIM(K15))=0</formula>
    </cfRule>
  </conditionalFormatting>
  <conditionalFormatting sqref="L41 Q41">
    <cfRule type="containsBlanks" dxfId="53" priority="195">
      <formula>LEN(TRIM(L41))=0</formula>
    </cfRule>
  </conditionalFormatting>
  <conditionalFormatting sqref="N180:P180">
    <cfRule type="containsBlanks" dxfId="52" priority="215">
      <formula>LEN(TRIM(N180))=0</formula>
    </cfRule>
  </conditionalFormatting>
  <conditionalFormatting sqref="N187:P188">
    <cfRule type="containsBlanks" dxfId="51" priority="216">
      <formula>LEN(TRIM(N187))=0</formula>
    </cfRule>
  </conditionalFormatting>
  <conditionalFormatting sqref="N194:P194">
    <cfRule type="containsBlanks" dxfId="50" priority="220">
      <formula>LEN(TRIM(N194))=0</formula>
    </cfRule>
  </conditionalFormatting>
  <conditionalFormatting sqref="N204:P204">
    <cfRule type="containsBlanks" dxfId="49" priority="221">
      <formula>LEN(TRIM(N204))=0</formula>
    </cfRule>
  </conditionalFormatting>
  <conditionalFormatting sqref="N211:P211">
    <cfRule type="containsBlanks" dxfId="48" priority="222">
      <formula>LEN(TRIM(N211))=0</formula>
    </cfRule>
  </conditionalFormatting>
  <conditionalFormatting sqref="N222:P222">
    <cfRule type="containsBlanks" dxfId="47" priority="224">
      <formula>LEN(TRIM(N222))=0</formula>
    </cfRule>
  </conditionalFormatting>
  <conditionalFormatting sqref="N43:Q44">
    <cfRule type="containsBlanks" dxfId="46" priority="101">
      <formula>LEN(TRIM(N43))=0</formula>
    </cfRule>
  </conditionalFormatting>
  <conditionalFormatting sqref="N179:S179">
    <cfRule type="containsBlanks" dxfId="45" priority="214">
      <formula>LEN(TRIM(N179))=0</formula>
    </cfRule>
  </conditionalFormatting>
  <conditionalFormatting sqref="O53">
    <cfRule type="containsBlanks" dxfId="44" priority="54">
      <formula>LEN(TRIM(O53))=0</formula>
    </cfRule>
  </conditionalFormatting>
  <conditionalFormatting sqref="O17:Z17 N18:Z20 M34 I42:X42 I47:X49">
    <cfRule type="containsBlanks" dxfId="43" priority="201">
      <formula>LEN(TRIM(I17))=0</formula>
    </cfRule>
  </conditionalFormatting>
  <conditionalFormatting sqref="P71:P76">
    <cfRule type="expression" dxfId="42" priority="3">
      <formula>AND($I$42="その他",#REF!="")</formula>
    </cfRule>
  </conditionalFormatting>
  <conditionalFormatting sqref="P130">
    <cfRule type="containsBlanks" dxfId="41" priority="204">
      <formula>LEN(TRIM(P130))=0</formula>
    </cfRule>
  </conditionalFormatting>
  <conditionalFormatting sqref="P271:AA272">
    <cfRule type="containsBlanks" dxfId="40" priority="77">
      <formula>LEN(TRIM(P271))=0</formula>
    </cfRule>
  </conditionalFormatting>
  <conditionalFormatting sqref="Q100:Q103 Q105 Q107:Q108">
    <cfRule type="containsBlanks" dxfId="39" priority="184">
      <formula>LEN(TRIM(Q100))=0</formula>
    </cfRule>
  </conditionalFormatting>
  <conditionalFormatting sqref="R187:U188">
    <cfRule type="containsBlanks" dxfId="38" priority="218">
      <formula>LEN(TRIM(R187))=0</formula>
    </cfRule>
  </conditionalFormatting>
  <conditionalFormatting sqref="S37">
    <cfRule type="containsBlanks" dxfId="37" priority="125">
      <formula>LEN(TRIM(S37))=0</formula>
    </cfRule>
  </conditionalFormatting>
  <conditionalFormatting sqref="S43:S44 V43:V44">
    <cfRule type="containsBlanks" dxfId="36" priority="102">
      <formula>LEN(TRIM(S43))=0</formula>
    </cfRule>
  </conditionalFormatting>
  <conditionalFormatting sqref="S53 V53">
    <cfRule type="containsBlanks" dxfId="35" priority="53">
      <formula>LEN(TRIM(S53))=0</formula>
    </cfRule>
  </conditionalFormatting>
  <conditionalFormatting sqref="T273:AA273 T274 Z274 T275:AA275">
    <cfRule type="containsBlanks" dxfId="34" priority="76">
      <formula>LEN(TRIM(T273))=0</formula>
    </cfRule>
  </conditionalFormatting>
  <conditionalFormatting sqref="U71:U76">
    <cfRule type="expression" dxfId="33" priority="4">
      <formula>AND($I$42="その他",#REF!="")</formula>
    </cfRule>
  </conditionalFormatting>
  <conditionalFormatting sqref="U102">
    <cfRule type="expression" dxfId="32" priority="16">
      <formula>AND($I$37="併用住宅",$U$102="")</formula>
    </cfRule>
    <cfRule type="expression" dxfId="31" priority="15">
      <formula>$I$37="併用住宅"</formula>
    </cfRule>
  </conditionalFormatting>
  <conditionalFormatting sqref="U99:X101">
    <cfRule type="expression" dxfId="30" priority="17">
      <formula>$I$37="併用住宅"</formula>
    </cfRule>
  </conditionalFormatting>
  <conditionalFormatting sqref="U101:X101">
    <cfRule type="expression" dxfId="29" priority="18">
      <formula>AND($I$37="併用住宅",$U$101="")</formula>
    </cfRule>
  </conditionalFormatting>
  <conditionalFormatting sqref="U103:X104">
    <cfRule type="expression" dxfId="28" priority="13">
      <formula>AND($I$37="併用住宅",$U$103="")</formula>
    </cfRule>
  </conditionalFormatting>
  <conditionalFormatting sqref="U103:X106">
    <cfRule type="expression" dxfId="27" priority="10">
      <formula>$I$37="併用住宅"</formula>
    </cfRule>
  </conditionalFormatting>
  <conditionalFormatting sqref="U105:X106">
    <cfRule type="expression" dxfId="26" priority="9">
      <formula>AND($I$37="併用住宅",$U$105="")</formula>
    </cfRule>
  </conditionalFormatting>
  <conditionalFormatting sqref="U107:X107">
    <cfRule type="expression" dxfId="25" priority="21">
      <formula>AND($I$37="併用住宅",$U$107="")</formula>
    </cfRule>
    <cfRule type="expression" dxfId="24" priority="19">
      <formula>$I$37="併用住宅"</formula>
    </cfRule>
  </conditionalFormatting>
  <conditionalFormatting sqref="U108:X108">
    <cfRule type="expression" dxfId="23" priority="12">
      <formula>$I$37="併用住宅"</formula>
    </cfRule>
    <cfRule type="expression" dxfId="22" priority="11">
      <formula>AND($I$37="併用住宅",$U$108="")</formula>
    </cfRule>
  </conditionalFormatting>
  <conditionalFormatting sqref="U57:Z57">
    <cfRule type="cellIs" dxfId="21" priority="42" operator="equal">
      <formula>""</formula>
    </cfRule>
  </conditionalFormatting>
  <conditionalFormatting sqref="U59:Z59">
    <cfRule type="cellIs" dxfId="20" priority="44" operator="equal">
      <formula>""</formula>
    </cfRule>
  </conditionalFormatting>
  <conditionalFormatting sqref="U62:Z62">
    <cfRule type="cellIs" dxfId="19" priority="45" operator="equal">
      <formula>""</formula>
    </cfRule>
  </conditionalFormatting>
  <conditionalFormatting sqref="V40:V41">
    <cfRule type="containsBlanks" dxfId="18" priority="120">
      <formula>LEN(TRIM(V40))=0</formula>
    </cfRule>
  </conditionalFormatting>
  <conditionalFormatting sqref="V38:W38">
    <cfRule type="expression" dxfId="17" priority="189">
      <formula>AND($I$37="併用住宅",$V$38="")</formula>
    </cfRule>
  </conditionalFormatting>
  <conditionalFormatting sqref="V39:W39">
    <cfRule type="expression" dxfId="16" priority="188">
      <formula>AND($I$37="併用住宅",$V$39="")</formula>
    </cfRule>
  </conditionalFormatting>
  <conditionalFormatting sqref="V187:Z187">
    <cfRule type="expression" dxfId="15" priority="70">
      <formula>"$R$158=""その他のこて塗り"""</formula>
    </cfRule>
    <cfRule type="expression" dxfId="14" priority="69">
      <formula>AND($R$187="その他のこて塗り",$V$187="")</formula>
    </cfRule>
  </conditionalFormatting>
  <conditionalFormatting sqref="V188:Z188">
    <cfRule type="expression" dxfId="13" priority="68">
      <formula>AND($R$188="その他のこて塗り",$V$188="")</formula>
    </cfRule>
  </conditionalFormatting>
  <dataValidations count="35">
    <dataValidation type="whole" operator="greaterThanOrEqual" allowBlank="1" showInputMessage="1" error="1か所以上が必須です。" sqref="V41 L41 Q41" xr:uid="{00000000-0002-0000-0000-000000000000}">
      <formula1>1</formula1>
    </dataValidation>
    <dataValidation type="list" allowBlank="1" showInputMessage="1" sqref="I42:X42"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0:T100"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1:T101" xr:uid="{00000000-0002-0000-0000-000005000000}">
      <formula1>10</formula1>
      <formula2>Q100</formula2>
    </dataValidation>
    <dataValidation type="list" allowBlank="1" showInputMessage="1" showErrorMessage="1" sqref="N194:P194" xr:uid="{00000000-0002-0000-0000-000006000000}">
      <formula1>"　,和瓦,平板瓦,S瓦,"</formula1>
    </dataValidation>
    <dataValidation type="list" allowBlank="1" showInputMessage="1" showErrorMessage="1" sqref="N179:S179" xr:uid="{00000000-0002-0000-0000-000007000000}">
      <formula1>"ささら子下見板,押縁下見板,南京下見板,"</formula1>
    </dataValidation>
    <dataValidation type="list" allowBlank="1" showInputMessage="1" sqref="M34:X34"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5:I15" xr:uid="{00000000-0002-0000-0000-000009000000}">
      <formula1>"1,2,3,4,5,6,7,8,9,10,11,12,"</formula1>
    </dataValidation>
    <dataValidation type="list" allowBlank="1" showInputMessage="1" sqref="V40:W40" xr:uid="{00000000-0002-0000-0000-00000A000000}">
      <formula1>"1,2,3,"</formula1>
    </dataValidation>
    <dataValidation type="list" allowBlank="1" showInputMessage="1" showErrorMessage="1" sqref="K15:L15" xr:uid="{00000000-0002-0000-0000-00000B000000}">
      <formula1>"1,2,3,4,5,6,7,8,9,10,11,12,13,14,15,16,17,18,19,20,21,22,23,24,25,26,27,28,29,30,31, "</formula1>
    </dataValidation>
    <dataValidation type="list" allowBlank="1" showInputMessage="1" sqref="I52:N52" xr:uid="{00000000-0002-0000-0000-00000D000000}">
      <formula1>"要,不要,"</formula1>
    </dataValidation>
    <dataValidation type="list" allowBlank="1" showInputMessage="1" sqref="V53:W53 V43:W44" xr:uid="{00000000-0002-0000-0000-00000E000000}">
      <formula1>"1,2,3,4,5,6,7,8,9,10,11,12,13,14,15,16,17,18,19,20,21,22,23,24,25,26,27,28,29,30,31,"</formula1>
    </dataValidation>
    <dataValidation type="list" allowBlank="1" showInputMessage="1" showErrorMessage="1" sqref="B27 B29 B46 B51 B55 B88 B84 B90 B94 B130 P130 B147 B168 B171 B176 B183 B191 B199 B209 B216 B150 B152 B57 B65 B78 B59 B62 B68 B80 B82" xr:uid="{00000000-0002-0000-0000-00000F000000}">
      <formula1>"✔,"</formula1>
    </dataValidation>
    <dataValidation type="list" allowBlank="1" showInputMessage="1" sqref="T273:AA273" xr:uid="{00000000-0002-0000-0000-000010000000}">
      <formula1>"一級建築士事務所,二級建築士事務所,木造建築士事務所"</formula1>
    </dataValidation>
    <dataValidation type="list" allowBlank="1" showInputMessage="1" showErrorMessage="1" sqref="J271:O271"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102:T104" xr:uid="{00000000-0002-0000-0000-000012000000}">
      <formula1>0</formula1>
      <formula2>Q101</formula2>
    </dataValidation>
    <dataValidation type="whole" allowBlank="1" showInputMessage="1" showErrorMessage="1" error="県産材の使用材積以下の整数値（小数点以下切捨て）を入力してください。_x000a_" sqref="Q107:T107" xr:uid="{00000000-0002-0000-0000-000013000000}">
      <formula1>0</formula1>
      <formula2>Q101</formula2>
    </dataValidation>
    <dataValidation type="whole" allowBlank="1" showInputMessage="1" showErrorMessage="1" error="整数値（小数点以下切捨て）を入力してください。" sqref="Q108:T108" xr:uid="{00000000-0002-0000-0000-000014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7:X107 U101:X101" xr:uid="{00000000-0002-0000-0000-000015000000}">
      <formula1>0</formula1>
      <formula2>MIN(Q101,U95)</formula2>
    </dataValidation>
    <dataValidation type="whole" allowBlank="1" showInputMessage="1" showErrorMessage="1" errorTitle="エラー" error="併用住宅全体の県産内外装材、県産木塀の見付面積以下の整数値（小数点以下切捨て）を入力してください。" sqref="U108:X108" xr:uid="{00000000-0002-0000-0000-000016000000}">
      <formula1>0</formula1>
      <formula2>Q108</formula2>
    </dataValidation>
    <dataValidation type="list" allowBlank="1" showInputMessage="1" showErrorMessage="1" sqref="R187:U187" xr:uid="{00000000-0002-0000-0000-000017000000}">
      <formula1>"　,モルタル塗,漆喰塗,土壁塗,そとん壁,その他のこて塗り"</formula1>
    </dataValidation>
    <dataValidation type="list" allowBlank="1" showInputMessage="1" showErrorMessage="1" sqref="R188:U188" xr:uid="{00000000-0002-0000-0000-000018000000}">
      <formula1>"　,珪藻土塗,じゅらく塗,その他のこて塗り"</formula1>
    </dataValidation>
    <dataValidation type="list" allowBlank="1" showInputMessage="1" showErrorMessage="1" sqref="AC250 AC264:AC266" xr:uid="{00000000-0002-0000-0000-000019000000}">
      <formula1>"はい,いいえ"</formula1>
    </dataValidation>
    <dataValidation type="list" allowBlank="1" showInputMessage="1" showErrorMessage="1" sqref="U62:Z62" xr:uid="{00000000-0002-0000-0000-00001B000000}">
      <formula1>"『ZEH』,Nearly ZEH（多雪地域に限る）,ZEH Oriented（補助対象外）"</formula1>
    </dataValidation>
    <dataValidation type="list" allowBlank="1" showInputMessage="1" showErrorMessage="1" sqref="U59:Z59" xr:uid="{00000000-0002-0000-0000-00001C000000}">
      <formula1>"太陽光発電（自家設置）,太陽光発電（リース）,太陽光発電（PPA）,太陽熱利用設備,バイオマス利用設備,地中熱利用設備,その他"</formula1>
    </dataValidation>
    <dataValidation type="list" allowBlank="1" showInputMessage="1" showErrorMessage="1" sqref="U57:Z57" xr:uid="{00000000-0002-0000-0000-00001D000000}">
      <formula1>"T-G1,T-G2,T-G3"</formula1>
    </dataValidation>
    <dataValidation type="list" allowBlank="1" showInputMessage="1" showErrorMessage="1" sqref="E15:F15" xr:uid="{00000000-0002-0000-0000-00001E000000}">
      <formula1>"5,6,7,8,9,10,"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4" xr:uid="{00000000-0002-0000-0000-00001F000000}">
      <formula1>0</formula1>
      <formula2>MIN(U102,Q103)</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6" xr:uid="{00000000-0002-0000-0000-000020000000}">
      <formula1>0</formula1>
      <formula2>MIN(U102,Q105)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2:X102" xr:uid="{00000000-0002-0000-0000-000021000000}">
      <formula1>0</formula1>
      <formula2>MIN(Q102,U101)</formula2>
    </dataValidation>
    <dataValidation type="whole" showInputMessage="1" showErrorMessage="1" errorTitle="エラー" error="県産材の使用材積以下の整数値（小数点以下切捨て）を入力してください。_x000a_" sqref="Q105:T106" xr:uid="{00000000-0002-0000-0000-000022000000}">
      <formula1>0</formula1>
      <formula2>Q102</formula2>
    </dataValidation>
    <dataValidation type="list" allowBlank="1" showInputMessage="1" sqref="I37:N37" xr:uid="{0976A773-2350-46E0-87C2-DA033FABCBAA}">
      <formula1>"専用住宅,併用住宅"</formula1>
    </dataValidation>
    <dataValidation type="list" allowBlank="1" showInputMessage="1" sqref="N43:Q44" xr:uid="{5EBEFB0A-DC19-45C0-8821-90D575EE7D72}">
      <formula1>"5,6,7,8,9,10,"</formula1>
    </dataValidation>
    <dataValidation type="list" allowBlank="1" showInputMessage="1" sqref="S43:T44 S53:T53" xr:uid="{13057BA6-710D-4993-B3FC-1CA1FF9FF078}">
      <formula1>"1,2,3,4,5,6,7,8,9,10,11,12,"</formula1>
    </dataValidation>
    <dataValidation allowBlank="1" showInputMessage="1" sqref="O53:Q53" xr:uid="{8FD3968E-B925-48F1-9418-3DC0F0DF1B7D}"/>
  </dataValidations>
  <printOptions horizontalCentered="1"/>
  <pageMargins left="0.70866141732283472" right="0.70866141732283472" top="0.47244094488188981" bottom="0.23622047244094491" header="0.31496062992125984" footer="0.31496062992125984"/>
  <pageSetup paperSize="9" scale="90" orientation="portrait" verticalDpi="1200" r:id="rId1"/>
  <rowBreaks count="3" manualBreakCount="3">
    <brk id="86" max="26" man="1"/>
    <brk id="161" max="26" man="1"/>
    <brk id="225"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151</v>
      </c>
    </row>
    <row r="5" spans="1:6" ht="14.4" x14ac:dyDescent="0.2">
      <c r="A5" s="455" t="s">
        <v>141</v>
      </c>
      <c r="B5" s="455"/>
      <c r="C5" s="455"/>
      <c r="D5" s="455"/>
      <c r="E5" s="455"/>
    </row>
    <row r="7" spans="1:6" ht="38.25" customHeight="1" x14ac:dyDescent="0.2">
      <c r="C7" s="5" t="s">
        <v>39</v>
      </c>
      <c r="D7" s="374" t="str">
        <f>IF(【様式第６号】事業報告書兼チェックシート!N18="","",【様式第６号】事業報告書兼チェックシート!N18)</f>
        <v/>
      </c>
      <c r="E7" s="374"/>
    </row>
    <row r="8" spans="1:6" x14ac:dyDescent="0.2">
      <c r="C8" s="5" t="s">
        <v>40</v>
      </c>
      <c r="D8" s="413" t="str">
        <f>IF(【様式第６号】事業報告書兼チェックシート!N19="","",【様式第６号】事業報告書兼チェックシート!N19)</f>
        <v/>
      </c>
      <c r="E8" s="413"/>
    </row>
    <row r="10" spans="1:6" x14ac:dyDescent="0.2">
      <c r="A10" s="1" t="s">
        <v>34</v>
      </c>
    </row>
    <row r="11" spans="1:6" x14ac:dyDescent="0.2">
      <c r="A11" s="1" t="s">
        <v>35</v>
      </c>
    </row>
    <row r="13" spans="1:6" x14ac:dyDescent="0.2">
      <c r="B13" s="90" t="s">
        <v>33</v>
      </c>
      <c r="C13" s="90" t="s">
        <v>5</v>
      </c>
      <c r="D13" s="90" t="s">
        <v>38</v>
      </c>
    </row>
    <row r="14" spans="1:6" ht="28.35" customHeight="1" x14ac:dyDescent="0.2">
      <c r="A14" s="38" t="s">
        <v>37</v>
      </c>
      <c r="B14" s="90" t="s">
        <v>248</v>
      </c>
      <c r="C14" s="97" t="s">
        <v>249</v>
      </c>
      <c r="D14" s="96" t="s">
        <v>250</v>
      </c>
    </row>
    <row r="15" spans="1:6" ht="29.85" customHeight="1" x14ac:dyDescent="0.2">
      <c r="A15" s="38" t="s">
        <v>37</v>
      </c>
      <c r="B15" s="57" t="s">
        <v>251</v>
      </c>
      <c r="C15" s="57" t="s">
        <v>252</v>
      </c>
      <c r="D15" s="57" t="s">
        <v>253</v>
      </c>
      <c r="F15" s="92"/>
    </row>
    <row r="16" spans="1:6" x14ac:dyDescent="0.2">
      <c r="B16" s="91"/>
      <c r="C16" s="91"/>
      <c r="D16" s="91"/>
    </row>
    <row r="17" spans="1:7" x14ac:dyDescent="0.2">
      <c r="B17" s="56" t="s">
        <v>33</v>
      </c>
      <c r="C17" s="90" t="s">
        <v>5</v>
      </c>
      <c r="D17" s="90" t="s">
        <v>19</v>
      </c>
    </row>
    <row r="18" spans="1:7" ht="36" customHeight="1" x14ac:dyDescent="0.2">
      <c r="B18" s="64"/>
      <c r="C18" s="64"/>
      <c r="D18" s="65"/>
    </row>
    <row r="19" spans="1:7" ht="36" customHeight="1" x14ac:dyDescent="0.2">
      <c r="B19" s="64"/>
      <c r="C19" s="64"/>
      <c r="D19" s="65"/>
    </row>
    <row r="20" spans="1:7" ht="36" customHeight="1" x14ac:dyDescent="0.2">
      <c r="B20" s="64"/>
      <c r="C20" s="64"/>
      <c r="D20" s="65"/>
    </row>
    <row r="21" spans="1:7" ht="36" customHeight="1" x14ac:dyDescent="0.2">
      <c r="B21" s="64"/>
      <c r="C21" s="64"/>
      <c r="D21" s="65"/>
      <c r="G21" s="1" t="s">
        <v>232</v>
      </c>
    </row>
    <row r="22" spans="1:7" ht="36" customHeight="1" x14ac:dyDescent="0.2">
      <c r="B22" s="64"/>
      <c r="C22" s="64"/>
      <c r="D22" s="65"/>
      <c r="G22" s="1" t="s">
        <v>233</v>
      </c>
    </row>
    <row r="23" spans="1:7" ht="36" customHeight="1" x14ac:dyDescent="0.2">
      <c r="B23" s="64"/>
      <c r="C23" s="64"/>
      <c r="D23" s="65"/>
      <c r="G23" s="1" t="s">
        <v>234</v>
      </c>
    </row>
    <row r="24" spans="1:7" ht="36" customHeight="1" x14ac:dyDescent="0.2">
      <c r="B24" s="64"/>
      <c r="C24" s="64"/>
      <c r="D24" s="65"/>
      <c r="G24" s="1" t="s">
        <v>235</v>
      </c>
    </row>
    <row r="26" spans="1:7" x14ac:dyDescent="0.2">
      <c r="B26" s="93"/>
      <c r="C26" s="93"/>
      <c r="D26" s="94"/>
      <c r="G26" s="1" t="s">
        <v>236</v>
      </c>
    </row>
    <row r="27" spans="1:7" x14ac:dyDescent="0.2">
      <c r="A27" s="1" t="s">
        <v>44</v>
      </c>
    </row>
    <row r="28" spans="1:7" x14ac:dyDescent="0.2">
      <c r="A28" s="58" t="s">
        <v>237</v>
      </c>
      <c r="B28" s="454" t="s">
        <v>43</v>
      </c>
      <c r="C28" s="454"/>
      <c r="D28" s="454"/>
      <c r="E28" s="454"/>
    </row>
    <row r="29" spans="1:7" x14ac:dyDescent="0.2">
      <c r="A29" s="59"/>
      <c r="B29" s="454"/>
      <c r="C29" s="454"/>
      <c r="D29" s="454"/>
      <c r="E29" s="454"/>
    </row>
    <row r="30" spans="1:7" x14ac:dyDescent="0.2">
      <c r="A30" s="58" t="s">
        <v>237</v>
      </c>
      <c r="B30" s="454" t="s">
        <v>45</v>
      </c>
      <c r="C30" s="454"/>
      <c r="D30" s="454"/>
      <c r="E30" s="454"/>
      <c r="G30" s="1" t="s">
        <v>238</v>
      </c>
    </row>
    <row r="31" spans="1:7" x14ac:dyDescent="0.2">
      <c r="A31" s="58"/>
      <c r="B31" s="454"/>
      <c r="C31" s="454"/>
      <c r="D31" s="454"/>
      <c r="E31" s="454"/>
      <c r="G31" s="1" t="s">
        <v>239</v>
      </c>
    </row>
    <row r="32" spans="1:7" x14ac:dyDescent="0.2">
      <c r="A32" s="58"/>
      <c r="B32" s="454"/>
      <c r="C32" s="454"/>
      <c r="D32" s="454"/>
      <c r="E32" s="454"/>
    </row>
    <row r="33" spans="1:5" x14ac:dyDescent="0.2">
      <c r="A33" s="59"/>
      <c r="B33" s="454"/>
      <c r="C33" s="454"/>
      <c r="D33" s="454"/>
      <c r="E33" s="454"/>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78"/>
  <sheetViews>
    <sheetView zoomScale="85" zoomScaleNormal="85" workbookViewId="0">
      <selection activeCell="D29" sqref="D29"/>
    </sheetView>
  </sheetViews>
  <sheetFormatPr defaultColWidth="9" defaultRowHeight="13.2" x14ac:dyDescent="0.2"/>
  <cols>
    <col min="1" max="1" width="2" style="60" customWidth="1"/>
    <col min="2" max="2" width="18.6640625" style="60" customWidth="1"/>
    <col min="3" max="4" width="15.44140625" style="60" customWidth="1"/>
    <col min="5" max="5" width="6.88671875" style="60" customWidth="1"/>
    <col min="6" max="6" width="20.109375" style="60" customWidth="1"/>
    <col min="7" max="8" width="15.44140625" style="60" customWidth="1"/>
    <col min="9" max="9" width="5.33203125" style="60" customWidth="1"/>
    <col min="10" max="10" width="19.88671875" style="60" customWidth="1"/>
    <col min="11" max="11" width="1" style="60" customWidth="1"/>
    <col min="12" max="16384" width="9" style="60"/>
  </cols>
  <sheetData>
    <row r="1" spans="2:10" ht="43.5" customHeight="1" x14ac:dyDescent="0.2">
      <c r="B1" s="456" t="s">
        <v>229</v>
      </c>
      <c r="C1" s="456"/>
      <c r="D1" s="456"/>
      <c r="F1" s="69" t="s">
        <v>230</v>
      </c>
      <c r="J1" s="70" t="s">
        <v>203</v>
      </c>
    </row>
    <row r="2" spans="2:10" x14ac:dyDescent="0.2">
      <c r="B2" s="102" t="s">
        <v>49</v>
      </c>
      <c r="C2" s="102" t="s">
        <v>204</v>
      </c>
      <c r="D2" s="102" t="s">
        <v>205</v>
      </c>
      <c r="F2" s="102" t="s">
        <v>49</v>
      </c>
      <c r="G2" s="102" t="s">
        <v>204</v>
      </c>
      <c r="H2" s="102" t="s">
        <v>206</v>
      </c>
      <c r="J2" s="102" t="s">
        <v>207</v>
      </c>
    </row>
    <row r="3" spans="2:10" x14ac:dyDescent="0.2">
      <c r="B3" s="103" t="s">
        <v>208</v>
      </c>
      <c r="C3" s="71"/>
      <c r="D3" s="71"/>
      <c r="F3" s="103" t="str">
        <f>B3</f>
        <v>県産材</v>
      </c>
      <c r="G3" s="72">
        <f>IF(【様式第６号】事業報告書兼チェックシート!Y101="",0,【様式第６号】事業報告書兼チェックシート!Y101*10000)</f>
        <v>0</v>
      </c>
      <c r="H3" s="72">
        <f>IF(【様式第６号】事業報告書兼チェックシート!Y101="",0,【様式第６号】事業報告書兼チェックシート!Y101*10000)</f>
        <v>0</v>
      </c>
      <c r="J3" s="73">
        <f>IF(H3="","",MIN(D3,H3))</f>
        <v>0</v>
      </c>
    </row>
    <row r="4" spans="2:10" x14ac:dyDescent="0.2">
      <c r="B4" s="103" t="s">
        <v>212</v>
      </c>
      <c r="C4" s="74"/>
      <c r="D4" s="71"/>
      <c r="F4" s="103" t="str">
        <f t="shared" ref="F4:F9" si="0">B4</f>
        <v>県産規格材</v>
      </c>
      <c r="G4" s="72">
        <f>IF(【様式第６号】事業報告書兼チェックシート!Y102="",0,【様式第６号】事業報告書兼チェックシート!Y102*10000)</f>
        <v>0</v>
      </c>
      <c r="H4" s="72">
        <f>IF(【様式第６号】事業報告書兼チェックシート!Y102="",0,【様式第６号】事業報告書兼チェックシート!Y102*10000)</f>
        <v>0</v>
      </c>
      <c r="J4" s="73">
        <f t="shared" ref="J4:J9" si="1">IF(H4="","",MIN(D4,H4))</f>
        <v>0</v>
      </c>
    </row>
    <row r="5" spans="2:10" x14ac:dyDescent="0.2">
      <c r="B5" s="103" t="s">
        <v>446</v>
      </c>
      <c r="C5" s="74"/>
      <c r="D5" s="71"/>
      <c r="F5" s="103" t="str">
        <f t="shared" si="0"/>
        <v>県産ヤング係数確認構造材</v>
      </c>
      <c r="G5" s="72">
        <f>IF(【様式第６号】事業報告書兼チェックシート!Y106="",0,【様式第６号】事業報告書兼チェックシート!Y106*10000)</f>
        <v>0</v>
      </c>
      <c r="H5" s="72">
        <f>IF(【様式第６号】事業報告書兼チェックシート!Y106="",0,【様式第６号】事業報告書兼チェックシート!Y106*10000)</f>
        <v>0</v>
      </c>
      <c r="J5" s="73">
        <f t="shared" si="1"/>
        <v>0</v>
      </c>
    </row>
    <row r="6" spans="2:10" x14ac:dyDescent="0.2">
      <c r="B6" s="103" t="s">
        <v>213</v>
      </c>
      <c r="C6" s="74"/>
      <c r="D6" s="71"/>
      <c r="F6" s="103" t="str">
        <f t="shared" si="0"/>
        <v>県産ＣＬＴ材、県産内外装材</v>
      </c>
      <c r="G6" s="72">
        <f>IF(【様式第６号】事業報告書兼チェックシート!Y108="",0,【様式第６号】事業報告書兼チェックシート!Y108*10000)</f>
        <v>0</v>
      </c>
      <c r="H6" s="72">
        <f>IF(【様式第６号】事業報告書兼チェックシート!Y108="",0,【様式第６号】事業報告書兼チェックシート!Y108*10000)</f>
        <v>0</v>
      </c>
      <c r="J6" s="73">
        <f t="shared" si="1"/>
        <v>0</v>
      </c>
    </row>
    <row r="7" spans="2:10" x14ac:dyDescent="0.2">
      <c r="B7" s="103" t="s">
        <v>209</v>
      </c>
      <c r="C7" s="71"/>
      <c r="D7" s="71"/>
      <c r="F7" s="103" t="str">
        <f t="shared" si="0"/>
        <v>伝統技能活用</v>
      </c>
      <c r="G7" s="72">
        <f>IF(【様式第６号】事業報告書兼チェックシート!Y164="",0,【様式第６号】事業報告書兼チェックシート!Y164*10000)</f>
        <v>0</v>
      </c>
      <c r="H7" s="72">
        <f>IF(【様式第６号】事業報告書兼チェックシート!Y164="",0,【様式第６号】事業報告書兼チェックシート!Y164*10000)</f>
        <v>0</v>
      </c>
      <c r="J7" s="73">
        <f t="shared" si="1"/>
        <v>0</v>
      </c>
    </row>
    <row r="8" spans="2:10" x14ac:dyDescent="0.2">
      <c r="B8" s="103" t="s">
        <v>210</v>
      </c>
      <c r="C8" s="71"/>
      <c r="D8" s="71"/>
      <c r="F8" s="103" t="str">
        <f t="shared" si="0"/>
        <v>子育て世帯等</v>
      </c>
      <c r="G8" s="72">
        <f>IF(【様式第６号】事業報告書兼チェックシート!Y128="",0,【様式第６号】事業報告書兼チェックシート!Y128*10000)</f>
        <v>0</v>
      </c>
      <c r="H8" s="72">
        <f>IF(【様式第６号】事業報告書兼チェックシート!Y128="",0,【様式第６号】事業報告書兼チェックシート!Y128*10000)</f>
        <v>0</v>
      </c>
      <c r="J8" s="73">
        <f t="shared" si="1"/>
        <v>0</v>
      </c>
    </row>
    <row r="9" spans="2:10" x14ac:dyDescent="0.2">
      <c r="B9" s="103" t="s">
        <v>214</v>
      </c>
      <c r="C9" s="71"/>
      <c r="D9" s="71"/>
      <c r="F9" s="103" t="str">
        <f t="shared" si="0"/>
        <v>三世代同居等世帯支援</v>
      </c>
      <c r="G9" s="72">
        <f>IF(【様式第６号】事業報告書兼チェックシート!Y146="",0,【様式第６号】事業報告書兼チェックシート!Y146*10000)</f>
        <v>0</v>
      </c>
      <c r="H9" s="72">
        <f>IF(【様式第６号】事業報告書兼チェックシート!Y146="",0,【様式第６号】事業報告書兼チェックシート!Y146*10000)</f>
        <v>0</v>
      </c>
      <c r="J9" s="73">
        <f t="shared" si="1"/>
        <v>0</v>
      </c>
    </row>
    <row r="11" spans="2:10" x14ac:dyDescent="0.2">
      <c r="C11" s="102" t="s">
        <v>211</v>
      </c>
      <c r="D11" s="102" t="s">
        <v>205</v>
      </c>
      <c r="G11" s="102" t="s">
        <v>211</v>
      </c>
      <c r="H11" s="102" t="s">
        <v>205</v>
      </c>
    </row>
    <row r="12" spans="2:10" x14ac:dyDescent="0.2">
      <c r="C12" s="73" t="str">
        <f>IF(C3=0,"",SUM(C3:C9))</f>
        <v/>
      </c>
      <c r="D12" s="73" t="str">
        <f>IF(D3=0,"",MIN(SUM(D3:D9),1000000))</f>
        <v/>
      </c>
      <c r="G12" s="73" t="str">
        <f>IF(G3=0,"",SUM(G3:G9))</f>
        <v/>
      </c>
      <c r="H12" s="73" t="str">
        <f>IF(H3=0,"",MIN(MIN(SUM(J3:J9),1000000),1500000,D12))</f>
        <v/>
      </c>
    </row>
    <row r="14" spans="2:10" x14ac:dyDescent="0.2">
      <c r="B14" s="102" t="s">
        <v>49</v>
      </c>
      <c r="C14" s="102" t="s">
        <v>204</v>
      </c>
      <c r="D14" s="102" t="s">
        <v>205</v>
      </c>
      <c r="F14" s="102" t="s">
        <v>49</v>
      </c>
      <c r="G14" s="102" t="s">
        <v>204</v>
      </c>
      <c r="H14" s="102" t="s">
        <v>206</v>
      </c>
      <c r="J14" s="102" t="s">
        <v>207</v>
      </c>
    </row>
    <row r="15" spans="2:10" x14ac:dyDescent="0.2">
      <c r="B15" s="103" t="s">
        <v>410</v>
      </c>
      <c r="C15" s="71"/>
      <c r="D15" s="71"/>
      <c r="F15" s="103" t="str">
        <f>B15</f>
        <v>未来型</v>
      </c>
      <c r="G15" s="72">
        <f>IF(【様式第６号】事業報告書兼チェックシート!T231="",0,【様式第６号】事業報告書兼チェックシート!T231*10000)</f>
        <v>0</v>
      </c>
      <c r="H15" s="72">
        <f>IF(【様式第６号】事業報告書兼チェックシート!T231="",0,【様式第６号】事業報告書兼チェックシート!T231*10000)</f>
        <v>0</v>
      </c>
      <c r="J15" s="73">
        <f>IF(H15="","",MIN(D15,H15))</f>
        <v>0</v>
      </c>
    </row>
    <row r="16" spans="2:10" ht="13.5" customHeight="1" x14ac:dyDescent="0.2"/>
    <row r="17" spans="2:8" x14ac:dyDescent="0.2">
      <c r="C17" s="102" t="s">
        <v>211</v>
      </c>
      <c r="D17" s="102" t="s">
        <v>205</v>
      </c>
      <c r="G17" s="102" t="s">
        <v>211</v>
      </c>
      <c r="H17" s="102" t="s">
        <v>205</v>
      </c>
    </row>
    <row r="18" spans="2:8" x14ac:dyDescent="0.2">
      <c r="C18" s="73" t="str">
        <f>IF(C15=0,"",SUM(C15))</f>
        <v/>
      </c>
      <c r="D18" s="73" t="str">
        <f>IF(D15=0,"",SUM(D15))</f>
        <v/>
      </c>
      <c r="G18" s="73" t="str">
        <f>IF(G15=0,"",SUM(G15))</f>
        <v/>
      </c>
      <c r="H18" s="73" t="str">
        <f>IF(H15=0,"",SUM(H15))</f>
        <v/>
      </c>
    </row>
    <row r="21" spans="2:8" x14ac:dyDescent="0.2">
      <c r="B21" s="282" t="s">
        <v>502</v>
      </c>
    </row>
    <row r="22" spans="2:8" x14ac:dyDescent="0.2">
      <c r="B22" s="282" t="s">
        <v>505</v>
      </c>
    </row>
    <row r="23" spans="2:8" x14ac:dyDescent="0.2">
      <c r="B23" s="283" t="s">
        <v>504</v>
      </c>
    </row>
    <row r="25" spans="2:8" ht="13.8" thickBot="1" x14ac:dyDescent="0.25">
      <c r="C25" s="283" t="s">
        <v>503</v>
      </c>
    </row>
    <row r="26" spans="2:8" x14ac:dyDescent="0.2">
      <c r="B26" s="60" t="s">
        <v>6</v>
      </c>
      <c r="C26" s="284"/>
    </row>
    <row r="27" spans="2:8" x14ac:dyDescent="0.2">
      <c r="B27" s="60" t="s">
        <v>9</v>
      </c>
      <c r="C27" s="285"/>
    </row>
    <row r="28" spans="2:8" x14ac:dyDescent="0.2">
      <c r="B28" s="60" t="s">
        <v>471</v>
      </c>
      <c r="C28" s="285"/>
    </row>
    <row r="29" spans="2:8" x14ac:dyDescent="0.2">
      <c r="B29" s="60" t="s">
        <v>472</v>
      </c>
      <c r="C29" s="285"/>
    </row>
    <row r="30" spans="2:8" x14ac:dyDescent="0.2">
      <c r="B30" s="60" t="s">
        <v>426</v>
      </c>
      <c r="C30" s="285"/>
    </row>
    <row r="31" spans="2:8" x14ac:dyDescent="0.2">
      <c r="B31" s="60" t="s">
        <v>24</v>
      </c>
      <c r="C31" s="285"/>
    </row>
    <row r="32" spans="2:8" x14ac:dyDescent="0.2">
      <c r="B32" s="60" t="s">
        <v>111</v>
      </c>
      <c r="C32" s="285"/>
    </row>
    <row r="33" spans="2:3" x14ac:dyDescent="0.2">
      <c r="B33" s="60" t="s">
        <v>143</v>
      </c>
      <c r="C33" s="285"/>
    </row>
    <row r="34" spans="2:3" x14ac:dyDescent="0.2">
      <c r="B34" s="60" t="s">
        <v>500</v>
      </c>
      <c r="C34" s="285"/>
    </row>
    <row r="35" spans="2:3" x14ac:dyDescent="0.2">
      <c r="B35" s="60" t="s">
        <v>501</v>
      </c>
      <c r="C35" s="285"/>
    </row>
    <row r="36" spans="2:3" x14ac:dyDescent="0.2">
      <c r="B36" s="60" t="s">
        <v>30</v>
      </c>
      <c r="C36" s="285"/>
    </row>
    <row r="37" spans="2:3" x14ac:dyDescent="0.2">
      <c r="B37" s="60" t="s">
        <v>112</v>
      </c>
      <c r="C37" s="285"/>
    </row>
    <row r="38" spans="2:3" x14ac:dyDescent="0.2">
      <c r="B38" s="60" t="s">
        <v>82</v>
      </c>
      <c r="C38" s="285"/>
    </row>
    <row r="39" spans="2:3" x14ac:dyDescent="0.2">
      <c r="B39" s="60" t="s">
        <v>27</v>
      </c>
      <c r="C39" s="285"/>
    </row>
    <row r="40" spans="2:3" x14ac:dyDescent="0.2">
      <c r="B40" s="60" t="s">
        <v>28</v>
      </c>
      <c r="C40" s="285"/>
    </row>
    <row r="41" spans="2:3" x14ac:dyDescent="0.2">
      <c r="B41" s="60" t="s">
        <v>26</v>
      </c>
      <c r="C41" s="285"/>
    </row>
    <row r="42" spans="2:3" x14ac:dyDescent="0.2">
      <c r="B42" s="60" t="s">
        <v>473</v>
      </c>
      <c r="C42" s="285"/>
    </row>
    <row r="43" spans="2:3" x14ac:dyDescent="0.2">
      <c r="B43" s="60" t="s">
        <v>474</v>
      </c>
      <c r="C43" s="285"/>
    </row>
    <row r="44" spans="2:3" x14ac:dyDescent="0.2">
      <c r="B44" s="60" t="s">
        <v>475</v>
      </c>
      <c r="C44" s="285"/>
    </row>
    <row r="45" spans="2:3" x14ac:dyDescent="0.2">
      <c r="B45" s="60" t="s">
        <v>476</v>
      </c>
      <c r="C45" s="285"/>
    </row>
    <row r="46" spans="2:3" x14ac:dyDescent="0.2">
      <c r="B46" s="60" t="s">
        <v>477</v>
      </c>
      <c r="C46" s="285"/>
    </row>
    <row r="47" spans="2:3" x14ac:dyDescent="0.2">
      <c r="B47" s="60" t="s">
        <v>478</v>
      </c>
      <c r="C47" s="285"/>
    </row>
    <row r="48" spans="2:3" x14ac:dyDescent="0.2">
      <c r="B48" s="60" t="s">
        <v>3</v>
      </c>
      <c r="C48" s="285"/>
    </row>
    <row r="49" spans="2:3" x14ac:dyDescent="0.2">
      <c r="B49" s="60" t="s">
        <v>4</v>
      </c>
      <c r="C49" s="285"/>
    </row>
    <row r="50" spans="2:3" x14ac:dyDescent="0.2">
      <c r="B50" s="60" t="s">
        <v>23</v>
      </c>
      <c r="C50" s="285"/>
    </row>
    <row r="51" spans="2:3" x14ac:dyDescent="0.2">
      <c r="B51" s="60" t="s">
        <v>31</v>
      </c>
      <c r="C51" s="285"/>
    </row>
    <row r="52" spans="2:3" x14ac:dyDescent="0.2">
      <c r="B52" s="60" t="s">
        <v>479</v>
      </c>
      <c r="C52" s="285"/>
    </row>
    <row r="53" spans="2:3" x14ac:dyDescent="0.2">
      <c r="B53" s="60" t="s">
        <v>480</v>
      </c>
      <c r="C53" s="285"/>
    </row>
    <row r="54" spans="2:3" x14ac:dyDescent="0.2">
      <c r="B54" s="60" t="s">
        <v>481</v>
      </c>
      <c r="C54" s="285"/>
    </row>
    <row r="55" spans="2:3" x14ac:dyDescent="0.2">
      <c r="B55" s="60" t="s">
        <v>482</v>
      </c>
      <c r="C55" s="285"/>
    </row>
    <row r="56" spans="2:3" x14ac:dyDescent="0.2">
      <c r="B56" s="60" t="s">
        <v>483</v>
      </c>
      <c r="C56" s="285"/>
    </row>
    <row r="57" spans="2:3" x14ac:dyDescent="0.2">
      <c r="B57" s="60" t="s">
        <v>484</v>
      </c>
      <c r="C57" s="285"/>
    </row>
    <row r="58" spans="2:3" x14ac:dyDescent="0.2">
      <c r="B58" s="60" t="s">
        <v>485</v>
      </c>
      <c r="C58" s="285"/>
    </row>
    <row r="59" spans="2:3" x14ac:dyDescent="0.2">
      <c r="B59" s="60" t="s">
        <v>486</v>
      </c>
      <c r="C59" s="285"/>
    </row>
    <row r="60" spans="2:3" x14ac:dyDescent="0.2">
      <c r="B60" s="60" t="s">
        <v>487</v>
      </c>
      <c r="C60" s="285"/>
    </row>
    <row r="61" spans="2:3" x14ac:dyDescent="0.2">
      <c r="B61" s="60" t="s">
        <v>488</v>
      </c>
      <c r="C61" s="285"/>
    </row>
    <row r="62" spans="2:3" x14ac:dyDescent="0.2">
      <c r="B62" s="60" t="s">
        <v>489</v>
      </c>
      <c r="C62" s="285"/>
    </row>
    <row r="63" spans="2:3" x14ac:dyDescent="0.2">
      <c r="B63" s="60" t="s">
        <v>490</v>
      </c>
      <c r="C63" s="285"/>
    </row>
    <row r="64" spans="2:3" x14ac:dyDescent="0.2">
      <c r="B64" s="60" t="s">
        <v>491</v>
      </c>
      <c r="C64" s="285"/>
    </row>
    <row r="65" spans="2:3" x14ac:dyDescent="0.2">
      <c r="B65" s="60" t="s">
        <v>492</v>
      </c>
      <c r="C65" s="285"/>
    </row>
    <row r="66" spans="2:3" x14ac:dyDescent="0.2">
      <c r="B66" s="60" t="s">
        <v>493</v>
      </c>
      <c r="C66" s="285"/>
    </row>
    <row r="67" spans="2:3" x14ac:dyDescent="0.2">
      <c r="B67" s="60" t="s">
        <v>494</v>
      </c>
      <c r="C67" s="285"/>
    </row>
    <row r="68" spans="2:3" x14ac:dyDescent="0.2">
      <c r="B68" s="60" t="s">
        <v>495</v>
      </c>
      <c r="C68" s="285"/>
    </row>
    <row r="69" spans="2:3" x14ac:dyDescent="0.2">
      <c r="B69" s="60" t="s">
        <v>496</v>
      </c>
      <c r="C69" s="285"/>
    </row>
    <row r="70" spans="2:3" x14ac:dyDescent="0.2">
      <c r="B70" s="60" t="s">
        <v>84</v>
      </c>
      <c r="C70" s="285"/>
    </row>
    <row r="71" spans="2:3" x14ac:dyDescent="0.2">
      <c r="B71" s="60" t="s">
        <v>152</v>
      </c>
      <c r="C71" s="285"/>
    </row>
    <row r="72" spans="2:3" x14ac:dyDescent="0.2">
      <c r="B72" s="60" t="s">
        <v>497</v>
      </c>
      <c r="C72" s="285"/>
    </row>
    <row r="73" spans="2:3" x14ac:dyDescent="0.2">
      <c r="B73" s="60" t="s">
        <v>498</v>
      </c>
      <c r="C73" s="285"/>
    </row>
    <row r="74" spans="2:3" x14ac:dyDescent="0.2">
      <c r="B74" s="60" t="s">
        <v>191</v>
      </c>
      <c r="C74" s="285"/>
    </row>
    <row r="75" spans="2:3" x14ac:dyDescent="0.2">
      <c r="B75" s="60" t="s">
        <v>160</v>
      </c>
      <c r="C75" s="285"/>
    </row>
    <row r="76" spans="2:3" x14ac:dyDescent="0.2">
      <c r="B76" s="60" t="s">
        <v>499</v>
      </c>
      <c r="C76" s="285"/>
    </row>
    <row r="77" spans="2:3" x14ac:dyDescent="0.2">
      <c r="B77" s="60" t="s">
        <v>163</v>
      </c>
      <c r="C77" s="285"/>
    </row>
    <row r="78" spans="2:3" ht="13.8" thickBot="1" x14ac:dyDescent="0.25">
      <c r="B78" s="60" t="s">
        <v>162</v>
      </c>
      <c r="C78" s="286"/>
    </row>
  </sheetData>
  <sheetProtection algorithmName="SHA-512" hashValue="7dgGgq5PIkTksHkHpBDPCkD/f+YCRoDYvEllsvMFbpJpkTehjIMdqRAMGh2/o+SllwGTxLSGqKj+gubNcuQI7g==" saltValue="fetD6IGdKhxclIozXAxiCw=="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1"/>
  <sheetViews>
    <sheetView view="pageBreakPreview" zoomScaleNormal="100" zoomScaleSheetLayoutView="100" workbookViewId="0">
      <selection activeCell="A17" sqref="A17:Z17"/>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452</v>
      </c>
    </row>
    <row r="2" spans="1:63" ht="15.75" customHeight="1" x14ac:dyDescent="0.2">
      <c r="A2" s="268"/>
      <c r="B2" s="268"/>
      <c r="C2" s="268"/>
      <c r="D2" s="268"/>
      <c r="E2" s="268"/>
      <c r="F2" s="268"/>
      <c r="G2" s="268"/>
      <c r="H2" s="268"/>
      <c r="I2" s="268"/>
      <c r="J2" s="268"/>
      <c r="K2" s="268"/>
      <c r="L2" s="268"/>
      <c r="M2" s="268"/>
      <c r="N2" s="268"/>
      <c r="O2" s="269" t="s">
        <v>261</v>
      </c>
      <c r="P2" s="269"/>
      <c r="Q2" s="457" t="str">
        <f>IF(【様式第６号】事業報告書兼チェックシート!E15="","",【様式第６号】事業報告書兼チェックシート!E15)</f>
        <v/>
      </c>
      <c r="R2" s="457"/>
      <c r="S2" s="270" t="s">
        <v>8</v>
      </c>
      <c r="T2" s="457" t="str">
        <f>IF(【様式第６号】事業報告書兼チェックシート!H15="","",【様式第６号】事業報告書兼チェックシート!H15)</f>
        <v/>
      </c>
      <c r="U2" s="457"/>
      <c r="V2" s="270" t="s">
        <v>405</v>
      </c>
      <c r="W2" s="457" t="str">
        <f>IF(【様式第６号】事業報告書兼チェックシート!K15="","",【様式第６号】事業報告書兼チェックシート!K15)</f>
        <v/>
      </c>
      <c r="X2" s="457"/>
      <c r="Y2" s="270" t="s">
        <v>7</v>
      </c>
      <c r="Z2" s="270"/>
      <c r="AA2" s="75" t="str">
        <f>IF(A2="令和　年　月　日","←申請日を入力してください。","")</f>
        <v/>
      </c>
      <c r="BK2" s="76" t="s">
        <v>215</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216</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217</v>
      </c>
      <c r="P9" s="413" t="str">
        <f>IF(【様式第６号】事業報告書兼チェックシート!O17="","",【様式第６号】事業報告書兼チェックシート!O17)</f>
        <v/>
      </c>
      <c r="Q9" s="413"/>
      <c r="R9" s="413"/>
      <c r="S9" s="413"/>
      <c r="T9" s="413"/>
      <c r="U9" s="413"/>
      <c r="V9" s="413"/>
      <c r="W9" s="413"/>
      <c r="X9" s="413"/>
    </row>
    <row r="10" spans="1:63" ht="35.25" customHeight="1" x14ac:dyDescent="0.2">
      <c r="O10" s="374" t="str">
        <f>IF(【様式第６号】事業報告書兼チェックシート!N18="","",【様式第６号】事業報告書兼チェックシート!N18)</f>
        <v/>
      </c>
      <c r="P10" s="374"/>
      <c r="Q10" s="374"/>
      <c r="R10" s="374"/>
      <c r="S10" s="374"/>
      <c r="T10" s="374"/>
      <c r="U10" s="374"/>
      <c r="V10" s="374"/>
      <c r="W10" s="374"/>
      <c r="X10" s="374"/>
    </row>
    <row r="11" spans="1:63" ht="16.5" customHeight="1" x14ac:dyDescent="0.2">
      <c r="M11" s="1" t="s">
        <v>6</v>
      </c>
      <c r="O11" s="374" t="str">
        <f>IF(【様式第６号】事業報告書兼チェックシート!N19="","",【様式第６号】事業報告書兼チェックシート!N19)</f>
        <v/>
      </c>
      <c r="P11" s="374"/>
      <c r="Q11" s="374"/>
      <c r="R11" s="374"/>
      <c r="S11" s="374"/>
      <c r="T11" s="374"/>
      <c r="U11" s="374"/>
      <c r="V11" s="374"/>
      <c r="W11" s="374"/>
      <c r="X11" s="374"/>
      <c r="AA11" s="22" t="s">
        <v>66</v>
      </c>
    </row>
    <row r="12" spans="1:63" ht="16.5" customHeight="1" x14ac:dyDescent="0.2">
      <c r="M12" s="1" t="s">
        <v>9</v>
      </c>
      <c r="O12" s="374" t="str">
        <f>IF(【様式第６号】事業報告書兼チェックシート!N20="","",【様式第６号】事業報告書兼チェックシート!N20)</f>
        <v/>
      </c>
      <c r="P12" s="374"/>
      <c r="Q12" s="374"/>
      <c r="R12" s="374"/>
      <c r="S12" s="374"/>
      <c r="T12" s="374"/>
      <c r="U12" s="374"/>
      <c r="V12" s="374"/>
      <c r="W12" s="374"/>
      <c r="X12" s="374"/>
    </row>
    <row r="13" spans="1:63" ht="12" customHeight="1" x14ac:dyDescent="0.2"/>
    <row r="14" spans="1:63" ht="12" customHeight="1" x14ac:dyDescent="0.2"/>
    <row r="15" spans="1:63" ht="16.5" customHeight="1" x14ac:dyDescent="0.2">
      <c r="A15" s="428" t="s">
        <v>419</v>
      </c>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78"/>
      <c r="AB15" s="78"/>
      <c r="AC15" s="78"/>
      <c r="AD15" s="78"/>
      <c r="AE15" s="78"/>
      <c r="AF15" s="78"/>
      <c r="AG15" s="78"/>
    </row>
    <row r="16" spans="1:63" ht="12.75" customHeight="1" x14ac:dyDescent="0.2">
      <c r="AA16" s="78"/>
      <c r="AB16" s="78"/>
      <c r="AC16" s="459"/>
      <c r="AD16" s="460"/>
      <c r="AE16" s="460"/>
      <c r="AF16" s="460"/>
      <c r="AG16" s="461"/>
      <c r="AH16" s="67"/>
    </row>
    <row r="17" spans="1:52" ht="45" customHeight="1" x14ac:dyDescent="0.2">
      <c r="A17" s="458" t="s">
        <v>414</v>
      </c>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415</v>
      </c>
    </row>
    <row r="19" spans="1:52" ht="16.5" customHeight="1" x14ac:dyDescent="0.2">
      <c r="A19" s="428" t="s">
        <v>14</v>
      </c>
      <c r="B19" s="428"/>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58" t="s">
        <v>216</v>
      </c>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row>
    <row r="20" spans="1:52" ht="16.5" customHeight="1" x14ac:dyDescent="0.2"/>
    <row r="21" spans="1:52" ht="16.5" customHeight="1" x14ac:dyDescent="0.2">
      <c r="B21" s="295" t="s">
        <v>218</v>
      </c>
      <c r="C21" s="296"/>
      <c r="D21" s="296"/>
      <c r="E21" s="296"/>
      <c r="F21" s="296"/>
      <c r="G21" s="297"/>
      <c r="H21" s="295" t="s">
        <v>15</v>
      </c>
      <c r="I21" s="296"/>
      <c r="J21" s="296"/>
      <c r="K21" s="296"/>
      <c r="L21" s="296"/>
      <c r="M21" s="296"/>
      <c r="N21" s="296"/>
      <c r="O21" s="296"/>
      <c r="P21" s="296"/>
      <c r="Q21" s="296"/>
      <c r="R21" s="296"/>
      <c r="S21" s="296"/>
      <c r="T21" s="296"/>
      <c r="U21" s="296"/>
      <c r="V21" s="296"/>
      <c r="W21" s="296"/>
      <c r="X21" s="296"/>
      <c r="Y21" s="297"/>
    </row>
    <row r="22" spans="1:52" ht="16.5" customHeight="1" x14ac:dyDescent="0.2">
      <c r="B22" s="315" t="s">
        <v>219</v>
      </c>
      <c r="C22" s="316"/>
      <c r="D22" s="316"/>
      <c r="E22" s="316"/>
      <c r="F22" s="316"/>
      <c r="G22" s="317"/>
      <c r="H22" s="464" t="s">
        <v>16</v>
      </c>
      <c r="I22" s="465"/>
      <c r="J22" s="465"/>
      <c r="K22" s="465"/>
      <c r="L22" s="465"/>
      <c r="M22" s="465"/>
      <c r="N22" s="465"/>
      <c r="O22" s="465"/>
      <c r="P22" s="466"/>
      <c r="Q22" s="295" t="s">
        <v>205</v>
      </c>
      <c r="R22" s="296"/>
      <c r="S22" s="296"/>
      <c r="T22" s="296"/>
      <c r="U22" s="296"/>
      <c r="V22" s="296"/>
      <c r="W22" s="296"/>
      <c r="X22" s="296"/>
      <c r="Y22" s="297"/>
    </row>
    <row r="23" spans="1:52" ht="16.5" customHeight="1" x14ac:dyDescent="0.2">
      <c r="B23" s="347"/>
      <c r="C23" s="348"/>
      <c r="D23" s="348"/>
      <c r="E23" s="348"/>
      <c r="F23" s="348"/>
      <c r="G23" s="349"/>
      <c r="H23" s="462" t="str">
        <f>IF('要入力　交付決定状況入力シート'!C12="","",'要入力　交付決定状況入力シート'!C12)</f>
        <v/>
      </c>
      <c r="I23" s="463"/>
      <c r="J23" s="463"/>
      <c r="K23" s="463"/>
      <c r="L23" s="463"/>
      <c r="M23" s="463"/>
      <c r="N23" s="463"/>
      <c r="O23" s="463"/>
      <c r="P23" s="79" t="s">
        <v>17</v>
      </c>
      <c r="Q23" s="462" t="str">
        <f>IF('要入力　交付決定状況入力シート'!D12="","",'要入力　交付決定状況入力シート'!D12)</f>
        <v/>
      </c>
      <c r="R23" s="463"/>
      <c r="S23" s="463"/>
      <c r="T23" s="463"/>
      <c r="U23" s="463"/>
      <c r="V23" s="463"/>
      <c r="W23" s="463"/>
      <c r="X23" s="463"/>
      <c r="Y23" s="79" t="s">
        <v>17</v>
      </c>
      <c r="AA23" s="22" t="s">
        <v>266</v>
      </c>
    </row>
    <row r="24" spans="1:52" ht="16.5" customHeight="1" x14ac:dyDescent="0.2">
      <c r="B24" s="295" t="s">
        <v>220</v>
      </c>
      <c r="C24" s="296"/>
      <c r="D24" s="296"/>
      <c r="E24" s="296"/>
      <c r="F24" s="296"/>
      <c r="G24" s="297"/>
      <c r="H24" s="462" t="str">
        <f>IF('要入力　交付決定状況入力シート'!G12="","",'要入力　交付決定状況入力シート'!G12)</f>
        <v/>
      </c>
      <c r="I24" s="463"/>
      <c r="J24" s="463"/>
      <c r="K24" s="463"/>
      <c r="L24" s="463"/>
      <c r="M24" s="463"/>
      <c r="N24" s="463"/>
      <c r="O24" s="463"/>
      <c r="P24" s="79" t="s">
        <v>17</v>
      </c>
      <c r="Q24" s="462" t="str">
        <f>IF('要入力　交付決定状況入力シート'!H12="","",'要入力　交付決定状況入力シート'!H12)</f>
        <v/>
      </c>
      <c r="R24" s="463"/>
      <c r="S24" s="463"/>
      <c r="T24" s="463"/>
      <c r="U24" s="463"/>
      <c r="V24" s="463"/>
      <c r="W24" s="463"/>
      <c r="X24" s="463"/>
      <c r="Y24" s="79" t="s">
        <v>17</v>
      </c>
      <c r="AA24" s="22" t="s">
        <v>228</v>
      </c>
    </row>
    <row r="25" spans="1:52" ht="16.5" customHeight="1" x14ac:dyDescent="0.2">
      <c r="B25" s="295" t="s">
        <v>221</v>
      </c>
      <c r="C25" s="296"/>
      <c r="D25" s="296"/>
      <c r="E25" s="296"/>
      <c r="F25" s="296"/>
      <c r="G25" s="297"/>
      <c r="H25" s="462" t="str">
        <f>IF(H23="","",H24-H23)</f>
        <v/>
      </c>
      <c r="I25" s="463"/>
      <c r="J25" s="463"/>
      <c r="K25" s="463"/>
      <c r="L25" s="463"/>
      <c r="M25" s="463"/>
      <c r="N25" s="463"/>
      <c r="O25" s="463"/>
      <c r="P25" s="79" t="s">
        <v>17</v>
      </c>
      <c r="Q25" s="462" t="str">
        <f>IF(Q23="","",Q24-Q23)</f>
        <v/>
      </c>
      <c r="R25" s="463"/>
      <c r="S25" s="463"/>
      <c r="T25" s="463"/>
      <c r="U25" s="463"/>
      <c r="V25" s="463"/>
      <c r="W25" s="463"/>
      <c r="X25" s="463"/>
      <c r="Y25" s="79" t="s">
        <v>17</v>
      </c>
      <c r="AA25" s="78"/>
    </row>
    <row r="26" spans="1:52" ht="16.5" customHeight="1" x14ac:dyDescent="0.2">
      <c r="B26" s="38"/>
      <c r="C26" s="38"/>
      <c r="D26" s="38"/>
      <c r="E26" s="38"/>
      <c r="F26" s="38"/>
      <c r="G26" s="38"/>
      <c r="H26" s="105"/>
      <c r="I26" s="105"/>
      <c r="J26" s="105"/>
      <c r="K26" s="105"/>
      <c r="L26" s="105"/>
      <c r="M26" s="105"/>
      <c r="N26" s="105"/>
      <c r="O26" s="105"/>
      <c r="P26" s="106"/>
      <c r="Q26" s="105"/>
      <c r="R26" s="105"/>
      <c r="S26" s="105"/>
      <c r="T26" s="105"/>
      <c r="U26" s="105"/>
      <c r="V26" s="105"/>
      <c r="W26" s="105"/>
      <c r="X26" s="105"/>
      <c r="Y26" s="106"/>
      <c r="AA26" s="78"/>
    </row>
    <row r="27" spans="1:52" ht="16.5" customHeight="1" x14ac:dyDescent="0.2">
      <c r="B27" s="38"/>
      <c r="C27" s="38"/>
      <c r="D27" s="38"/>
      <c r="E27" s="38"/>
      <c r="F27" s="38"/>
      <c r="G27" s="38"/>
      <c r="H27" s="105"/>
      <c r="I27" s="105"/>
      <c r="J27" s="105"/>
      <c r="K27" s="105"/>
      <c r="L27" s="105"/>
      <c r="M27" s="105"/>
      <c r="N27" s="105"/>
      <c r="O27" s="105"/>
      <c r="P27" s="106"/>
      <c r="Q27" s="105"/>
      <c r="R27" s="105"/>
      <c r="S27" s="105"/>
      <c r="T27" s="105"/>
      <c r="U27" s="105"/>
      <c r="V27" s="105"/>
      <c r="W27" s="105"/>
      <c r="X27" s="105"/>
      <c r="Y27" s="106"/>
      <c r="AA27" s="78"/>
    </row>
    <row r="28" spans="1:52" ht="16.5" customHeight="1" x14ac:dyDescent="0.2">
      <c r="B28" s="38"/>
      <c r="C28" s="38"/>
      <c r="D28" s="38"/>
      <c r="E28" s="38"/>
      <c r="F28" s="38"/>
      <c r="G28" s="38"/>
      <c r="H28" s="105"/>
      <c r="I28" s="105"/>
      <c r="J28" s="105"/>
      <c r="K28" s="105"/>
      <c r="L28" s="105"/>
      <c r="M28" s="105"/>
      <c r="N28" s="105"/>
      <c r="O28" s="105"/>
      <c r="P28" s="106"/>
      <c r="Q28" s="105"/>
      <c r="R28" s="105"/>
      <c r="S28" s="105"/>
      <c r="T28" s="105"/>
      <c r="U28" s="105"/>
      <c r="V28" s="105"/>
      <c r="W28" s="105"/>
      <c r="X28" s="105"/>
      <c r="Y28" s="106"/>
      <c r="AA28" s="78"/>
    </row>
    <row r="29" spans="1:52" ht="16.5" customHeight="1" x14ac:dyDescent="0.2">
      <c r="B29" s="38"/>
      <c r="C29" s="38"/>
      <c r="D29" s="38"/>
      <c r="E29" s="38"/>
      <c r="F29" s="38"/>
      <c r="G29" s="38"/>
      <c r="H29" s="105"/>
      <c r="I29" s="105"/>
      <c r="J29" s="105"/>
      <c r="K29" s="105"/>
      <c r="L29" s="105"/>
      <c r="M29" s="105"/>
      <c r="N29" s="105"/>
      <c r="O29" s="105"/>
      <c r="P29" s="106"/>
      <c r="Q29" s="105"/>
      <c r="R29" s="105"/>
      <c r="S29" s="105"/>
      <c r="T29" s="105"/>
      <c r="U29" s="105"/>
      <c r="V29" s="105"/>
      <c r="W29" s="105"/>
      <c r="X29" s="105"/>
      <c r="Y29" s="106"/>
      <c r="AA29" s="78"/>
    </row>
    <row r="30" spans="1:52" ht="16.5" customHeight="1" x14ac:dyDescent="0.2">
      <c r="B30" s="38"/>
      <c r="C30" s="38"/>
      <c r="D30" s="38"/>
      <c r="E30" s="38"/>
      <c r="F30" s="38"/>
      <c r="G30" s="38"/>
      <c r="H30" s="105"/>
      <c r="I30" s="105"/>
      <c r="J30" s="105"/>
      <c r="K30" s="105"/>
      <c r="L30" s="105"/>
      <c r="M30" s="105"/>
      <c r="N30" s="105"/>
      <c r="O30" s="105"/>
      <c r="P30" s="106"/>
      <c r="Q30" s="105"/>
      <c r="R30" s="105"/>
      <c r="S30" s="105"/>
      <c r="T30" s="105"/>
      <c r="U30" s="105"/>
      <c r="V30" s="105"/>
      <c r="W30" s="105"/>
      <c r="X30" s="105"/>
      <c r="Y30" s="106"/>
      <c r="AA30" s="78"/>
    </row>
    <row r="31" spans="1:52" ht="16.5" customHeight="1" x14ac:dyDescent="0.2">
      <c r="B31" s="38"/>
      <c r="C31" s="38"/>
      <c r="D31" s="38"/>
      <c r="E31" s="38"/>
      <c r="F31" s="38"/>
      <c r="G31" s="38"/>
      <c r="H31" s="105"/>
      <c r="I31" s="105"/>
      <c r="J31" s="105"/>
      <c r="K31" s="105"/>
      <c r="L31" s="105"/>
      <c r="M31" s="105"/>
      <c r="N31" s="105"/>
      <c r="O31" s="105"/>
      <c r="P31" s="106"/>
      <c r="Q31" s="105"/>
      <c r="R31" s="105"/>
      <c r="S31" s="105"/>
      <c r="T31" s="105"/>
      <c r="U31" s="105"/>
      <c r="V31" s="105"/>
      <c r="W31" s="105"/>
      <c r="X31" s="105"/>
      <c r="Y31" s="106"/>
      <c r="AA31" s="78"/>
    </row>
    <row r="32" spans="1:52" ht="16.5" customHeight="1" x14ac:dyDescent="0.2">
      <c r="B32" s="38"/>
      <c r="C32" s="38"/>
      <c r="D32" s="38"/>
      <c r="E32" s="38"/>
      <c r="F32" s="38"/>
      <c r="G32" s="38"/>
      <c r="H32" s="105"/>
      <c r="I32" s="105"/>
      <c r="J32" s="105"/>
      <c r="K32" s="105"/>
      <c r="L32" s="105"/>
      <c r="M32" s="105"/>
      <c r="N32" s="105"/>
      <c r="O32" s="105"/>
      <c r="P32" s="106"/>
      <c r="Q32" s="105"/>
      <c r="R32" s="105"/>
      <c r="S32" s="105"/>
      <c r="T32" s="105"/>
      <c r="U32" s="105"/>
      <c r="V32" s="105"/>
      <c r="W32" s="105"/>
      <c r="X32" s="105"/>
      <c r="Y32" s="106"/>
      <c r="AA32" s="78"/>
    </row>
    <row r="33" spans="2:27" ht="16.5" customHeight="1" x14ac:dyDescent="0.2">
      <c r="B33" s="38"/>
      <c r="C33" s="38"/>
      <c r="D33" s="38"/>
      <c r="E33" s="38"/>
      <c r="F33" s="38"/>
      <c r="G33" s="38"/>
      <c r="H33" s="105"/>
      <c r="I33" s="105"/>
      <c r="J33" s="105"/>
      <c r="K33" s="105"/>
      <c r="L33" s="105"/>
      <c r="M33" s="105"/>
      <c r="N33" s="105"/>
      <c r="O33" s="105"/>
      <c r="P33" s="106"/>
      <c r="Q33" s="105"/>
      <c r="R33" s="105"/>
      <c r="S33" s="105"/>
      <c r="T33" s="105"/>
      <c r="U33" s="105"/>
      <c r="V33" s="105"/>
      <c r="W33" s="105"/>
      <c r="X33" s="105"/>
      <c r="Y33" s="106"/>
      <c r="AA33" s="78"/>
    </row>
    <row r="34" spans="2:27" ht="16.5" customHeight="1" x14ac:dyDescent="0.2">
      <c r="B34" s="38"/>
      <c r="C34" s="38"/>
      <c r="D34" s="38"/>
      <c r="E34" s="38"/>
      <c r="F34" s="38"/>
      <c r="G34" s="38"/>
      <c r="H34" s="105"/>
      <c r="I34" s="105"/>
      <c r="J34" s="105"/>
      <c r="K34" s="105"/>
      <c r="L34" s="105"/>
      <c r="M34" s="105"/>
      <c r="N34" s="105"/>
      <c r="O34" s="105"/>
      <c r="P34" s="106"/>
      <c r="Q34" s="105"/>
      <c r="R34" s="105"/>
      <c r="S34" s="105"/>
      <c r="T34" s="105"/>
      <c r="U34" s="105"/>
      <c r="V34" s="105"/>
      <c r="W34" s="105"/>
      <c r="X34" s="105"/>
      <c r="Y34" s="106"/>
      <c r="AA34" s="78"/>
    </row>
    <row r="35" spans="2:27" ht="16.5" customHeight="1" x14ac:dyDescent="0.2">
      <c r="B35" s="38"/>
      <c r="C35" s="38"/>
      <c r="D35" s="38"/>
      <c r="E35" s="38"/>
      <c r="F35" s="38"/>
      <c r="G35" s="38"/>
      <c r="H35" s="105"/>
      <c r="I35" s="105"/>
      <c r="J35" s="105"/>
      <c r="K35" s="105"/>
      <c r="L35" s="105"/>
      <c r="M35" s="105"/>
      <c r="N35" s="105"/>
      <c r="O35" s="105"/>
      <c r="P35" s="106"/>
      <c r="Q35" s="105"/>
      <c r="R35" s="105"/>
      <c r="S35" s="105"/>
      <c r="T35" s="105"/>
      <c r="U35" s="105"/>
      <c r="V35" s="105"/>
      <c r="W35" s="105"/>
      <c r="X35" s="105"/>
      <c r="Y35" s="106"/>
      <c r="AA35" s="78"/>
    </row>
    <row r="36" spans="2:27" ht="16.5" customHeight="1" x14ac:dyDescent="0.2">
      <c r="B36" s="38"/>
      <c r="C36" s="38"/>
      <c r="D36" s="38"/>
      <c r="E36" s="38"/>
      <c r="F36" s="38"/>
      <c r="G36" s="38"/>
      <c r="H36" s="105"/>
      <c r="I36" s="105"/>
      <c r="J36" s="105"/>
      <c r="K36" s="105"/>
      <c r="L36" s="105"/>
      <c r="M36" s="105"/>
      <c r="N36" s="105"/>
      <c r="O36" s="105"/>
      <c r="P36" s="106"/>
      <c r="Q36" s="105"/>
      <c r="R36" s="105"/>
      <c r="S36" s="105"/>
      <c r="T36" s="105"/>
      <c r="U36" s="105"/>
      <c r="V36" s="105"/>
      <c r="W36" s="105"/>
      <c r="X36" s="105"/>
      <c r="Y36" s="106"/>
      <c r="AA36" s="78"/>
    </row>
    <row r="37" spans="2:27" ht="16.5" customHeight="1" x14ac:dyDescent="0.2">
      <c r="B37" s="38"/>
      <c r="C37" s="38"/>
      <c r="D37" s="38"/>
      <c r="E37" s="38"/>
      <c r="F37" s="38"/>
      <c r="G37" s="38"/>
      <c r="H37" s="105"/>
      <c r="I37" s="105"/>
      <c r="J37" s="105"/>
      <c r="K37" s="105"/>
      <c r="L37" s="105"/>
      <c r="M37" s="105"/>
      <c r="N37" s="105"/>
      <c r="O37" s="105"/>
      <c r="P37" s="106"/>
      <c r="Q37" s="105"/>
      <c r="R37" s="105"/>
      <c r="S37" s="105"/>
      <c r="T37" s="105"/>
      <c r="U37" s="105"/>
      <c r="V37" s="105"/>
      <c r="W37" s="105"/>
      <c r="X37" s="105"/>
      <c r="Y37" s="106"/>
      <c r="AA37" s="78"/>
    </row>
    <row r="38" spans="2:27" ht="16.5" customHeight="1" x14ac:dyDescent="0.2">
      <c r="B38" s="38"/>
      <c r="C38" s="38"/>
      <c r="D38" s="38"/>
      <c r="E38" s="38"/>
      <c r="F38" s="38"/>
      <c r="G38" s="38"/>
      <c r="H38" s="105"/>
      <c r="I38" s="105"/>
      <c r="J38" s="105"/>
      <c r="K38" s="105"/>
      <c r="L38" s="105"/>
      <c r="M38" s="105"/>
      <c r="N38" s="105"/>
      <c r="O38" s="105"/>
      <c r="P38" s="106"/>
      <c r="Q38" s="105"/>
      <c r="R38" s="105"/>
      <c r="S38" s="105"/>
      <c r="T38" s="105"/>
      <c r="U38" s="105"/>
      <c r="V38" s="105"/>
      <c r="W38" s="105"/>
      <c r="X38" s="105"/>
      <c r="Y38" s="106"/>
      <c r="AA38" s="78"/>
    </row>
    <row r="39" spans="2:27" ht="16.5" customHeight="1" x14ac:dyDescent="0.2">
      <c r="B39" s="38"/>
      <c r="C39" s="38"/>
      <c r="D39" s="38"/>
      <c r="E39" s="38"/>
      <c r="F39" s="38"/>
      <c r="G39" s="38"/>
      <c r="H39" s="105"/>
      <c r="I39" s="105"/>
      <c r="J39" s="105"/>
      <c r="K39" s="105"/>
      <c r="L39" s="105"/>
      <c r="M39" s="105"/>
      <c r="N39" s="105"/>
      <c r="O39" s="105"/>
      <c r="P39" s="106"/>
      <c r="Q39" s="105"/>
      <c r="R39" s="105"/>
      <c r="S39" s="105"/>
      <c r="T39" s="105"/>
      <c r="U39" s="105"/>
      <c r="V39" s="105"/>
      <c r="W39" s="105"/>
      <c r="X39" s="105"/>
      <c r="Y39" s="106"/>
      <c r="AA39" s="78"/>
    </row>
    <row r="40" spans="2:27" ht="16.5" customHeight="1" x14ac:dyDescent="0.2">
      <c r="B40" s="38"/>
      <c r="C40" s="38"/>
      <c r="D40" s="38"/>
      <c r="E40" s="38"/>
      <c r="F40" s="38"/>
      <c r="G40" s="38"/>
      <c r="H40" s="105"/>
      <c r="I40" s="105"/>
      <c r="J40" s="105"/>
      <c r="K40" s="105"/>
      <c r="L40" s="105"/>
      <c r="M40" s="105"/>
      <c r="N40" s="105"/>
      <c r="O40" s="105"/>
      <c r="P40" s="106"/>
      <c r="Q40" s="105"/>
      <c r="R40" s="105"/>
      <c r="S40" s="105"/>
      <c r="T40" s="105"/>
      <c r="U40" s="105"/>
      <c r="V40" s="105"/>
      <c r="W40" s="105"/>
      <c r="X40" s="105"/>
      <c r="Y40" s="106"/>
      <c r="AA40" s="78"/>
    </row>
    <row r="41" spans="2:27" ht="16.5" customHeight="1" x14ac:dyDescent="0.2">
      <c r="B41" s="38"/>
      <c r="C41" s="38"/>
      <c r="D41" s="38"/>
      <c r="E41" s="38"/>
      <c r="F41" s="38"/>
      <c r="G41" s="38"/>
      <c r="H41" s="105"/>
      <c r="I41" s="105"/>
      <c r="J41" s="105"/>
      <c r="K41" s="105"/>
      <c r="L41" s="105"/>
      <c r="M41" s="105"/>
      <c r="N41" s="105"/>
      <c r="O41" s="105"/>
      <c r="P41" s="106"/>
      <c r="Q41" s="105"/>
      <c r="R41" s="105"/>
      <c r="S41" s="105"/>
      <c r="T41" s="105"/>
      <c r="U41" s="105"/>
      <c r="V41" s="105"/>
      <c r="W41" s="105"/>
      <c r="X41" s="105"/>
      <c r="Y41" s="106"/>
      <c r="AA41" s="78"/>
    </row>
    <row r="42" spans="2:27" ht="16.5" customHeight="1" x14ac:dyDescent="0.2">
      <c r="B42" s="38"/>
      <c r="C42" s="38"/>
      <c r="D42" s="38"/>
      <c r="E42" s="38"/>
      <c r="F42" s="38"/>
      <c r="G42" s="38"/>
      <c r="H42" s="105"/>
      <c r="I42" s="105"/>
      <c r="J42" s="105"/>
      <c r="K42" s="105"/>
      <c r="L42" s="105"/>
      <c r="M42" s="105"/>
      <c r="N42" s="105"/>
      <c r="O42" s="105"/>
      <c r="P42" s="106"/>
      <c r="Q42" s="105"/>
      <c r="R42" s="105"/>
      <c r="S42" s="105"/>
      <c r="T42" s="105"/>
      <c r="U42" s="105"/>
      <c r="V42" s="105"/>
      <c r="W42" s="105"/>
      <c r="X42" s="105"/>
      <c r="Y42" s="106"/>
      <c r="AA42" s="78"/>
    </row>
    <row r="43" spans="2:27" ht="16.5" customHeight="1" x14ac:dyDescent="0.2">
      <c r="B43" s="38"/>
      <c r="C43" s="38"/>
      <c r="D43" s="38"/>
      <c r="E43" s="38"/>
      <c r="F43" s="38"/>
      <c r="G43" s="38"/>
      <c r="H43" s="105"/>
      <c r="I43" s="105"/>
      <c r="J43" s="105"/>
      <c r="K43" s="105"/>
      <c r="L43" s="105"/>
      <c r="M43" s="105"/>
      <c r="N43" s="105"/>
      <c r="O43" s="105"/>
      <c r="P43" s="106"/>
      <c r="Q43" s="105"/>
      <c r="R43" s="105"/>
      <c r="S43" s="105"/>
      <c r="T43" s="105"/>
      <c r="U43" s="105"/>
      <c r="V43" s="105"/>
      <c r="W43" s="105"/>
      <c r="X43" s="105"/>
      <c r="Y43" s="106"/>
      <c r="AA43" s="78"/>
    </row>
    <row r="44" spans="2:27" ht="16.5" customHeight="1" x14ac:dyDescent="0.2">
      <c r="B44" s="38"/>
      <c r="C44" s="38"/>
      <c r="D44" s="38"/>
      <c r="E44" s="38"/>
      <c r="F44" s="38"/>
      <c r="G44" s="38"/>
      <c r="H44" s="105"/>
      <c r="I44" s="105"/>
      <c r="J44" s="105"/>
      <c r="K44" s="105"/>
      <c r="L44" s="105"/>
      <c r="M44" s="105"/>
      <c r="N44" s="105"/>
      <c r="O44" s="105"/>
      <c r="P44" s="106"/>
      <c r="Q44" s="105"/>
      <c r="R44" s="105"/>
      <c r="S44" s="105"/>
      <c r="T44" s="105"/>
      <c r="U44" s="105"/>
      <c r="V44" s="105"/>
      <c r="W44" s="105"/>
      <c r="X44" s="105"/>
      <c r="Y44" s="106"/>
      <c r="AA44" s="78"/>
    </row>
    <row r="45" spans="2:27" ht="16.5" customHeight="1" x14ac:dyDescent="0.2">
      <c r="B45" s="38"/>
      <c r="C45" s="38"/>
      <c r="D45" s="38"/>
      <c r="E45" s="38"/>
      <c r="F45" s="38"/>
      <c r="G45" s="38"/>
      <c r="H45" s="105"/>
      <c r="I45" s="105"/>
      <c r="J45" s="105"/>
      <c r="K45" s="105"/>
      <c r="L45" s="105"/>
      <c r="M45" s="105"/>
      <c r="N45" s="105"/>
      <c r="O45" s="105"/>
      <c r="P45" s="106"/>
      <c r="Q45" s="105"/>
      <c r="R45" s="105"/>
      <c r="S45" s="105"/>
      <c r="T45" s="105"/>
      <c r="U45" s="105"/>
      <c r="V45" s="105"/>
      <c r="W45" s="105"/>
      <c r="X45" s="105"/>
      <c r="Y45" s="106"/>
      <c r="AA45" s="78"/>
    </row>
    <row r="46" spans="2:27" ht="16.5" customHeight="1" x14ac:dyDescent="0.2">
      <c r="B46" s="38"/>
      <c r="C46" s="38"/>
      <c r="D46" s="38"/>
      <c r="E46" s="38"/>
      <c r="F46" s="38"/>
      <c r="G46" s="38"/>
      <c r="H46" s="105"/>
      <c r="I46" s="105"/>
      <c r="J46" s="105"/>
      <c r="K46" s="105"/>
      <c r="L46" s="105"/>
      <c r="M46" s="105"/>
      <c r="N46" s="105"/>
      <c r="O46" s="105"/>
      <c r="P46" s="106"/>
      <c r="Q46" s="105"/>
      <c r="R46" s="105"/>
      <c r="S46" s="105"/>
      <c r="T46" s="105"/>
      <c r="U46" s="105"/>
      <c r="V46" s="105"/>
      <c r="W46" s="105"/>
      <c r="X46" s="105"/>
      <c r="Y46" s="106"/>
      <c r="AA46" s="78"/>
    </row>
    <row r="47" spans="2:27" ht="16.5" customHeight="1" x14ac:dyDescent="0.2">
      <c r="B47" s="38"/>
      <c r="C47" s="38"/>
      <c r="D47" s="38"/>
      <c r="E47" s="38"/>
      <c r="F47" s="38"/>
      <c r="G47" s="38"/>
      <c r="H47" s="105"/>
      <c r="I47" s="105"/>
      <c r="J47" s="105"/>
      <c r="K47" s="105"/>
      <c r="L47" s="105"/>
      <c r="M47" s="105"/>
      <c r="N47" s="105"/>
      <c r="O47" s="105"/>
      <c r="P47" s="106"/>
      <c r="Q47" s="105"/>
      <c r="R47" s="105"/>
      <c r="S47" s="105"/>
      <c r="T47" s="105"/>
      <c r="U47" s="105"/>
      <c r="V47" s="105"/>
      <c r="W47" s="105"/>
      <c r="X47" s="105"/>
      <c r="Y47" s="106"/>
      <c r="AA47" s="78"/>
    </row>
    <row r="48" spans="2:27" ht="16.5" customHeight="1" x14ac:dyDescent="0.2">
      <c r="B48" s="38"/>
      <c r="C48" s="38"/>
      <c r="D48" s="38"/>
      <c r="E48" s="38"/>
      <c r="F48" s="38"/>
      <c r="G48" s="38"/>
      <c r="H48" s="105"/>
      <c r="I48" s="105"/>
      <c r="J48" s="105"/>
      <c r="K48" s="105"/>
      <c r="L48" s="105"/>
      <c r="M48" s="105"/>
      <c r="N48" s="105"/>
      <c r="O48" s="105"/>
      <c r="P48" s="106"/>
      <c r="Q48" s="105"/>
      <c r="R48" s="105"/>
      <c r="S48" s="105"/>
      <c r="T48" s="105"/>
      <c r="U48" s="105"/>
      <c r="V48" s="105"/>
      <c r="W48" s="105"/>
      <c r="X48" s="105"/>
      <c r="Y48" s="107" t="s">
        <v>265</v>
      </c>
      <c r="AA48" s="78"/>
    </row>
    <row r="49" spans="2:27" ht="16.5" customHeight="1" x14ac:dyDescent="0.2">
      <c r="B49" s="38"/>
      <c r="C49" s="38"/>
      <c r="D49" s="38"/>
      <c r="E49" s="38"/>
      <c r="F49" s="38"/>
      <c r="G49" s="38"/>
      <c r="H49" s="105"/>
      <c r="I49" s="105"/>
      <c r="J49" s="105"/>
      <c r="K49" s="105"/>
      <c r="L49" s="105"/>
      <c r="M49" s="105"/>
      <c r="N49" s="105"/>
      <c r="O49" s="105"/>
      <c r="P49" s="106"/>
      <c r="Q49" s="105"/>
      <c r="R49" s="105"/>
      <c r="S49" s="105"/>
      <c r="T49" s="105"/>
      <c r="U49" s="105"/>
      <c r="V49" s="105"/>
      <c r="W49" s="105"/>
      <c r="X49" s="105"/>
      <c r="Y49" s="106"/>
      <c r="AA49" s="78"/>
    </row>
    <row r="50" spans="2:27" ht="16.5" customHeight="1" x14ac:dyDescent="0.2">
      <c r="B50" s="38"/>
      <c r="C50" s="38"/>
      <c r="D50" s="38"/>
      <c r="E50" s="38"/>
      <c r="F50" s="38"/>
      <c r="G50" s="38"/>
      <c r="H50" s="105"/>
      <c r="I50" s="105"/>
      <c r="J50" s="105"/>
      <c r="K50" s="105"/>
      <c r="L50" s="105"/>
      <c r="M50" s="105"/>
      <c r="N50" s="105"/>
      <c r="O50" s="105"/>
      <c r="P50" s="106"/>
      <c r="Q50" s="105"/>
      <c r="R50" s="105"/>
      <c r="S50" s="105"/>
      <c r="T50" s="105"/>
      <c r="U50" s="105"/>
      <c r="V50" s="105"/>
      <c r="W50" s="105"/>
      <c r="X50" s="105"/>
      <c r="Y50" s="106"/>
      <c r="AA50" s="78"/>
    </row>
    <row r="51" spans="2:27" ht="16.5" customHeight="1" x14ac:dyDescent="0.2">
      <c r="B51" s="472" t="s">
        <v>418</v>
      </c>
      <c r="C51" s="473"/>
      <c r="D51" s="473"/>
      <c r="E51" s="473"/>
      <c r="F51" s="473"/>
      <c r="G51" s="474"/>
      <c r="H51" s="271"/>
      <c r="I51" s="272"/>
      <c r="J51" s="272"/>
      <c r="K51" s="272"/>
      <c r="L51" s="272"/>
      <c r="M51" s="272"/>
      <c r="N51" s="272"/>
      <c r="O51" s="272"/>
      <c r="P51" s="272"/>
      <c r="Q51" s="272"/>
      <c r="R51" s="272"/>
      <c r="S51" s="272"/>
      <c r="T51" s="272"/>
      <c r="U51" s="272"/>
      <c r="V51" s="272"/>
      <c r="W51" s="272"/>
      <c r="X51" s="272"/>
      <c r="Y51" s="273"/>
      <c r="AA51" s="78" t="s">
        <v>67</v>
      </c>
    </row>
    <row r="52" spans="2:27" ht="16.5" customHeight="1" x14ac:dyDescent="0.2">
      <c r="B52" s="475"/>
      <c r="C52" s="476"/>
      <c r="D52" s="476"/>
      <c r="E52" s="476"/>
      <c r="F52" s="476"/>
      <c r="G52" s="477"/>
      <c r="H52" s="81" t="s">
        <v>451</v>
      </c>
      <c r="I52" s="13"/>
      <c r="J52" s="13"/>
      <c r="K52" s="13"/>
      <c r="L52" s="13"/>
      <c r="M52" s="13"/>
      <c r="N52" s="13"/>
      <c r="O52" s="13"/>
      <c r="P52" s="13"/>
      <c r="Q52" s="13"/>
      <c r="R52" s="13"/>
      <c r="S52" s="13"/>
      <c r="T52" s="13"/>
      <c r="U52" s="13"/>
      <c r="V52" s="13"/>
      <c r="W52" s="13"/>
      <c r="X52" s="13"/>
      <c r="Y52" s="82"/>
      <c r="AA52" s="78"/>
    </row>
    <row r="53" spans="2:27" ht="16.5" hidden="1" customHeight="1" x14ac:dyDescent="0.2">
      <c r="B53" s="475"/>
      <c r="C53" s="476"/>
      <c r="D53" s="476"/>
      <c r="E53" s="476"/>
      <c r="F53" s="476"/>
      <c r="G53" s="477"/>
      <c r="H53" s="81" t="e">
        <f>IF(【様式第６号】事業報告書兼チェックシート!#REF!="","","・"&amp;【様式第６号】事業報告書兼チェックシート!#REF!)</f>
        <v>#REF!</v>
      </c>
      <c r="I53" s="13"/>
      <c r="J53" s="13"/>
      <c r="K53" s="13"/>
      <c r="L53" s="13"/>
      <c r="M53" s="13"/>
      <c r="N53" s="13"/>
      <c r="O53" s="13"/>
      <c r="P53" s="13"/>
      <c r="Q53" s="13"/>
      <c r="R53" s="13"/>
      <c r="S53" s="13"/>
      <c r="T53" s="13"/>
      <c r="U53" s="13"/>
      <c r="V53" s="13"/>
      <c r="W53" s="13"/>
      <c r="X53" s="13"/>
      <c r="Y53" s="82"/>
    </row>
    <row r="54" spans="2:27" ht="16.5" customHeight="1" x14ac:dyDescent="0.2">
      <c r="B54" s="28"/>
      <c r="G54" s="80"/>
      <c r="H54" s="81" t="str">
        <f>IF(【様式第６号】事業報告書兼チェックシート!C241="","","・"&amp;【様式第６号】事業報告書兼チェックシート!C241)</f>
        <v/>
      </c>
      <c r="I54" s="13"/>
      <c r="J54" s="13"/>
      <c r="K54" s="13"/>
      <c r="L54" s="13"/>
      <c r="M54" s="13"/>
      <c r="N54" s="13"/>
      <c r="O54" s="13"/>
      <c r="P54" s="13"/>
      <c r="Q54" s="13"/>
      <c r="R54" s="13"/>
      <c r="S54" s="13"/>
      <c r="T54" s="13"/>
      <c r="U54" s="13"/>
      <c r="V54" s="13"/>
      <c r="W54" s="13"/>
      <c r="X54" s="13"/>
      <c r="Y54" s="82"/>
    </row>
    <row r="55" spans="2:27" ht="16.5" customHeight="1" x14ac:dyDescent="0.2">
      <c r="B55" s="28"/>
      <c r="G55" s="80"/>
      <c r="H55" s="81" t="str">
        <f>IF(【様式第６号】事業報告書兼チェックシート!C242="","","・"&amp;【様式第６号】事業報告書兼チェックシート!C242)</f>
        <v/>
      </c>
      <c r="I55" s="13"/>
      <c r="J55" s="13"/>
      <c r="K55" s="13"/>
      <c r="L55" s="13"/>
      <c r="M55" s="13"/>
      <c r="N55" s="13"/>
      <c r="O55" s="13"/>
      <c r="P55" s="13"/>
      <c r="Q55" s="13"/>
      <c r="R55" s="13"/>
      <c r="S55" s="13"/>
      <c r="T55" s="13"/>
      <c r="U55" s="13"/>
      <c r="V55" s="13"/>
      <c r="W55" s="13"/>
      <c r="X55" s="13"/>
      <c r="Y55" s="82"/>
    </row>
    <row r="56" spans="2:27" ht="16.5" customHeight="1" x14ac:dyDescent="0.2">
      <c r="B56" s="28"/>
      <c r="G56" s="80"/>
      <c r="H56" s="81" t="str">
        <f>IF(【様式第６号】事業報告書兼チェックシート!C243="","","・"&amp;【様式第６号】事業報告書兼チェックシート!C243)</f>
        <v>・完成写真及び口座振替依頼書</v>
      </c>
      <c r="I56" s="13"/>
      <c r="J56" s="13"/>
      <c r="K56" s="13"/>
      <c r="L56" s="13"/>
      <c r="M56" s="13"/>
      <c r="N56" s="13"/>
      <c r="O56" s="13"/>
      <c r="P56" s="13"/>
      <c r="Q56" s="13"/>
      <c r="R56" s="13"/>
      <c r="S56" s="13"/>
      <c r="T56" s="13"/>
      <c r="U56" s="13"/>
      <c r="V56" s="13"/>
      <c r="W56" s="13"/>
      <c r="X56" s="13"/>
      <c r="Y56" s="82"/>
    </row>
    <row r="57" spans="2:27" ht="16.5" customHeight="1" x14ac:dyDescent="0.2">
      <c r="B57" s="28"/>
      <c r="G57" s="80"/>
      <c r="H57" s="81" t="str">
        <f>IF(【様式第６号】事業報告書兼チェックシート!C244="","","・"&amp;【様式第６号】事業報告書兼チェックシート!C244)</f>
        <v>・鳥取県産材活用協議会が発行する県産材の産地証明書の写し</v>
      </c>
      <c r="I57" s="13"/>
      <c r="J57" s="13"/>
      <c r="K57" s="13"/>
      <c r="L57" s="13"/>
      <c r="M57" s="13"/>
      <c r="N57" s="13"/>
      <c r="O57" s="13"/>
      <c r="P57" s="13"/>
      <c r="Q57" s="13"/>
      <c r="R57" s="13"/>
      <c r="S57" s="13"/>
      <c r="T57" s="13"/>
      <c r="U57" s="13"/>
      <c r="V57" s="13"/>
      <c r="W57" s="13"/>
      <c r="X57" s="13"/>
      <c r="Y57" s="82"/>
    </row>
    <row r="58" spans="2:27" ht="28.5" customHeight="1" x14ac:dyDescent="0.2">
      <c r="B58" s="28"/>
      <c r="G58" s="80"/>
      <c r="H58" s="467" t="str">
        <f>IF(【様式第６号】事業報告書兼チェックシート!C245="","","・"&amp;【様式第６号】事業報告書兼チェックシート!C245)</f>
        <v/>
      </c>
      <c r="I58" s="414"/>
      <c r="J58" s="414"/>
      <c r="K58" s="414"/>
      <c r="L58" s="414"/>
      <c r="M58" s="414"/>
      <c r="N58" s="414"/>
      <c r="O58" s="414"/>
      <c r="P58" s="414"/>
      <c r="Q58" s="414"/>
      <c r="R58" s="414"/>
      <c r="S58" s="414"/>
      <c r="T58" s="414"/>
      <c r="U58" s="414"/>
      <c r="V58" s="414"/>
      <c r="W58" s="414"/>
      <c r="X58" s="414"/>
      <c r="Y58" s="468"/>
    </row>
    <row r="59" spans="2:27" ht="30" customHeight="1" x14ac:dyDescent="0.2">
      <c r="B59" s="28"/>
      <c r="G59" s="80"/>
      <c r="H59" s="467" t="str">
        <f>IF(【様式第６号】事業報告書兼チェックシート!C246="","","・"&amp;【様式第６号】事業報告書兼チェックシート!C246)</f>
        <v/>
      </c>
      <c r="I59" s="414"/>
      <c r="J59" s="414"/>
      <c r="K59" s="414"/>
      <c r="L59" s="414"/>
      <c r="M59" s="414"/>
      <c r="N59" s="414"/>
      <c r="O59" s="414"/>
      <c r="P59" s="414"/>
      <c r="Q59" s="414"/>
      <c r="R59" s="414"/>
      <c r="S59" s="414"/>
      <c r="T59" s="414"/>
      <c r="U59" s="414"/>
      <c r="V59" s="414"/>
      <c r="W59" s="414"/>
      <c r="X59" s="414"/>
      <c r="Y59" s="468"/>
    </row>
    <row r="60" spans="2:27" ht="33" customHeight="1" x14ac:dyDescent="0.2">
      <c r="B60" s="28"/>
      <c r="G60" s="80"/>
      <c r="H60" s="467" t="str">
        <f>IF(【様式第６号】事業報告書兼チェックシート!C247="","","・"&amp;【様式第６号】事業報告書兼チェックシート!C247)</f>
        <v/>
      </c>
      <c r="I60" s="414"/>
      <c r="J60" s="414"/>
      <c r="K60" s="414"/>
      <c r="L60" s="414"/>
      <c r="M60" s="414"/>
      <c r="N60" s="414"/>
      <c r="O60" s="414"/>
      <c r="P60" s="414"/>
      <c r="Q60" s="414"/>
      <c r="R60" s="414"/>
      <c r="S60" s="414"/>
      <c r="T60" s="414"/>
      <c r="U60" s="414"/>
      <c r="V60" s="414"/>
      <c r="W60" s="414"/>
      <c r="X60" s="414"/>
      <c r="Y60" s="468"/>
    </row>
    <row r="61" spans="2:27" ht="16.5" customHeight="1" x14ac:dyDescent="0.2">
      <c r="B61" s="28"/>
      <c r="G61" s="80"/>
      <c r="H61" s="469" t="str">
        <f>IF(【様式第６号】事業報告書兼チェックシート!C248="","","・"&amp;【様式第６号】事業報告書兼チェックシート!C248)</f>
        <v/>
      </c>
      <c r="I61" s="470"/>
      <c r="J61" s="470"/>
      <c r="K61" s="470"/>
      <c r="L61" s="470"/>
      <c r="M61" s="470"/>
      <c r="N61" s="470"/>
      <c r="O61" s="470"/>
      <c r="P61" s="470"/>
      <c r="Q61" s="470"/>
      <c r="R61" s="470"/>
      <c r="S61" s="470"/>
      <c r="T61" s="470"/>
      <c r="U61" s="470"/>
      <c r="V61" s="470"/>
      <c r="W61" s="470"/>
      <c r="X61" s="470"/>
      <c r="Y61" s="471"/>
    </row>
    <row r="62" spans="2:27" ht="56.25" customHeight="1" x14ac:dyDescent="0.2">
      <c r="B62" s="28"/>
      <c r="G62" s="80"/>
      <c r="H62" s="467" t="str">
        <f>IF(【様式第６号】事業報告書兼チェックシート!C249="","","・"&amp;【様式第６号】事業報告書兼チェックシート!C249)</f>
        <v/>
      </c>
      <c r="I62" s="414"/>
      <c r="J62" s="414"/>
      <c r="K62" s="414"/>
      <c r="L62" s="414"/>
      <c r="M62" s="414"/>
      <c r="N62" s="414"/>
      <c r="O62" s="414"/>
      <c r="P62" s="414"/>
      <c r="Q62" s="414"/>
      <c r="R62" s="414"/>
      <c r="S62" s="414"/>
      <c r="T62" s="414"/>
      <c r="U62" s="414"/>
      <c r="V62" s="414"/>
      <c r="W62" s="414"/>
      <c r="X62" s="414"/>
      <c r="Y62" s="468"/>
    </row>
    <row r="63" spans="2:27" ht="30" customHeight="1" x14ac:dyDescent="0.2">
      <c r="B63" s="28"/>
      <c r="G63" s="80"/>
      <c r="H63" s="467" t="str">
        <f>IF(【様式第６号】事業報告書兼チェックシート!C250="","","・"&amp;【様式第６号】事業報告書兼チェックシート!C250)</f>
        <v/>
      </c>
      <c r="I63" s="414"/>
      <c r="J63" s="414"/>
      <c r="K63" s="414"/>
      <c r="L63" s="414"/>
      <c r="M63" s="414"/>
      <c r="N63" s="414"/>
      <c r="O63" s="414"/>
      <c r="P63" s="414"/>
      <c r="Q63" s="414"/>
      <c r="R63" s="414"/>
      <c r="S63" s="414"/>
      <c r="T63" s="414"/>
      <c r="U63" s="414"/>
      <c r="V63" s="414"/>
      <c r="W63" s="414"/>
      <c r="X63" s="414"/>
      <c r="Y63" s="468"/>
    </row>
    <row r="64" spans="2:27" ht="18.75" customHeight="1" x14ac:dyDescent="0.2">
      <c r="B64" s="28"/>
      <c r="G64" s="80"/>
      <c r="H64" s="469" t="str">
        <f>IF(【様式第６号】事業報告書兼チェックシート!C251="","","・"&amp;【様式第６号】事業報告書兼チェックシート!C251)</f>
        <v/>
      </c>
      <c r="I64" s="470"/>
      <c r="J64" s="470"/>
      <c r="K64" s="470"/>
      <c r="L64" s="470"/>
      <c r="M64" s="470"/>
      <c r="N64" s="470"/>
      <c r="O64" s="470"/>
      <c r="P64" s="470"/>
      <c r="Q64" s="470"/>
      <c r="R64" s="470"/>
      <c r="S64" s="470"/>
      <c r="T64" s="470"/>
      <c r="U64" s="470"/>
      <c r="V64" s="470"/>
      <c r="W64" s="470"/>
      <c r="X64" s="470"/>
      <c r="Y64" s="471"/>
    </row>
    <row r="65" spans="2:25" ht="18.75" customHeight="1" x14ac:dyDescent="0.2">
      <c r="B65" s="28"/>
      <c r="G65" s="80"/>
      <c r="H65" s="469" t="str">
        <f>IF(【様式第６号】事業報告書兼チェックシート!C252="","","・"&amp;【様式第６号】事業報告書兼チェックシート!C252)</f>
        <v/>
      </c>
      <c r="I65" s="470"/>
      <c r="J65" s="470"/>
      <c r="K65" s="470"/>
      <c r="L65" s="470"/>
      <c r="M65" s="470"/>
      <c r="N65" s="470"/>
      <c r="O65" s="470"/>
      <c r="P65" s="470"/>
      <c r="Q65" s="470"/>
      <c r="R65" s="470"/>
      <c r="S65" s="470"/>
      <c r="T65" s="470"/>
      <c r="U65" s="470"/>
      <c r="V65" s="470"/>
      <c r="W65" s="470"/>
      <c r="X65" s="470"/>
      <c r="Y65" s="471"/>
    </row>
    <row r="66" spans="2:25" ht="32.25" customHeight="1" x14ac:dyDescent="0.2">
      <c r="B66" s="28"/>
      <c r="G66" s="80"/>
      <c r="H66" s="467" t="str">
        <f>IF(【様式第６号】事業報告書兼チェックシート!C253="","","・"&amp;【様式第６号】事業報告書兼チェックシート!C253)</f>
        <v/>
      </c>
      <c r="I66" s="414"/>
      <c r="J66" s="414"/>
      <c r="K66" s="414"/>
      <c r="L66" s="414"/>
      <c r="M66" s="414"/>
      <c r="N66" s="414"/>
      <c r="O66" s="414"/>
      <c r="P66" s="414"/>
      <c r="Q66" s="414"/>
      <c r="R66" s="414"/>
      <c r="S66" s="414"/>
      <c r="T66" s="414"/>
      <c r="U66" s="414"/>
      <c r="V66" s="414"/>
      <c r="W66" s="414"/>
      <c r="X66" s="414"/>
      <c r="Y66" s="468"/>
    </row>
    <row r="67" spans="2:25" ht="32.25" customHeight="1" x14ac:dyDescent="0.2">
      <c r="B67" s="28"/>
      <c r="G67" s="80"/>
      <c r="H67" s="467" t="str">
        <f>IF(【様式第６号】事業報告書兼チェックシート!C254="","","・"&amp;【様式第６号】事業報告書兼チェックシート!C254)</f>
        <v/>
      </c>
      <c r="I67" s="414"/>
      <c r="J67" s="414"/>
      <c r="K67" s="414"/>
      <c r="L67" s="414"/>
      <c r="M67" s="414"/>
      <c r="N67" s="414"/>
      <c r="O67" s="414"/>
      <c r="P67" s="414"/>
      <c r="Q67" s="414"/>
      <c r="R67" s="414"/>
      <c r="S67" s="414"/>
      <c r="T67" s="414"/>
      <c r="U67" s="414"/>
      <c r="V67" s="414"/>
      <c r="W67" s="414"/>
      <c r="X67" s="414"/>
      <c r="Y67" s="468"/>
    </row>
    <row r="68" spans="2:25" ht="30.75" customHeight="1" x14ac:dyDescent="0.2">
      <c r="B68" s="28"/>
      <c r="G68" s="80"/>
      <c r="H68" s="467" t="str">
        <f>IF(【様式第６号】事業報告書兼チェックシート!C255="","","・"&amp;【様式第６号】事業報告書兼チェックシート!C255)</f>
        <v/>
      </c>
      <c r="I68" s="414"/>
      <c r="J68" s="414"/>
      <c r="K68" s="414"/>
      <c r="L68" s="414"/>
      <c r="M68" s="414"/>
      <c r="N68" s="414"/>
      <c r="O68" s="414"/>
      <c r="P68" s="414"/>
      <c r="Q68" s="414"/>
      <c r="R68" s="414"/>
      <c r="S68" s="414"/>
      <c r="T68" s="414"/>
      <c r="U68" s="414"/>
      <c r="V68" s="414"/>
      <c r="W68" s="414"/>
      <c r="X68" s="414"/>
      <c r="Y68" s="468"/>
    </row>
    <row r="69" spans="2:25" ht="30.75" customHeight="1" x14ac:dyDescent="0.2">
      <c r="B69" s="28"/>
      <c r="G69" s="80"/>
      <c r="H69" s="467" t="str">
        <f>IF(【様式第６号】事業報告書兼チェックシート!C256="","","・"&amp;【様式第６号】事業報告書兼チェックシート!C256)</f>
        <v/>
      </c>
      <c r="I69" s="414"/>
      <c r="J69" s="414"/>
      <c r="K69" s="414"/>
      <c r="L69" s="414"/>
      <c r="M69" s="414"/>
      <c r="N69" s="414"/>
      <c r="O69" s="414"/>
      <c r="P69" s="414"/>
      <c r="Q69" s="414"/>
      <c r="R69" s="414"/>
      <c r="S69" s="414"/>
      <c r="T69" s="414"/>
      <c r="U69" s="414"/>
      <c r="V69" s="414"/>
      <c r="W69" s="414"/>
      <c r="X69" s="414"/>
      <c r="Y69" s="468"/>
    </row>
    <row r="70" spans="2:25" ht="30.75" customHeight="1" x14ac:dyDescent="0.2">
      <c r="B70" s="28"/>
      <c r="G70" s="80"/>
      <c r="H70" s="467" t="str">
        <f>IF(【様式第６号】事業報告書兼チェックシート!C257="","","・"&amp;【様式第６号】事業報告書兼チェックシート!C257)</f>
        <v/>
      </c>
      <c r="I70" s="414"/>
      <c r="J70" s="414"/>
      <c r="K70" s="414"/>
      <c r="L70" s="414"/>
      <c r="M70" s="414"/>
      <c r="N70" s="414"/>
      <c r="O70" s="414"/>
      <c r="P70" s="414"/>
      <c r="Q70" s="414"/>
      <c r="R70" s="414"/>
      <c r="S70" s="414"/>
      <c r="T70" s="414"/>
      <c r="U70" s="414"/>
      <c r="V70" s="414"/>
      <c r="W70" s="414"/>
      <c r="X70" s="414"/>
      <c r="Y70" s="468"/>
    </row>
    <row r="71" spans="2:25" ht="30.75" customHeight="1" x14ac:dyDescent="0.2">
      <c r="B71" s="28"/>
      <c r="G71" s="80"/>
      <c r="H71" s="467" t="str">
        <f>IF(【様式第６号】事業報告書兼チェックシート!C258="","","・"&amp;【様式第６号】事業報告書兼チェックシート!C258)</f>
        <v/>
      </c>
      <c r="I71" s="414"/>
      <c r="J71" s="414"/>
      <c r="K71" s="414"/>
      <c r="L71" s="414"/>
      <c r="M71" s="414"/>
      <c r="N71" s="414"/>
      <c r="O71" s="414"/>
      <c r="P71" s="414"/>
      <c r="Q71" s="414"/>
      <c r="R71" s="414"/>
      <c r="S71" s="414"/>
      <c r="T71" s="414"/>
      <c r="U71" s="414"/>
      <c r="V71" s="414"/>
      <c r="W71" s="414"/>
      <c r="X71" s="414"/>
      <c r="Y71" s="468"/>
    </row>
    <row r="72" spans="2:25" ht="30.75" customHeight="1" x14ac:dyDescent="0.2">
      <c r="B72" s="28"/>
      <c r="G72" s="80"/>
      <c r="H72" s="467" t="str">
        <f>IF(【様式第６号】事業報告書兼チェックシート!C259="","","・"&amp;【様式第６号】事業報告書兼チェックシート!C259)</f>
        <v/>
      </c>
      <c r="I72" s="414"/>
      <c r="J72" s="414"/>
      <c r="K72" s="414"/>
      <c r="L72" s="414"/>
      <c r="M72" s="414"/>
      <c r="N72" s="414"/>
      <c r="O72" s="414"/>
      <c r="P72" s="414"/>
      <c r="Q72" s="414"/>
      <c r="R72" s="414"/>
      <c r="S72" s="414"/>
      <c r="T72" s="414"/>
      <c r="U72" s="414"/>
      <c r="V72" s="414"/>
      <c r="W72" s="414"/>
      <c r="X72" s="414"/>
      <c r="Y72" s="468"/>
    </row>
    <row r="73" spans="2:25" ht="44.25" customHeight="1" x14ac:dyDescent="0.2">
      <c r="B73" s="28"/>
      <c r="G73" s="80"/>
      <c r="H73" s="467" t="str">
        <f>IF(【様式第６号】事業報告書兼チェックシート!C260="","","・"&amp;【様式第６号】事業報告書兼チェックシート!C260)</f>
        <v/>
      </c>
      <c r="I73" s="414"/>
      <c r="J73" s="414"/>
      <c r="K73" s="414"/>
      <c r="L73" s="414"/>
      <c r="M73" s="414"/>
      <c r="N73" s="414"/>
      <c r="O73" s="414"/>
      <c r="P73" s="414"/>
      <c r="Q73" s="414"/>
      <c r="R73" s="414"/>
      <c r="S73" s="414"/>
      <c r="T73" s="414"/>
      <c r="U73" s="414"/>
      <c r="V73" s="414"/>
      <c r="W73" s="414"/>
      <c r="X73" s="414"/>
      <c r="Y73" s="468"/>
    </row>
    <row r="74" spans="2:25" ht="30.75" customHeight="1" x14ac:dyDescent="0.2">
      <c r="B74" s="28"/>
      <c r="G74" s="80"/>
      <c r="H74" s="467" t="str">
        <f>IF(【様式第６号】事業報告書兼チェックシート!C261="","","・"&amp;【様式第６号】事業報告書兼チェックシート!C261)</f>
        <v/>
      </c>
      <c r="I74" s="414"/>
      <c r="J74" s="414"/>
      <c r="K74" s="414"/>
      <c r="L74" s="414"/>
      <c r="M74" s="414"/>
      <c r="N74" s="414"/>
      <c r="O74" s="414"/>
      <c r="P74" s="414"/>
      <c r="Q74" s="414"/>
      <c r="R74" s="414"/>
      <c r="S74" s="414"/>
      <c r="T74" s="414"/>
      <c r="U74" s="414"/>
      <c r="V74" s="414"/>
      <c r="W74" s="414"/>
      <c r="X74" s="414"/>
      <c r="Y74" s="468"/>
    </row>
    <row r="75" spans="2:25" ht="43.5" customHeight="1" x14ac:dyDescent="0.2">
      <c r="B75" s="28"/>
      <c r="G75" s="80"/>
      <c r="H75" s="467" t="str">
        <f>IF(【様式第６号】事業報告書兼チェックシート!C262="","","・"&amp;【様式第６号】事業報告書兼チェックシート!C262)</f>
        <v/>
      </c>
      <c r="I75" s="414"/>
      <c r="J75" s="414"/>
      <c r="K75" s="414"/>
      <c r="L75" s="414"/>
      <c r="M75" s="414"/>
      <c r="N75" s="414"/>
      <c r="O75" s="414"/>
      <c r="P75" s="414"/>
      <c r="Q75" s="414"/>
      <c r="R75" s="414"/>
      <c r="S75" s="414"/>
      <c r="T75" s="414"/>
      <c r="U75" s="414"/>
      <c r="V75" s="414"/>
      <c r="W75" s="414"/>
      <c r="X75" s="414"/>
      <c r="Y75" s="468"/>
    </row>
    <row r="76" spans="2:25" ht="18" customHeight="1" x14ac:dyDescent="0.2">
      <c r="B76" s="28"/>
      <c r="G76" s="80"/>
      <c r="H76" s="467" t="str">
        <f>IF(【様式第６号】事業報告書兼チェックシート!C266="","","・"&amp;【様式第６号】事業報告書兼チェックシート!C266)</f>
        <v/>
      </c>
      <c r="I76" s="414"/>
      <c r="J76" s="414"/>
      <c r="K76" s="414"/>
      <c r="L76" s="414"/>
      <c r="M76" s="414"/>
      <c r="N76" s="414"/>
      <c r="O76" s="414"/>
      <c r="P76" s="414"/>
      <c r="Q76" s="414"/>
      <c r="R76" s="414"/>
      <c r="S76" s="414"/>
      <c r="T76" s="414"/>
      <c r="U76" s="414"/>
      <c r="V76" s="414"/>
      <c r="W76" s="414"/>
      <c r="X76" s="414"/>
      <c r="Y76" s="468"/>
    </row>
    <row r="77" spans="2:25" ht="19.5" customHeight="1" x14ac:dyDescent="0.2">
      <c r="B77" s="8"/>
      <c r="C77" s="17"/>
      <c r="D77" s="17"/>
      <c r="E77" s="17"/>
      <c r="F77" s="17"/>
      <c r="G77" s="9"/>
      <c r="H77" s="489" t="str">
        <f>IF(【様式第６号】事業報告書兼チェックシート!C263="","","・"&amp;【様式第６号】事業報告書兼チェックシート!C263)</f>
        <v/>
      </c>
      <c r="I77" s="490"/>
      <c r="J77" s="490"/>
      <c r="K77" s="490"/>
      <c r="L77" s="490"/>
      <c r="M77" s="490"/>
      <c r="N77" s="490"/>
      <c r="O77" s="490"/>
      <c r="P77" s="490"/>
      <c r="Q77" s="490"/>
      <c r="R77" s="490"/>
      <c r="S77" s="490"/>
      <c r="T77" s="490"/>
      <c r="U77" s="490"/>
      <c r="V77" s="490"/>
      <c r="W77" s="490"/>
      <c r="X77" s="490"/>
      <c r="Y77" s="491"/>
    </row>
    <row r="78" spans="2:25" ht="19.5" hidden="1" customHeight="1" x14ac:dyDescent="0.2">
      <c r="B78" s="8"/>
      <c r="C78" s="17"/>
      <c r="D78" s="17"/>
      <c r="E78" s="17"/>
      <c r="F78" s="17"/>
      <c r="G78" s="9"/>
      <c r="H78" s="489" t="str">
        <f>IF(【様式第６号】事業報告書兼チェックシート!C263="","","・"&amp;【様式第６号】事業報告書兼チェックシート!C263)</f>
        <v/>
      </c>
      <c r="I78" s="490"/>
      <c r="J78" s="490"/>
      <c r="K78" s="490"/>
      <c r="L78" s="490"/>
      <c r="M78" s="490"/>
      <c r="N78" s="490"/>
      <c r="O78" s="490"/>
      <c r="P78" s="490"/>
      <c r="Q78" s="490"/>
      <c r="R78" s="490"/>
      <c r="S78" s="490"/>
      <c r="T78" s="490"/>
      <c r="U78" s="490"/>
      <c r="V78" s="490"/>
      <c r="W78" s="490"/>
      <c r="X78" s="490"/>
      <c r="Y78" s="491"/>
    </row>
    <row r="79" spans="2:25" ht="19.5" hidden="1" customHeight="1" x14ac:dyDescent="0.2">
      <c r="B79" s="310" t="s">
        <v>267</v>
      </c>
      <c r="C79" s="311"/>
      <c r="D79" s="311"/>
      <c r="E79" s="311"/>
      <c r="F79" s="311"/>
      <c r="G79" s="312"/>
      <c r="H79" s="467" t="str">
        <f>IF(【様式第６号】事業報告書兼チェックシート!C264="","","・"&amp;【様式第６号】事業報告書兼チェックシート!C264)</f>
        <v/>
      </c>
      <c r="I79" s="414"/>
      <c r="J79" s="414"/>
      <c r="K79" s="414"/>
      <c r="L79" s="414"/>
      <c r="M79" s="414"/>
      <c r="N79" s="414"/>
      <c r="O79" s="414"/>
      <c r="P79" s="414"/>
      <c r="Q79" s="414"/>
      <c r="R79" s="414"/>
      <c r="S79" s="414"/>
      <c r="T79" s="414"/>
      <c r="U79" s="414"/>
      <c r="V79" s="414"/>
      <c r="W79" s="414"/>
      <c r="X79" s="414"/>
      <c r="Y79" s="468"/>
    </row>
    <row r="80" spans="2:25" ht="19.5" hidden="1" customHeight="1" x14ac:dyDescent="0.2">
      <c r="B80" s="503"/>
      <c r="C80" s="374"/>
      <c r="D80" s="374"/>
      <c r="E80" s="374"/>
      <c r="F80" s="374"/>
      <c r="G80" s="504"/>
      <c r="H80" s="467" t="str">
        <f>IF(【様式第６号】事業報告書兼チェックシート!C265="","","・"&amp;【様式第６号】事業報告書兼チェックシート!C265)</f>
        <v/>
      </c>
      <c r="I80" s="414"/>
      <c r="J80" s="414"/>
      <c r="K80" s="414"/>
      <c r="L80" s="414"/>
      <c r="M80" s="414"/>
      <c r="N80" s="414"/>
      <c r="O80" s="414"/>
      <c r="P80" s="414"/>
      <c r="Q80" s="414"/>
      <c r="R80" s="414"/>
      <c r="S80" s="414"/>
      <c r="T80" s="414"/>
      <c r="U80" s="414"/>
      <c r="V80" s="414"/>
      <c r="W80" s="414"/>
      <c r="X80" s="414"/>
      <c r="Y80" s="468"/>
    </row>
    <row r="81" spans="1:27" ht="19.5" hidden="1" customHeight="1" x14ac:dyDescent="0.2">
      <c r="B81" s="28"/>
      <c r="G81" s="80"/>
      <c r="H81" s="467" t="str">
        <f>IF(【様式第６号】事業報告書兼チェックシート!C266="","","・"&amp;【様式第６号】事業報告書兼チェックシート!C266)</f>
        <v/>
      </c>
      <c r="I81" s="414"/>
      <c r="J81" s="414"/>
      <c r="K81" s="414"/>
      <c r="L81" s="414"/>
      <c r="M81" s="414"/>
      <c r="N81" s="414"/>
      <c r="O81" s="414"/>
      <c r="P81" s="414"/>
      <c r="Q81" s="414"/>
      <c r="R81" s="414"/>
      <c r="S81" s="414"/>
      <c r="T81" s="414"/>
      <c r="U81" s="414"/>
      <c r="V81" s="414"/>
      <c r="W81" s="414"/>
      <c r="X81" s="414"/>
      <c r="Y81" s="468"/>
    </row>
    <row r="82" spans="1:27" ht="19.5" hidden="1" customHeight="1" x14ac:dyDescent="0.2">
      <c r="B82" s="28"/>
      <c r="G82" s="80"/>
      <c r="H82" s="99"/>
      <c r="I82" s="100"/>
      <c r="J82" s="100"/>
      <c r="K82" s="100"/>
      <c r="L82" s="100"/>
      <c r="M82" s="100"/>
      <c r="N82" s="100"/>
      <c r="O82" s="100"/>
      <c r="P82" s="100"/>
      <c r="Q82" s="100"/>
      <c r="R82" s="100"/>
      <c r="S82" s="100"/>
      <c r="T82" s="100"/>
      <c r="U82" s="100"/>
      <c r="V82" s="100"/>
      <c r="W82" s="100"/>
      <c r="X82" s="100"/>
      <c r="Y82" s="101"/>
    </row>
    <row r="83" spans="1:27" ht="18" hidden="1" customHeight="1" x14ac:dyDescent="0.2">
      <c r="B83" s="8"/>
      <c r="C83" s="17"/>
      <c r="D83" s="17"/>
      <c r="E83" s="17"/>
      <c r="F83" s="17"/>
      <c r="G83" s="9"/>
      <c r="H83" s="83"/>
      <c r="I83" s="84"/>
      <c r="J83" s="17"/>
      <c r="K83" s="17"/>
      <c r="L83" s="17"/>
      <c r="M83" s="17"/>
      <c r="N83" s="17"/>
      <c r="O83" s="17"/>
      <c r="P83" s="17"/>
      <c r="Q83" s="17"/>
      <c r="R83" s="17"/>
      <c r="S83" s="17"/>
      <c r="T83" s="17"/>
      <c r="U83" s="17"/>
      <c r="V83" s="17"/>
      <c r="W83" s="17"/>
      <c r="X83" s="17"/>
      <c r="Y83" s="9"/>
    </row>
    <row r="92" spans="1:27" ht="18" hidden="1" customHeight="1" x14ac:dyDescent="0.2"/>
    <row r="93" spans="1:27" ht="18" hidden="1" customHeight="1" x14ac:dyDescent="0.2"/>
    <row r="94" spans="1:27" s="13" customFormat="1" ht="18" hidden="1" customHeight="1" x14ac:dyDescent="0.15">
      <c r="A94" s="85" t="s">
        <v>222</v>
      </c>
      <c r="B94" s="86"/>
      <c r="C94" s="86"/>
      <c r="D94" s="86"/>
      <c r="E94" s="86"/>
      <c r="F94" s="86"/>
      <c r="G94" s="86"/>
      <c r="H94" s="86"/>
      <c r="I94" s="86"/>
      <c r="J94" s="86"/>
      <c r="K94" s="86"/>
      <c r="L94" s="86"/>
      <c r="M94" s="86"/>
      <c r="N94" s="86"/>
      <c r="O94" s="86"/>
      <c r="P94" s="86"/>
      <c r="Q94" s="87"/>
      <c r="R94" s="86"/>
      <c r="S94" s="86"/>
      <c r="T94" s="86"/>
      <c r="U94" s="86"/>
      <c r="V94" s="86"/>
      <c r="W94" s="86"/>
      <c r="X94" s="86"/>
      <c r="Y94" s="86"/>
      <c r="Z94" s="86"/>
      <c r="AA94" s="23"/>
    </row>
    <row r="95" spans="1:27" s="13" customFormat="1" ht="18" hidden="1" customHeight="1" x14ac:dyDescent="0.15">
      <c r="A95" s="85"/>
      <c r="B95" s="13" t="s">
        <v>11</v>
      </c>
      <c r="AA95" s="23"/>
    </row>
    <row r="96" spans="1:27" s="13" customFormat="1" ht="18" hidden="1" customHeight="1" x14ac:dyDescent="0.2">
      <c r="B96" s="478" t="s">
        <v>223</v>
      </c>
      <c r="C96" s="479"/>
      <c r="D96" s="479"/>
      <c r="E96" s="479"/>
      <c r="F96" s="479"/>
      <c r="G96" s="479"/>
      <c r="H96" s="480"/>
      <c r="I96" s="88" t="s">
        <v>224</v>
      </c>
      <c r="J96" s="353"/>
      <c r="K96" s="353"/>
      <c r="L96" s="353"/>
      <c r="M96" s="484"/>
      <c r="N96" s="484"/>
      <c r="O96" s="484"/>
      <c r="P96" s="484"/>
      <c r="Q96" s="484"/>
      <c r="R96" s="484"/>
      <c r="S96" s="484"/>
      <c r="T96" s="484"/>
      <c r="U96" s="484"/>
      <c r="V96" s="484"/>
      <c r="W96" s="484"/>
      <c r="X96" s="484"/>
      <c r="Y96" s="485"/>
      <c r="AA96" s="22"/>
    </row>
    <row r="97" spans="2:35" s="13" customFormat="1" ht="18" hidden="1" customHeight="1" x14ac:dyDescent="0.2">
      <c r="B97" s="481"/>
      <c r="C97" s="482"/>
      <c r="D97" s="482"/>
      <c r="E97" s="482"/>
      <c r="F97" s="482"/>
      <c r="G97" s="482"/>
      <c r="H97" s="483"/>
      <c r="I97" s="486"/>
      <c r="J97" s="487"/>
      <c r="K97" s="487"/>
      <c r="L97" s="487"/>
      <c r="M97" s="487"/>
      <c r="N97" s="487"/>
      <c r="O97" s="487"/>
      <c r="P97" s="487"/>
      <c r="Q97" s="487"/>
      <c r="R97" s="487"/>
      <c r="S97" s="487"/>
      <c r="T97" s="487"/>
      <c r="U97" s="487"/>
      <c r="V97" s="487"/>
      <c r="W97" s="487"/>
      <c r="X97" s="487"/>
      <c r="Y97" s="488"/>
      <c r="AA97" s="23"/>
      <c r="AB97" s="23"/>
      <c r="AC97" s="23"/>
      <c r="AD97" s="23"/>
      <c r="AE97" s="23"/>
      <c r="AF97" s="23"/>
      <c r="AG97" s="23"/>
      <c r="AH97" s="23"/>
      <c r="AI97" s="23"/>
    </row>
    <row r="98" spans="2:35" s="13" customFormat="1" ht="24" hidden="1" customHeight="1" x14ac:dyDescent="0.2">
      <c r="B98" s="492" t="s">
        <v>225</v>
      </c>
      <c r="C98" s="493"/>
      <c r="D98" s="493"/>
      <c r="E98" s="493"/>
      <c r="F98" s="493"/>
      <c r="G98" s="493"/>
      <c r="H98" s="494"/>
      <c r="I98" s="505"/>
      <c r="J98" s="506"/>
      <c r="K98" s="506"/>
      <c r="L98" s="506"/>
      <c r="M98" s="506"/>
      <c r="N98" s="506"/>
      <c r="O98" s="506"/>
      <c r="P98" s="506"/>
      <c r="Q98" s="506"/>
      <c r="R98" s="506"/>
      <c r="S98" s="506"/>
      <c r="T98" s="506"/>
      <c r="U98" s="506"/>
      <c r="V98" s="506"/>
      <c r="W98" s="506"/>
      <c r="X98" s="506"/>
      <c r="Y98" s="507"/>
      <c r="AA98" s="23"/>
      <c r="AB98" s="23"/>
      <c r="AC98" s="23"/>
      <c r="AD98" s="23"/>
      <c r="AE98" s="23"/>
      <c r="AF98" s="23"/>
      <c r="AG98" s="23"/>
      <c r="AH98" s="23"/>
      <c r="AI98" s="23"/>
    </row>
    <row r="99" spans="2:35" s="13" customFormat="1" ht="18" hidden="1" customHeight="1" x14ac:dyDescent="0.2">
      <c r="B99" s="492" t="s">
        <v>18</v>
      </c>
      <c r="C99" s="493"/>
      <c r="D99" s="493"/>
      <c r="E99" s="493"/>
      <c r="F99" s="493"/>
      <c r="G99" s="493"/>
      <c r="H99" s="494"/>
      <c r="I99" s="495"/>
      <c r="J99" s="496"/>
      <c r="K99" s="496"/>
      <c r="L99" s="496"/>
      <c r="M99" s="497"/>
      <c r="N99" s="498" t="s">
        <v>9</v>
      </c>
      <c r="O99" s="499"/>
      <c r="P99" s="500"/>
      <c r="Q99" s="501" t="s">
        <v>226</v>
      </c>
      <c r="R99" s="501"/>
      <c r="S99" s="501"/>
      <c r="T99" s="501"/>
      <c r="U99" s="501"/>
      <c r="V99" s="501"/>
      <c r="W99" s="501"/>
      <c r="X99" s="501"/>
      <c r="Y99" s="502"/>
      <c r="AA99" s="23"/>
      <c r="AB99" s="23"/>
      <c r="AC99" s="23"/>
      <c r="AD99" s="23"/>
      <c r="AE99" s="23"/>
      <c r="AF99" s="23"/>
      <c r="AG99" s="23"/>
      <c r="AH99" s="89"/>
      <c r="AI99" s="23"/>
    </row>
    <row r="100" spans="2:35" s="13" customFormat="1" ht="18" hidden="1" customHeight="1" x14ac:dyDescent="0.2">
      <c r="AA100" s="23"/>
      <c r="AB100" s="23"/>
      <c r="AC100" s="23"/>
      <c r="AD100" s="23"/>
      <c r="AE100" s="23"/>
      <c r="AF100" s="23"/>
      <c r="AG100" s="23"/>
      <c r="AH100" s="23"/>
      <c r="AI100" s="23"/>
    </row>
    <row r="101" spans="2:35" ht="18" hidden="1" customHeight="1" x14ac:dyDescent="0.2"/>
  </sheetData>
  <sheetProtection algorithmName="SHA-512" hashValue="uZ6s/48KI1N6JYUKS0N/YlxriFqnwOKmHP1ybrbRI4KJTF2O6JwMIOb8FBvI1xLmFpSYkIB02Mg86cfNSh3yCQ==" saltValue="AILyxxYFByBFFK5+fDt82A==" spinCount="100000" sheet="1" selectLockedCells="1"/>
  <mergeCells count="61">
    <mergeCell ref="H62:Y62"/>
    <mergeCell ref="H63:Y63"/>
    <mergeCell ref="H64:Y64"/>
    <mergeCell ref="H65:Y65"/>
    <mergeCell ref="H66:Y66"/>
    <mergeCell ref="B99:H99"/>
    <mergeCell ref="I99:M99"/>
    <mergeCell ref="N99:P99"/>
    <mergeCell ref="Q99:Y99"/>
    <mergeCell ref="H67:Y67"/>
    <mergeCell ref="H68:Y68"/>
    <mergeCell ref="B79:G80"/>
    <mergeCell ref="H79:Y79"/>
    <mergeCell ref="H80:Y80"/>
    <mergeCell ref="B98:H98"/>
    <mergeCell ref="I98:Y98"/>
    <mergeCell ref="H81:Y81"/>
    <mergeCell ref="H76:Y76"/>
    <mergeCell ref="H60:Y60"/>
    <mergeCell ref="H61:Y61"/>
    <mergeCell ref="B51:G53"/>
    <mergeCell ref="B96:H97"/>
    <mergeCell ref="J96:L96"/>
    <mergeCell ref="M96:Y96"/>
    <mergeCell ref="I97:Y97"/>
    <mergeCell ref="H69:Y69"/>
    <mergeCell ref="H70:Y70"/>
    <mergeCell ref="H71:Y71"/>
    <mergeCell ref="H72:Y72"/>
    <mergeCell ref="H73:Y73"/>
    <mergeCell ref="H74:Y74"/>
    <mergeCell ref="H75:Y75"/>
    <mergeCell ref="H77:Y77"/>
    <mergeCell ref="H78:Y78"/>
    <mergeCell ref="B25:G25"/>
    <mergeCell ref="H25:O25"/>
    <mergeCell ref="Q25:X25"/>
    <mergeCell ref="H58:Y58"/>
    <mergeCell ref="H59:Y59"/>
    <mergeCell ref="AA19:AZ19"/>
    <mergeCell ref="B21:G21"/>
    <mergeCell ref="A19:Z19"/>
    <mergeCell ref="H21:Y21"/>
    <mergeCell ref="B24:G24"/>
    <mergeCell ref="H24:O24"/>
    <mergeCell ref="Q24:X24"/>
    <mergeCell ref="B22:G23"/>
    <mergeCell ref="H22:P22"/>
    <mergeCell ref="Q22:Y22"/>
    <mergeCell ref="H23:O23"/>
    <mergeCell ref="Q23:X23"/>
    <mergeCell ref="O11:X11"/>
    <mergeCell ref="O12:X12"/>
    <mergeCell ref="A17:Z17"/>
    <mergeCell ref="A15:Z15"/>
    <mergeCell ref="AC16:AG16"/>
    <mergeCell ref="P9:X9"/>
    <mergeCell ref="Q2:R2"/>
    <mergeCell ref="T2:U2"/>
    <mergeCell ref="W2:X2"/>
    <mergeCell ref="O10:X10"/>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6"/>
  <sheetViews>
    <sheetView view="pageBreakPreview" zoomScaleNormal="100" zoomScaleSheetLayoutView="100" workbookViewId="0">
      <selection activeCell="A17" sqref="A17:Z17"/>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452</v>
      </c>
    </row>
    <row r="2" spans="1:63" ht="15.75" customHeight="1" x14ac:dyDescent="0.2">
      <c r="A2" s="268"/>
      <c r="B2" s="268"/>
      <c r="C2" s="268"/>
      <c r="D2" s="268"/>
      <c r="E2" s="268"/>
      <c r="F2" s="268"/>
      <c r="G2" s="268"/>
      <c r="H2" s="268"/>
      <c r="I2" s="268"/>
      <c r="J2" s="268"/>
      <c r="K2" s="268"/>
      <c r="L2" s="268"/>
      <c r="M2" s="268"/>
      <c r="N2" s="268"/>
      <c r="O2" s="269" t="s">
        <v>261</v>
      </c>
      <c r="P2" s="269"/>
      <c r="Q2" s="457" t="str">
        <f>IF(【様式第６号】事業報告書兼チェックシート!E15="","",【様式第６号】事業報告書兼チェックシート!E15)</f>
        <v/>
      </c>
      <c r="R2" s="457"/>
      <c r="S2" s="270" t="s">
        <v>8</v>
      </c>
      <c r="T2" s="457" t="str">
        <f>IF(【様式第６号】事業報告書兼チェックシート!H15="","",【様式第６号】事業報告書兼チェックシート!H15)</f>
        <v/>
      </c>
      <c r="U2" s="457"/>
      <c r="V2" s="270" t="s">
        <v>405</v>
      </c>
      <c r="W2" s="457" t="str">
        <f>IF(【様式第６号】事業報告書兼チェックシート!K15="","",【様式第６号】事業報告書兼チェックシート!K15)</f>
        <v/>
      </c>
      <c r="X2" s="457"/>
      <c r="Y2" s="270" t="s">
        <v>7</v>
      </c>
      <c r="Z2" s="270"/>
      <c r="AA2" s="75" t="str">
        <f>IF(A2="令和　年　月　日","←申請日を入力してください。","")</f>
        <v/>
      </c>
      <c r="BK2" s="76" t="s">
        <v>215</v>
      </c>
    </row>
    <row r="3" spans="1:63" ht="11.25" customHeight="1" x14ac:dyDescent="0.2">
      <c r="A3" s="77"/>
      <c r="B3" s="77"/>
      <c r="C3" s="77"/>
      <c r="D3" s="77"/>
      <c r="E3" s="77"/>
      <c r="F3" s="77"/>
      <c r="G3" s="77"/>
      <c r="H3" s="77"/>
      <c r="I3" s="77"/>
      <c r="J3" s="77"/>
      <c r="K3" s="77"/>
      <c r="L3" s="77"/>
      <c r="M3" s="77"/>
      <c r="N3" s="77"/>
      <c r="O3" s="77"/>
      <c r="P3" s="77"/>
      <c r="Q3" s="77"/>
      <c r="R3" s="77"/>
      <c r="S3" s="77"/>
      <c r="T3" s="77"/>
      <c r="U3" s="77"/>
      <c r="V3" s="77"/>
      <c r="W3" s="77"/>
      <c r="X3" s="77"/>
      <c r="Y3" s="77"/>
      <c r="Z3" s="77"/>
      <c r="BK3" s="76" t="s">
        <v>216</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413" t="str">
        <f>IF(【様式第６号】事業報告書兼チェックシート!O17="","",【様式第６号】事業報告書兼チェックシート!O17)</f>
        <v/>
      </c>
      <c r="Q9" s="413"/>
      <c r="R9" s="413"/>
      <c r="S9" s="413"/>
      <c r="T9" s="413"/>
      <c r="U9" s="413"/>
      <c r="V9" s="413"/>
      <c r="W9" s="413"/>
      <c r="X9" s="413"/>
    </row>
    <row r="10" spans="1:63" ht="35.25" customHeight="1" x14ac:dyDescent="0.2">
      <c r="O10" s="374" t="str">
        <f>IF(【様式第６号】事業報告書兼チェックシート!N18="","",【様式第６号】事業報告書兼チェックシート!N18)</f>
        <v/>
      </c>
      <c r="P10" s="374"/>
      <c r="Q10" s="374"/>
      <c r="R10" s="374"/>
      <c r="S10" s="374"/>
      <c r="T10" s="374"/>
      <c r="U10" s="374"/>
      <c r="V10" s="374"/>
      <c r="W10" s="374"/>
      <c r="X10" s="374"/>
    </row>
    <row r="11" spans="1:63" ht="16.5" customHeight="1" x14ac:dyDescent="0.2">
      <c r="M11" s="1" t="s">
        <v>6</v>
      </c>
      <c r="O11" s="374" t="str">
        <f>IF(【様式第６号】事業報告書兼チェックシート!N19="","",【様式第６号】事業報告書兼チェックシート!N19)</f>
        <v/>
      </c>
      <c r="P11" s="374"/>
      <c r="Q11" s="374"/>
      <c r="R11" s="374"/>
      <c r="S11" s="374"/>
      <c r="T11" s="374"/>
      <c r="U11" s="374"/>
      <c r="V11" s="374"/>
      <c r="W11" s="374"/>
      <c r="X11" s="374"/>
      <c r="AA11" s="22" t="s">
        <v>66</v>
      </c>
    </row>
    <row r="12" spans="1:63" ht="16.5" customHeight="1" x14ac:dyDescent="0.2">
      <c r="M12" s="1" t="s">
        <v>9</v>
      </c>
      <c r="O12" s="374" t="str">
        <f>IF(【様式第６号】事業報告書兼チェックシート!N20="","",【様式第６号】事業報告書兼チェックシート!N20)</f>
        <v/>
      </c>
      <c r="P12" s="374"/>
      <c r="Q12" s="374"/>
      <c r="R12" s="374"/>
      <c r="S12" s="374"/>
      <c r="T12" s="374"/>
      <c r="U12" s="374"/>
      <c r="V12" s="374"/>
      <c r="W12" s="374"/>
      <c r="X12" s="374"/>
    </row>
    <row r="13" spans="1:63" ht="12" customHeight="1" x14ac:dyDescent="0.2"/>
    <row r="14" spans="1:63" ht="12" customHeight="1" x14ac:dyDescent="0.2"/>
    <row r="15" spans="1:63" ht="16.5" customHeight="1" x14ac:dyDescent="0.2">
      <c r="A15" s="428" t="s">
        <v>417</v>
      </c>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78"/>
      <c r="AB15" s="78"/>
      <c r="AC15" s="78"/>
      <c r="AD15" s="78"/>
      <c r="AE15" s="78"/>
      <c r="AF15" s="78"/>
      <c r="AG15" s="78"/>
    </row>
    <row r="16" spans="1:63" ht="12.75" customHeight="1" x14ac:dyDescent="0.2">
      <c r="AA16" s="78"/>
      <c r="AB16" s="78"/>
      <c r="AC16" s="459"/>
      <c r="AD16" s="460"/>
      <c r="AE16" s="460"/>
      <c r="AF16" s="460"/>
      <c r="AG16" s="461"/>
      <c r="AH16" s="67"/>
    </row>
    <row r="17" spans="1:52" ht="45" customHeight="1" x14ac:dyDescent="0.2">
      <c r="A17" s="458" t="s">
        <v>414</v>
      </c>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75" t="str">
        <f>IF(OR(A17=BK2,A17=BK3),"←交付決定年月日及びその番号を入力してください（変更承認を受けている場合はその承認年月日及びその番号の追記も必要になります。）","")</f>
        <v>←交付決定年月日及びその番号を入力してください（変更承認を受けている場合はその承認年月日及びその番号の追記も必要になります。）</v>
      </c>
    </row>
    <row r="18" spans="1:52" ht="16.5" customHeight="1" x14ac:dyDescent="0.2">
      <c r="AA18" s="78" t="s">
        <v>415</v>
      </c>
    </row>
    <row r="19" spans="1:52" ht="16.5" customHeight="1" x14ac:dyDescent="0.2">
      <c r="A19" s="428" t="s">
        <v>14</v>
      </c>
      <c r="B19" s="428"/>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58" t="s">
        <v>216</v>
      </c>
      <c r="AB19" s="458"/>
      <c r="AC19" s="458"/>
      <c r="AD19" s="458"/>
      <c r="AE19" s="458"/>
      <c r="AF19" s="458"/>
      <c r="AG19" s="458"/>
      <c r="AH19" s="458"/>
      <c r="AI19" s="458"/>
      <c r="AJ19" s="458"/>
      <c r="AK19" s="458"/>
      <c r="AL19" s="458"/>
      <c r="AM19" s="458"/>
      <c r="AN19" s="458"/>
      <c r="AO19" s="458"/>
      <c r="AP19" s="458"/>
      <c r="AQ19" s="458"/>
      <c r="AR19" s="458"/>
      <c r="AS19" s="458"/>
      <c r="AT19" s="458"/>
      <c r="AU19" s="458"/>
      <c r="AV19" s="458"/>
      <c r="AW19" s="458"/>
      <c r="AX19" s="458"/>
      <c r="AY19" s="458"/>
      <c r="AZ19" s="458"/>
    </row>
    <row r="20" spans="1:52" ht="16.5" customHeight="1" x14ac:dyDescent="0.2"/>
    <row r="21" spans="1:52" ht="16.5" customHeight="1" x14ac:dyDescent="0.2">
      <c r="B21" s="295" t="s">
        <v>218</v>
      </c>
      <c r="C21" s="296"/>
      <c r="D21" s="296"/>
      <c r="E21" s="296"/>
      <c r="F21" s="296"/>
      <c r="G21" s="297"/>
      <c r="H21" s="295" t="s">
        <v>416</v>
      </c>
      <c r="I21" s="296"/>
      <c r="J21" s="296"/>
      <c r="K21" s="296"/>
      <c r="L21" s="296"/>
      <c r="M21" s="296"/>
      <c r="N21" s="296"/>
      <c r="O21" s="296"/>
      <c r="P21" s="296"/>
      <c r="Q21" s="296"/>
      <c r="R21" s="296"/>
      <c r="S21" s="296"/>
      <c r="T21" s="296"/>
      <c r="U21" s="296"/>
      <c r="V21" s="296"/>
      <c r="W21" s="296"/>
      <c r="X21" s="296"/>
      <c r="Y21" s="297"/>
    </row>
    <row r="22" spans="1:52" ht="16.5" customHeight="1" x14ac:dyDescent="0.2">
      <c r="B22" s="315" t="s">
        <v>219</v>
      </c>
      <c r="C22" s="316"/>
      <c r="D22" s="316"/>
      <c r="E22" s="316"/>
      <c r="F22" s="316"/>
      <c r="G22" s="317"/>
      <c r="H22" s="464" t="s">
        <v>16</v>
      </c>
      <c r="I22" s="465"/>
      <c r="J22" s="465"/>
      <c r="K22" s="465"/>
      <c r="L22" s="465"/>
      <c r="M22" s="465"/>
      <c r="N22" s="465"/>
      <c r="O22" s="465"/>
      <c r="P22" s="466"/>
      <c r="Q22" s="295" t="s">
        <v>205</v>
      </c>
      <c r="R22" s="296"/>
      <c r="S22" s="296"/>
      <c r="T22" s="296"/>
      <c r="U22" s="296"/>
      <c r="V22" s="296"/>
      <c r="W22" s="296"/>
      <c r="X22" s="296"/>
      <c r="Y22" s="297"/>
    </row>
    <row r="23" spans="1:52" ht="16.5" customHeight="1" x14ac:dyDescent="0.2">
      <c r="B23" s="347"/>
      <c r="C23" s="348"/>
      <c r="D23" s="348"/>
      <c r="E23" s="348"/>
      <c r="F23" s="348"/>
      <c r="G23" s="349"/>
      <c r="H23" s="462" t="str">
        <f>IF('要入力　交付決定状況入力シート'!C18="","",'要入力　交付決定状況入力シート'!C18)</f>
        <v/>
      </c>
      <c r="I23" s="463"/>
      <c r="J23" s="463"/>
      <c r="K23" s="463"/>
      <c r="L23" s="463"/>
      <c r="M23" s="463"/>
      <c r="N23" s="463"/>
      <c r="O23" s="463"/>
      <c r="P23" s="79" t="s">
        <v>17</v>
      </c>
      <c r="Q23" s="462" t="str">
        <f>IF('要入力　交付決定状況入力シート'!D18="","",'要入力　交付決定状況入力シート'!D18)</f>
        <v/>
      </c>
      <c r="R23" s="463"/>
      <c r="S23" s="463"/>
      <c r="T23" s="463"/>
      <c r="U23" s="463"/>
      <c r="V23" s="463"/>
      <c r="W23" s="463"/>
      <c r="X23" s="463"/>
      <c r="Y23" s="79" t="s">
        <v>17</v>
      </c>
      <c r="AA23" s="22" t="s">
        <v>266</v>
      </c>
    </row>
    <row r="24" spans="1:52" ht="16.5" customHeight="1" x14ac:dyDescent="0.2">
      <c r="B24" s="295" t="s">
        <v>220</v>
      </c>
      <c r="C24" s="296"/>
      <c r="D24" s="296"/>
      <c r="E24" s="296"/>
      <c r="F24" s="296"/>
      <c r="G24" s="297"/>
      <c r="H24" s="462" t="str">
        <f>IF('要入力　交付決定状況入力シート'!G18="","",'要入力　交付決定状況入力シート'!G18)</f>
        <v/>
      </c>
      <c r="I24" s="463"/>
      <c r="J24" s="463"/>
      <c r="K24" s="463"/>
      <c r="L24" s="463"/>
      <c r="M24" s="463"/>
      <c r="N24" s="463"/>
      <c r="O24" s="463"/>
      <c r="P24" s="79" t="s">
        <v>17</v>
      </c>
      <c r="Q24" s="462" t="str">
        <f>IF('要入力　交付決定状況入力シート'!H18="","",'要入力　交付決定状況入力シート'!H18)</f>
        <v/>
      </c>
      <c r="R24" s="463"/>
      <c r="S24" s="463"/>
      <c r="T24" s="463"/>
      <c r="U24" s="463"/>
      <c r="V24" s="463"/>
      <c r="W24" s="463"/>
      <c r="X24" s="463"/>
      <c r="Y24" s="79" t="s">
        <v>17</v>
      </c>
      <c r="AA24" s="22" t="s">
        <v>228</v>
      </c>
    </row>
    <row r="25" spans="1:52" ht="16.5" customHeight="1" x14ac:dyDescent="0.2">
      <c r="B25" s="295" t="s">
        <v>221</v>
      </c>
      <c r="C25" s="296"/>
      <c r="D25" s="296"/>
      <c r="E25" s="296"/>
      <c r="F25" s="296"/>
      <c r="G25" s="297"/>
      <c r="H25" s="462" t="str">
        <f>IF(H23="","",H24-H23)</f>
        <v/>
      </c>
      <c r="I25" s="463"/>
      <c r="J25" s="463"/>
      <c r="K25" s="463"/>
      <c r="L25" s="463"/>
      <c r="M25" s="463"/>
      <c r="N25" s="463"/>
      <c r="O25" s="463"/>
      <c r="P25" s="79" t="s">
        <v>17</v>
      </c>
      <c r="Q25" s="462" t="str">
        <f>IF(Q23="","",Q24-Q23)</f>
        <v/>
      </c>
      <c r="R25" s="463"/>
      <c r="S25" s="463"/>
      <c r="T25" s="463"/>
      <c r="U25" s="463"/>
      <c r="V25" s="463"/>
      <c r="W25" s="463"/>
      <c r="X25" s="463"/>
      <c r="Y25" s="79" t="s">
        <v>17</v>
      </c>
      <c r="AA25" s="78"/>
    </row>
    <row r="26" spans="1:52" ht="16.5" hidden="1" customHeight="1" x14ac:dyDescent="0.2">
      <c r="B26" s="38"/>
      <c r="C26" s="38"/>
      <c r="D26" s="38"/>
      <c r="E26" s="38"/>
      <c r="F26" s="38"/>
      <c r="G26" s="38"/>
      <c r="H26" s="105"/>
      <c r="I26" s="105"/>
      <c r="J26" s="105"/>
      <c r="K26" s="105"/>
      <c r="L26" s="105"/>
      <c r="M26" s="105"/>
      <c r="N26" s="105"/>
      <c r="O26" s="105"/>
      <c r="P26" s="106"/>
      <c r="Q26" s="105"/>
      <c r="R26" s="105"/>
      <c r="S26" s="105"/>
      <c r="T26" s="105"/>
      <c r="U26" s="105"/>
      <c r="V26" s="105"/>
      <c r="W26" s="105"/>
      <c r="X26" s="105"/>
      <c r="Y26" s="106"/>
      <c r="AA26" s="78"/>
    </row>
    <row r="27" spans="1:52" ht="16.5" hidden="1" customHeight="1" x14ac:dyDescent="0.2">
      <c r="B27" s="38"/>
      <c r="C27" s="38"/>
      <c r="D27" s="38"/>
      <c r="E27" s="38"/>
      <c r="F27" s="38"/>
      <c r="G27" s="38"/>
      <c r="H27" s="105"/>
      <c r="I27" s="105"/>
      <c r="J27" s="105"/>
      <c r="K27" s="105"/>
      <c r="L27" s="105"/>
      <c r="M27" s="105"/>
      <c r="N27" s="105"/>
      <c r="O27" s="105"/>
      <c r="P27" s="106"/>
      <c r="Q27" s="105"/>
      <c r="R27" s="105"/>
      <c r="S27" s="105"/>
      <c r="T27" s="105"/>
      <c r="U27" s="105"/>
      <c r="V27" s="105"/>
      <c r="W27" s="105"/>
      <c r="X27" s="105"/>
      <c r="Y27" s="106"/>
      <c r="AA27" s="78"/>
    </row>
    <row r="28" spans="1:52" ht="16.5" hidden="1" customHeight="1" x14ac:dyDescent="0.2">
      <c r="B28" s="38"/>
      <c r="C28" s="38"/>
      <c r="D28" s="38"/>
      <c r="E28" s="38"/>
      <c r="F28" s="38"/>
      <c r="G28" s="38"/>
      <c r="H28" s="105"/>
      <c r="I28" s="105"/>
      <c r="J28" s="105"/>
      <c r="K28" s="105"/>
      <c r="L28" s="105"/>
      <c r="M28" s="105"/>
      <c r="N28" s="105"/>
      <c r="O28" s="105"/>
      <c r="P28" s="106"/>
      <c r="Q28" s="105"/>
      <c r="R28" s="105"/>
      <c r="S28" s="105"/>
      <c r="T28" s="105"/>
      <c r="U28" s="105"/>
      <c r="V28" s="105"/>
      <c r="W28" s="105"/>
      <c r="X28" s="105"/>
      <c r="Y28" s="106"/>
      <c r="AA28" s="78"/>
    </row>
    <row r="29" spans="1:52" ht="16.5" hidden="1" customHeight="1" x14ac:dyDescent="0.2">
      <c r="B29" s="38"/>
      <c r="C29" s="38"/>
      <c r="D29" s="38"/>
      <c r="E29" s="38"/>
      <c r="F29" s="38"/>
      <c r="G29" s="38"/>
      <c r="H29" s="105"/>
      <c r="I29" s="105"/>
      <c r="J29" s="105"/>
      <c r="K29" s="105"/>
      <c r="L29" s="105"/>
      <c r="M29" s="105"/>
      <c r="N29" s="105"/>
      <c r="O29" s="105"/>
      <c r="P29" s="106"/>
      <c r="Q29" s="105"/>
      <c r="R29" s="105"/>
      <c r="S29" s="105"/>
      <c r="T29" s="105"/>
      <c r="U29" s="105"/>
      <c r="V29" s="105"/>
      <c r="W29" s="105"/>
      <c r="X29" s="105"/>
      <c r="Y29" s="106"/>
      <c r="AA29" s="78"/>
    </row>
    <row r="30" spans="1:52" ht="16.5" hidden="1" customHeight="1" x14ac:dyDescent="0.2">
      <c r="B30" s="38"/>
      <c r="C30" s="38"/>
      <c r="D30" s="38"/>
      <c r="E30" s="38"/>
      <c r="F30" s="38"/>
      <c r="G30" s="38"/>
      <c r="H30" s="105"/>
      <c r="I30" s="105"/>
      <c r="J30" s="105"/>
      <c r="K30" s="105"/>
      <c r="L30" s="105"/>
      <c r="M30" s="105"/>
      <c r="N30" s="105"/>
      <c r="O30" s="105"/>
      <c r="P30" s="106"/>
      <c r="Q30" s="105"/>
      <c r="R30" s="105"/>
      <c r="S30" s="105"/>
      <c r="T30" s="105"/>
      <c r="U30" s="105"/>
      <c r="V30" s="105"/>
      <c r="W30" s="105"/>
      <c r="X30" s="105"/>
      <c r="Y30" s="106"/>
      <c r="AA30" s="78"/>
    </row>
    <row r="31" spans="1:52" ht="16.5" hidden="1" customHeight="1" x14ac:dyDescent="0.2">
      <c r="B31" s="38"/>
      <c r="C31" s="38"/>
      <c r="D31" s="38"/>
      <c r="E31" s="38"/>
      <c r="F31" s="38"/>
      <c r="G31" s="38"/>
      <c r="H31" s="105"/>
      <c r="I31" s="105"/>
      <c r="J31" s="105"/>
      <c r="K31" s="105"/>
      <c r="L31" s="105"/>
      <c r="M31" s="105"/>
      <c r="N31" s="105"/>
      <c r="O31" s="105"/>
      <c r="P31" s="106"/>
      <c r="Q31" s="105"/>
      <c r="R31" s="105"/>
      <c r="S31" s="105"/>
      <c r="T31" s="105"/>
      <c r="U31" s="105"/>
      <c r="V31" s="105"/>
      <c r="W31" s="105"/>
      <c r="X31" s="105"/>
      <c r="Y31" s="106"/>
      <c r="AA31" s="78"/>
    </row>
    <row r="32" spans="1:52" ht="16.5" hidden="1" customHeight="1" x14ac:dyDescent="0.2">
      <c r="B32" s="38"/>
      <c r="C32" s="38"/>
      <c r="D32" s="38"/>
      <c r="E32" s="38"/>
      <c r="F32" s="38"/>
      <c r="G32" s="38"/>
      <c r="H32" s="105"/>
      <c r="I32" s="105"/>
      <c r="J32" s="105"/>
      <c r="K32" s="105"/>
      <c r="L32" s="105"/>
      <c r="M32" s="105"/>
      <c r="N32" s="105"/>
      <c r="O32" s="105"/>
      <c r="P32" s="106"/>
      <c r="Q32" s="105"/>
      <c r="R32" s="105"/>
      <c r="S32" s="105"/>
      <c r="T32" s="105"/>
      <c r="U32" s="105"/>
      <c r="V32" s="105"/>
      <c r="W32" s="105"/>
      <c r="X32" s="105"/>
      <c r="Y32" s="106"/>
      <c r="AA32" s="78"/>
    </row>
    <row r="33" spans="2:27" ht="16.5" hidden="1" customHeight="1" x14ac:dyDescent="0.2">
      <c r="B33" s="38"/>
      <c r="C33" s="38"/>
      <c r="D33" s="38"/>
      <c r="E33" s="38"/>
      <c r="F33" s="38"/>
      <c r="G33" s="38"/>
      <c r="H33" s="105"/>
      <c r="I33" s="105"/>
      <c r="J33" s="105"/>
      <c r="K33" s="105"/>
      <c r="L33" s="105"/>
      <c r="M33" s="105"/>
      <c r="N33" s="105"/>
      <c r="O33" s="105"/>
      <c r="P33" s="106"/>
      <c r="Q33" s="105"/>
      <c r="R33" s="105"/>
      <c r="S33" s="105"/>
      <c r="T33" s="105"/>
      <c r="U33" s="105"/>
      <c r="V33" s="105"/>
      <c r="W33" s="105"/>
      <c r="X33" s="105"/>
      <c r="Y33" s="106"/>
      <c r="AA33" s="78"/>
    </row>
    <row r="34" spans="2:27" ht="16.5" hidden="1" customHeight="1" x14ac:dyDescent="0.2">
      <c r="B34" s="38"/>
      <c r="C34" s="38"/>
      <c r="D34" s="38"/>
      <c r="E34" s="38"/>
      <c r="F34" s="38"/>
      <c r="G34" s="38"/>
      <c r="H34" s="105"/>
      <c r="I34" s="105"/>
      <c r="J34" s="105"/>
      <c r="K34" s="105"/>
      <c r="L34" s="105"/>
      <c r="M34" s="105"/>
      <c r="N34" s="105"/>
      <c r="O34" s="105"/>
      <c r="P34" s="106"/>
      <c r="Q34" s="105"/>
      <c r="R34" s="105"/>
      <c r="S34" s="105"/>
      <c r="T34" s="105"/>
      <c r="U34" s="105"/>
      <c r="V34" s="105"/>
      <c r="W34" s="105"/>
      <c r="X34" s="105"/>
      <c r="Y34" s="106"/>
      <c r="AA34" s="78"/>
    </row>
    <row r="35" spans="2:27" ht="16.5" hidden="1" customHeight="1" x14ac:dyDescent="0.2">
      <c r="B35" s="38"/>
      <c r="C35" s="38"/>
      <c r="D35" s="38"/>
      <c r="E35" s="38"/>
      <c r="F35" s="38"/>
      <c r="G35" s="38"/>
      <c r="H35" s="105"/>
      <c r="I35" s="105"/>
      <c r="J35" s="105"/>
      <c r="K35" s="105"/>
      <c r="L35" s="105"/>
      <c r="M35" s="105"/>
      <c r="N35" s="105"/>
      <c r="O35" s="105"/>
      <c r="P35" s="106"/>
      <c r="Q35" s="105"/>
      <c r="R35" s="105"/>
      <c r="S35" s="105"/>
      <c r="T35" s="105"/>
      <c r="U35" s="105"/>
      <c r="V35" s="105"/>
      <c r="W35" s="105"/>
      <c r="X35" s="105"/>
      <c r="Y35" s="106"/>
      <c r="AA35" s="78"/>
    </row>
    <row r="36" spans="2:27" ht="16.5" hidden="1" customHeight="1" x14ac:dyDescent="0.2">
      <c r="B36" s="38"/>
      <c r="C36" s="38"/>
      <c r="D36" s="38"/>
      <c r="E36" s="38"/>
      <c r="F36" s="38"/>
      <c r="G36" s="38"/>
      <c r="H36" s="105"/>
      <c r="I36" s="105"/>
      <c r="J36" s="105"/>
      <c r="K36" s="105"/>
      <c r="L36" s="105"/>
      <c r="M36" s="105"/>
      <c r="N36" s="105"/>
      <c r="O36" s="105"/>
      <c r="P36" s="106"/>
      <c r="Q36" s="105"/>
      <c r="R36" s="105"/>
      <c r="S36" s="105"/>
      <c r="T36" s="105"/>
      <c r="U36" s="105"/>
      <c r="V36" s="105"/>
      <c r="W36" s="105"/>
      <c r="X36" s="105"/>
      <c r="Y36" s="106"/>
      <c r="AA36" s="78"/>
    </row>
    <row r="37" spans="2:27" ht="16.5" hidden="1" customHeight="1" x14ac:dyDescent="0.2">
      <c r="B37" s="38"/>
      <c r="C37" s="38"/>
      <c r="D37" s="38"/>
      <c r="E37" s="38"/>
      <c r="F37" s="38"/>
      <c r="G37" s="38"/>
      <c r="H37" s="105"/>
      <c r="I37" s="105"/>
      <c r="J37" s="105"/>
      <c r="K37" s="105"/>
      <c r="L37" s="105"/>
      <c r="M37" s="105"/>
      <c r="N37" s="105"/>
      <c r="O37" s="105"/>
      <c r="P37" s="106"/>
      <c r="Q37" s="105"/>
      <c r="R37" s="105"/>
      <c r="S37" s="105"/>
      <c r="T37" s="105"/>
      <c r="U37" s="105"/>
      <c r="V37" s="105"/>
      <c r="W37" s="105"/>
      <c r="X37" s="105"/>
      <c r="Y37" s="106"/>
      <c r="AA37" s="78"/>
    </row>
    <row r="38" spans="2:27" ht="16.5" hidden="1" customHeight="1" x14ac:dyDescent="0.2">
      <c r="B38" s="38"/>
      <c r="C38" s="38"/>
      <c r="D38" s="38"/>
      <c r="E38" s="38"/>
      <c r="F38" s="38"/>
      <c r="G38" s="38"/>
      <c r="H38" s="105"/>
      <c r="I38" s="105"/>
      <c r="J38" s="105"/>
      <c r="K38" s="105"/>
      <c r="L38" s="105"/>
      <c r="M38" s="105"/>
      <c r="N38" s="105"/>
      <c r="O38" s="105"/>
      <c r="P38" s="106"/>
      <c r="Q38" s="105"/>
      <c r="R38" s="105"/>
      <c r="S38" s="105"/>
      <c r="T38" s="105"/>
      <c r="U38" s="105"/>
      <c r="V38" s="105"/>
      <c r="W38" s="105"/>
      <c r="X38" s="105"/>
      <c r="Y38" s="106"/>
      <c r="AA38" s="78"/>
    </row>
    <row r="39" spans="2:27" ht="16.5" hidden="1" customHeight="1" x14ac:dyDescent="0.2">
      <c r="B39" s="38"/>
      <c r="C39" s="38"/>
      <c r="D39" s="38"/>
      <c r="E39" s="38"/>
      <c r="F39" s="38"/>
      <c r="G39" s="38"/>
      <c r="H39" s="105"/>
      <c r="I39" s="105"/>
      <c r="J39" s="105"/>
      <c r="K39" s="105"/>
      <c r="L39" s="105"/>
      <c r="M39" s="105"/>
      <c r="N39" s="105"/>
      <c r="O39" s="105"/>
      <c r="P39" s="106"/>
      <c r="Q39" s="105"/>
      <c r="R39" s="105"/>
      <c r="S39" s="105"/>
      <c r="T39" s="105"/>
      <c r="U39" s="105"/>
      <c r="V39" s="105"/>
      <c r="W39" s="105"/>
      <c r="X39" s="105"/>
      <c r="Y39" s="106"/>
      <c r="AA39" s="78"/>
    </row>
    <row r="40" spans="2:27" ht="16.5" hidden="1" customHeight="1" x14ac:dyDescent="0.2">
      <c r="B40" s="38"/>
      <c r="C40" s="38"/>
      <c r="D40" s="38"/>
      <c r="E40" s="38"/>
      <c r="F40" s="38"/>
      <c r="G40" s="38"/>
      <c r="H40" s="105"/>
      <c r="I40" s="105"/>
      <c r="J40" s="105"/>
      <c r="K40" s="105"/>
      <c r="L40" s="105"/>
      <c r="M40" s="105"/>
      <c r="N40" s="105"/>
      <c r="O40" s="105"/>
      <c r="P40" s="106"/>
      <c r="Q40" s="105"/>
      <c r="R40" s="105"/>
      <c r="S40" s="105"/>
      <c r="T40" s="105"/>
      <c r="U40" s="105"/>
      <c r="V40" s="105"/>
      <c r="W40" s="105"/>
      <c r="X40" s="105"/>
      <c r="Y40" s="106"/>
      <c r="AA40" s="78"/>
    </row>
    <row r="41" spans="2:27" ht="16.5" hidden="1" customHeight="1" x14ac:dyDescent="0.2">
      <c r="B41" s="38"/>
      <c r="C41" s="38"/>
      <c r="D41" s="38"/>
      <c r="E41" s="38"/>
      <c r="F41" s="38"/>
      <c r="G41" s="38"/>
      <c r="H41" s="105"/>
      <c r="I41" s="105"/>
      <c r="J41" s="105"/>
      <c r="K41" s="105"/>
      <c r="L41" s="105"/>
      <c r="M41" s="105"/>
      <c r="N41" s="105"/>
      <c r="O41" s="105"/>
      <c r="P41" s="106"/>
      <c r="Q41" s="105"/>
      <c r="R41" s="105"/>
      <c r="S41" s="105"/>
      <c r="T41" s="105"/>
      <c r="U41" s="105"/>
      <c r="V41" s="105"/>
      <c r="W41" s="105"/>
      <c r="X41" s="105"/>
      <c r="Y41" s="106"/>
      <c r="AA41" s="78"/>
    </row>
    <row r="42" spans="2:27" ht="16.5" hidden="1" customHeight="1" x14ac:dyDescent="0.2">
      <c r="B42" s="38"/>
      <c r="C42" s="38"/>
      <c r="D42" s="38"/>
      <c r="E42" s="38"/>
      <c r="F42" s="38"/>
      <c r="G42" s="38"/>
      <c r="H42" s="105"/>
      <c r="I42" s="105"/>
      <c r="J42" s="105"/>
      <c r="K42" s="105"/>
      <c r="L42" s="105"/>
      <c r="M42" s="105"/>
      <c r="N42" s="105"/>
      <c r="O42" s="105"/>
      <c r="P42" s="106"/>
      <c r="Q42" s="105"/>
      <c r="R42" s="105"/>
      <c r="S42" s="105"/>
      <c r="T42" s="105"/>
      <c r="U42" s="105"/>
      <c r="V42" s="105"/>
      <c r="W42" s="105"/>
      <c r="X42" s="105"/>
      <c r="Y42" s="106"/>
      <c r="AA42" s="78"/>
    </row>
    <row r="43" spans="2:27" ht="16.5" hidden="1" customHeight="1" x14ac:dyDescent="0.2">
      <c r="B43" s="38"/>
      <c r="C43" s="38"/>
      <c r="D43" s="38"/>
      <c r="E43" s="38"/>
      <c r="F43" s="38"/>
      <c r="G43" s="38"/>
      <c r="H43" s="105"/>
      <c r="I43" s="105"/>
      <c r="J43" s="105"/>
      <c r="K43" s="105"/>
      <c r="L43" s="105"/>
      <c r="M43" s="105"/>
      <c r="N43" s="105"/>
      <c r="O43" s="105"/>
      <c r="P43" s="106"/>
      <c r="Q43" s="105"/>
      <c r="R43" s="105"/>
      <c r="S43" s="105"/>
      <c r="T43" s="105"/>
      <c r="U43" s="105"/>
      <c r="V43" s="105"/>
      <c r="W43" s="105"/>
      <c r="X43" s="105"/>
      <c r="Y43" s="106"/>
      <c r="AA43" s="78"/>
    </row>
    <row r="44" spans="2:27" ht="16.5" hidden="1" customHeight="1" x14ac:dyDescent="0.2">
      <c r="B44" s="38"/>
      <c r="C44" s="38"/>
      <c r="D44" s="38"/>
      <c r="E44" s="38"/>
      <c r="F44" s="38"/>
      <c r="G44" s="38"/>
      <c r="H44" s="105"/>
      <c r="I44" s="105"/>
      <c r="J44" s="105"/>
      <c r="K44" s="105"/>
      <c r="L44" s="105"/>
      <c r="M44" s="105"/>
      <c r="N44" s="105"/>
      <c r="O44" s="105"/>
      <c r="P44" s="106"/>
      <c r="Q44" s="105"/>
      <c r="R44" s="105"/>
      <c r="S44" s="105"/>
      <c r="T44" s="105"/>
      <c r="U44" s="105"/>
      <c r="V44" s="105"/>
      <c r="W44" s="105"/>
      <c r="X44" s="105"/>
      <c r="Y44" s="106"/>
      <c r="AA44" s="78"/>
    </row>
    <row r="45" spans="2:27" ht="16.5" hidden="1" customHeight="1" x14ac:dyDescent="0.2">
      <c r="B45" s="38"/>
      <c r="C45" s="38"/>
      <c r="D45" s="38"/>
      <c r="E45" s="38"/>
      <c r="F45" s="38"/>
      <c r="G45" s="38"/>
      <c r="H45" s="105"/>
      <c r="I45" s="105"/>
      <c r="J45" s="105"/>
      <c r="K45" s="105"/>
      <c r="L45" s="105"/>
      <c r="M45" s="105"/>
      <c r="N45" s="105"/>
      <c r="O45" s="105"/>
      <c r="P45" s="106"/>
      <c r="Q45" s="105"/>
      <c r="R45" s="105"/>
      <c r="S45" s="105"/>
      <c r="T45" s="105"/>
      <c r="U45" s="105"/>
      <c r="V45" s="105"/>
      <c r="W45" s="105"/>
      <c r="X45" s="105"/>
      <c r="Y45" s="106"/>
      <c r="AA45" s="78"/>
    </row>
    <row r="46" spans="2:27" ht="16.5" hidden="1" customHeight="1" x14ac:dyDescent="0.2">
      <c r="B46" s="38"/>
      <c r="C46" s="38"/>
      <c r="D46" s="38"/>
      <c r="E46" s="38"/>
      <c r="F46" s="38"/>
      <c r="G46" s="38"/>
      <c r="H46" s="105"/>
      <c r="I46" s="105"/>
      <c r="J46" s="105"/>
      <c r="K46" s="105"/>
      <c r="L46" s="105"/>
      <c r="M46" s="105"/>
      <c r="N46" s="105"/>
      <c r="O46" s="105"/>
      <c r="P46" s="106"/>
      <c r="Q46" s="105"/>
      <c r="R46" s="105"/>
      <c r="S46" s="105"/>
      <c r="T46" s="105"/>
      <c r="U46" s="105"/>
      <c r="V46" s="105"/>
      <c r="W46" s="105"/>
      <c r="X46" s="105"/>
      <c r="Y46" s="106"/>
      <c r="AA46" s="78"/>
    </row>
    <row r="47" spans="2:27" ht="16.5" hidden="1" customHeight="1" x14ac:dyDescent="0.2">
      <c r="B47" s="38"/>
      <c r="C47" s="38"/>
      <c r="D47" s="38"/>
      <c r="E47" s="38"/>
      <c r="F47" s="38"/>
      <c r="G47" s="38"/>
      <c r="H47" s="105"/>
      <c r="I47" s="105"/>
      <c r="J47" s="105"/>
      <c r="K47" s="105"/>
      <c r="L47" s="105"/>
      <c r="M47" s="105"/>
      <c r="N47" s="105"/>
      <c r="O47" s="105"/>
      <c r="P47" s="106"/>
      <c r="Q47" s="105"/>
      <c r="R47" s="105"/>
      <c r="S47" s="105"/>
      <c r="T47" s="105"/>
      <c r="U47" s="105"/>
      <c r="V47" s="105"/>
      <c r="W47" s="105"/>
      <c r="X47" s="105"/>
      <c r="Y47" s="106"/>
      <c r="AA47" s="78"/>
    </row>
    <row r="48" spans="2:27" ht="16.5" hidden="1" customHeight="1" x14ac:dyDescent="0.2">
      <c r="B48" s="38"/>
      <c r="C48" s="38"/>
      <c r="D48" s="38"/>
      <c r="E48" s="38"/>
      <c r="F48" s="38"/>
      <c r="G48" s="38"/>
      <c r="H48" s="105"/>
      <c r="I48" s="105"/>
      <c r="J48" s="105"/>
      <c r="K48" s="105"/>
      <c r="L48" s="105"/>
      <c r="M48" s="105"/>
      <c r="N48" s="105"/>
      <c r="O48" s="105"/>
      <c r="P48" s="106"/>
      <c r="Q48" s="105"/>
      <c r="R48" s="105"/>
      <c r="S48" s="105"/>
      <c r="T48" s="105"/>
      <c r="U48" s="105"/>
      <c r="V48" s="105"/>
      <c r="W48" s="105"/>
      <c r="X48" s="105"/>
      <c r="Y48" s="107" t="s">
        <v>265</v>
      </c>
      <c r="AA48" s="78"/>
    </row>
    <row r="49" spans="2:27" ht="16.5" hidden="1" customHeight="1" x14ac:dyDescent="0.2">
      <c r="B49" s="38"/>
      <c r="C49" s="38"/>
      <c r="D49" s="38"/>
      <c r="E49" s="38"/>
      <c r="F49" s="38"/>
      <c r="G49" s="38"/>
      <c r="H49" s="105"/>
      <c r="I49" s="105"/>
      <c r="J49" s="105"/>
      <c r="K49" s="105"/>
      <c r="L49" s="105"/>
      <c r="M49" s="105"/>
      <c r="N49" s="105"/>
      <c r="O49" s="105"/>
      <c r="P49" s="106"/>
      <c r="Q49" s="105"/>
      <c r="R49" s="105"/>
      <c r="S49" s="105"/>
      <c r="T49" s="105"/>
      <c r="U49" s="105"/>
      <c r="V49" s="105"/>
      <c r="W49" s="105"/>
      <c r="X49" s="105"/>
      <c r="Y49" s="106"/>
      <c r="AA49" s="78"/>
    </row>
    <row r="50" spans="2:27" ht="16.5" hidden="1" customHeight="1" x14ac:dyDescent="0.2">
      <c r="B50" s="38"/>
      <c r="C50" s="38"/>
      <c r="D50" s="38"/>
      <c r="E50" s="38"/>
      <c r="F50" s="38"/>
      <c r="G50" s="38"/>
      <c r="H50" s="105"/>
      <c r="I50" s="105"/>
      <c r="J50" s="105"/>
      <c r="K50" s="105"/>
      <c r="L50" s="105"/>
      <c r="M50" s="105"/>
      <c r="N50" s="105"/>
      <c r="O50" s="105"/>
      <c r="P50" s="106"/>
      <c r="Q50" s="105"/>
      <c r="R50" s="105"/>
      <c r="S50" s="105"/>
      <c r="T50" s="105"/>
      <c r="U50" s="105"/>
      <c r="V50" s="105"/>
      <c r="W50" s="105"/>
      <c r="X50" s="105"/>
      <c r="Y50" s="106"/>
      <c r="AA50" s="78"/>
    </row>
    <row r="51" spans="2:27" ht="16.5" hidden="1" customHeight="1" x14ac:dyDescent="0.2">
      <c r="B51" s="310" t="s">
        <v>418</v>
      </c>
      <c r="C51" s="311"/>
      <c r="D51" s="311"/>
      <c r="E51" s="311"/>
      <c r="F51" s="311"/>
      <c r="G51" s="312"/>
      <c r="H51" s="271" t="s">
        <v>227</v>
      </c>
      <c r="I51" s="272"/>
      <c r="J51" s="272"/>
      <c r="K51" s="272"/>
      <c r="L51" s="272"/>
      <c r="M51" s="272"/>
      <c r="N51" s="272"/>
      <c r="O51" s="272"/>
      <c r="P51" s="272"/>
      <c r="Q51" s="272"/>
      <c r="R51" s="272"/>
      <c r="S51" s="272"/>
      <c r="T51" s="272"/>
      <c r="U51" s="272"/>
      <c r="V51" s="272"/>
      <c r="W51" s="272"/>
      <c r="X51" s="272"/>
      <c r="Y51" s="273"/>
      <c r="AA51" s="78" t="s">
        <v>67</v>
      </c>
    </row>
    <row r="52" spans="2:27" ht="16.5" hidden="1" customHeight="1" x14ac:dyDescent="0.2">
      <c r="B52" s="503"/>
      <c r="C52" s="374"/>
      <c r="D52" s="374"/>
      <c r="E52" s="374"/>
      <c r="F52" s="374"/>
      <c r="G52" s="504"/>
      <c r="H52" s="81" t="e">
        <f>IF(【様式第６号】事業報告書兼チェックシート!#REF!="","","・"&amp;【様式第６号】事業報告書兼チェックシート!#REF!)</f>
        <v>#REF!</v>
      </c>
      <c r="I52" s="13"/>
      <c r="J52" s="13"/>
      <c r="K52" s="13"/>
      <c r="L52" s="13"/>
      <c r="M52" s="13"/>
      <c r="N52" s="13"/>
      <c r="O52" s="13"/>
      <c r="P52" s="13"/>
      <c r="Q52" s="13"/>
      <c r="R52" s="13"/>
      <c r="S52" s="13"/>
      <c r="T52" s="13"/>
      <c r="U52" s="13"/>
      <c r="V52" s="13"/>
      <c r="W52" s="13"/>
      <c r="X52" s="13"/>
      <c r="Y52" s="82"/>
    </row>
    <row r="53" spans="2:27" ht="16.5" hidden="1" customHeight="1" x14ac:dyDescent="0.2">
      <c r="B53" s="28"/>
      <c r="G53" s="80"/>
      <c r="H53" s="81" t="str">
        <f>IF(【様式第６号】事業報告書兼チェックシート!C241="","","・"&amp;【様式第６号】事業報告書兼チェックシート!C241)</f>
        <v/>
      </c>
      <c r="I53" s="13"/>
      <c r="J53" s="13"/>
      <c r="K53" s="13"/>
      <c r="L53" s="13"/>
      <c r="M53" s="13"/>
      <c r="N53" s="13"/>
      <c r="O53" s="13"/>
      <c r="P53" s="13"/>
      <c r="Q53" s="13"/>
      <c r="R53" s="13"/>
      <c r="S53" s="13"/>
      <c r="T53" s="13"/>
      <c r="U53" s="13"/>
      <c r="V53" s="13"/>
      <c r="W53" s="13"/>
      <c r="X53" s="13"/>
      <c r="Y53" s="82"/>
    </row>
    <row r="54" spans="2:27" ht="16.5" hidden="1" customHeight="1" x14ac:dyDescent="0.2">
      <c r="B54" s="28"/>
      <c r="G54" s="80"/>
      <c r="H54" s="81" t="str">
        <f>IF(【様式第６号】事業報告書兼チェックシート!C242="","","・"&amp;【様式第６号】事業報告書兼チェックシート!C242)</f>
        <v/>
      </c>
      <c r="I54" s="13"/>
      <c r="J54" s="13"/>
      <c r="K54" s="13"/>
      <c r="L54" s="13"/>
      <c r="M54" s="13"/>
      <c r="N54" s="13"/>
      <c r="O54" s="13"/>
      <c r="P54" s="13"/>
      <c r="Q54" s="13"/>
      <c r="R54" s="13"/>
      <c r="S54" s="13"/>
      <c r="T54" s="13"/>
      <c r="U54" s="13"/>
      <c r="V54" s="13"/>
      <c r="W54" s="13"/>
      <c r="X54" s="13"/>
      <c r="Y54" s="82"/>
    </row>
    <row r="55" spans="2:27" ht="16.5" hidden="1" customHeight="1" x14ac:dyDescent="0.2">
      <c r="B55" s="28"/>
      <c r="G55" s="80"/>
      <c r="H55" s="81" t="str">
        <f>IF(【様式第６号】事業報告書兼チェックシート!C243="","","・"&amp;【様式第６号】事業報告書兼チェックシート!C243)</f>
        <v>・完成写真及び口座振替依頼書</v>
      </c>
      <c r="I55" s="13"/>
      <c r="J55" s="13"/>
      <c r="K55" s="13"/>
      <c r="L55" s="13"/>
      <c r="M55" s="13"/>
      <c r="N55" s="13"/>
      <c r="O55" s="13"/>
      <c r="P55" s="13"/>
      <c r="Q55" s="13"/>
      <c r="R55" s="13"/>
      <c r="S55" s="13"/>
      <c r="T55" s="13"/>
      <c r="U55" s="13"/>
      <c r="V55" s="13"/>
      <c r="W55" s="13"/>
      <c r="X55" s="13"/>
      <c r="Y55" s="82"/>
    </row>
    <row r="56" spans="2:27" ht="16.5" hidden="1" customHeight="1" x14ac:dyDescent="0.2">
      <c r="B56" s="28"/>
      <c r="G56" s="80"/>
      <c r="H56" s="81" t="str">
        <f>IF(【様式第６号】事業報告書兼チェックシート!C244="","","・"&amp;【様式第６号】事業報告書兼チェックシート!C244)</f>
        <v>・鳥取県産材活用協議会が発行する県産材の産地証明書の写し</v>
      </c>
      <c r="I56" s="13"/>
      <c r="J56" s="13"/>
      <c r="K56" s="13"/>
      <c r="L56" s="13"/>
      <c r="M56" s="13"/>
      <c r="N56" s="13"/>
      <c r="O56" s="13"/>
      <c r="P56" s="13"/>
      <c r="Q56" s="13"/>
      <c r="R56" s="13"/>
      <c r="S56" s="13"/>
      <c r="T56" s="13"/>
      <c r="U56" s="13"/>
      <c r="V56" s="13"/>
      <c r="W56" s="13"/>
      <c r="X56" s="13"/>
      <c r="Y56" s="82"/>
    </row>
    <row r="57" spans="2:27" ht="28.5" hidden="1" customHeight="1" x14ac:dyDescent="0.2">
      <c r="B57" s="28"/>
      <c r="G57" s="80"/>
      <c r="H57" s="467" t="str">
        <f>IF(【様式第６号】事業報告書兼チェックシート!C245="","","・"&amp;【様式第６号】事業報告書兼チェックシート!C245)</f>
        <v/>
      </c>
      <c r="I57" s="414"/>
      <c r="J57" s="414"/>
      <c r="K57" s="414"/>
      <c r="L57" s="414"/>
      <c r="M57" s="414"/>
      <c r="N57" s="414"/>
      <c r="O57" s="414"/>
      <c r="P57" s="414"/>
      <c r="Q57" s="414"/>
      <c r="R57" s="414"/>
      <c r="S57" s="414"/>
      <c r="T57" s="414"/>
      <c r="U57" s="414"/>
      <c r="V57" s="414"/>
      <c r="W57" s="414"/>
      <c r="X57" s="414"/>
      <c r="Y57" s="468"/>
    </row>
    <row r="58" spans="2:27" ht="30" hidden="1" customHeight="1" x14ac:dyDescent="0.2">
      <c r="B58" s="28"/>
      <c r="G58" s="80"/>
      <c r="H58" s="467" t="str">
        <f>IF(【様式第６号】事業報告書兼チェックシート!C246="","","・"&amp;【様式第６号】事業報告書兼チェックシート!C246)</f>
        <v/>
      </c>
      <c r="I58" s="414"/>
      <c r="J58" s="414"/>
      <c r="K58" s="414"/>
      <c r="L58" s="414"/>
      <c r="M58" s="414"/>
      <c r="N58" s="414"/>
      <c r="O58" s="414"/>
      <c r="P58" s="414"/>
      <c r="Q58" s="414"/>
      <c r="R58" s="414"/>
      <c r="S58" s="414"/>
      <c r="T58" s="414"/>
      <c r="U58" s="414"/>
      <c r="V58" s="414"/>
      <c r="W58" s="414"/>
      <c r="X58" s="414"/>
      <c r="Y58" s="468"/>
    </row>
    <row r="59" spans="2:27" ht="33" hidden="1" customHeight="1" x14ac:dyDescent="0.2">
      <c r="B59" s="28"/>
      <c r="G59" s="80"/>
      <c r="H59" s="467" t="str">
        <f>IF(【様式第６号】事業報告書兼チェックシート!C247="","","・"&amp;【様式第６号】事業報告書兼チェックシート!C247)</f>
        <v/>
      </c>
      <c r="I59" s="414"/>
      <c r="J59" s="414"/>
      <c r="K59" s="414"/>
      <c r="L59" s="414"/>
      <c r="M59" s="414"/>
      <c r="N59" s="414"/>
      <c r="O59" s="414"/>
      <c r="P59" s="414"/>
      <c r="Q59" s="414"/>
      <c r="R59" s="414"/>
      <c r="S59" s="414"/>
      <c r="T59" s="414"/>
      <c r="U59" s="414"/>
      <c r="V59" s="414"/>
      <c r="W59" s="414"/>
      <c r="X59" s="414"/>
      <c r="Y59" s="468"/>
    </row>
    <row r="60" spans="2:27" ht="16.5" hidden="1" customHeight="1" x14ac:dyDescent="0.2">
      <c r="B60" s="28"/>
      <c r="G60" s="80"/>
      <c r="H60" s="469" t="str">
        <f>IF(【様式第６号】事業報告書兼チェックシート!C248="","","・"&amp;【様式第６号】事業報告書兼チェックシート!C248)</f>
        <v/>
      </c>
      <c r="I60" s="470"/>
      <c r="J60" s="470"/>
      <c r="K60" s="470"/>
      <c r="L60" s="470"/>
      <c r="M60" s="470"/>
      <c r="N60" s="470"/>
      <c r="O60" s="470"/>
      <c r="P60" s="470"/>
      <c r="Q60" s="470"/>
      <c r="R60" s="470"/>
      <c r="S60" s="470"/>
      <c r="T60" s="470"/>
      <c r="U60" s="470"/>
      <c r="V60" s="470"/>
      <c r="W60" s="470"/>
      <c r="X60" s="470"/>
      <c r="Y60" s="471"/>
    </row>
    <row r="61" spans="2:27" ht="56.25" hidden="1" customHeight="1" x14ac:dyDescent="0.2">
      <c r="B61" s="28"/>
      <c r="G61" s="80"/>
      <c r="H61" s="467" t="str">
        <f>IF(【様式第６号】事業報告書兼チェックシート!C249="","","・"&amp;【様式第６号】事業報告書兼チェックシート!C249)</f>
        <v/>
      </c>
      <c r="I61" s="414"/>
      <c r="J61" s="414"/>
      <c r="K61" s="414"/>
      <c r="L61" s="414"/>
      <c r="M61" s="414"/>
      <c r="N61" s="414"/>
      <c r="O61" s="414"/>
      <c r="P61" s="414"/>
      <c r="Q61" s="414"/>
      <c r="R61" s="414"/>
      <c r="S61" s="414"/>
      <c r="T61" s="414"/>
      <c r="U61" s="414"/>
      <c r="V61" s="414"/>
      <c r="W61" s="414"/>
      <c r="X61" s="414"/>
      <c r="Y61" s="468"/>
    </row>
    <row r="62" spans="2:27" ht="30" hidden="1" customHeight="1" x14ac:dyDescent="0.2">
      <c r="B62" s="28"/>
      <c r="G62" s="80"/>
      <c r="H62" s="467" t="str">
        <f>IF(【様式第６号】事業報告書兼チェックシート!C250="","","・"&amp;【様式第６号】事業報告書兼チェックシート!C250)</f>
        <v/>
      </c>
      <c r="I62" s="414"/>
      <c r="J62" s="414"/>
      <c r="K62" s="414"/>
      <c r="L62" s="414"/>
      <c r="M62" s="414"/>
      <c r="N62" s="414"/>
      <c r="O62" s="414"/>
      <c r="P62" s="414"/>
      <c r="Q62" s="414"/>
      <c r="R62" s="414"/>
      <c r="S62" s="414"/>
      <c r="T62" s="414"/>
      <c r="U62" s="414"/>
      <c r="V62" s="414"/>
      <c r="W62" s="414"/>
      <c r="X62" s="414"/>
      <c r="Y62" s="468"/>
    </row>
    <row r="63" spans="2:27" ht="18.75" hidden="1" customHeight="1" x14ac:dyDescent="0.2">
      <c r="B63" s="28"/>
      <c r="G63" s="80"/>
      <c r="H63" s="469" t="str">
        <f>IF(【様式第６号】事業報告書兼チェックシート!C251="","","・"&amp;【様式第６号】事業報告書兼チェックシート!C251)</f>
        <v/>
      </c>
      <c r="I63" s="470"/>
      <c r="J63" s="470"/>
      <c r="K63" s="470"/>
      <c r="L63" s="470"/>
      <c r="M63" s="470"/>
      <c r="N63" s="470"/>
      <c r="O63" s="470"/>
      <c r="P63" s="470"/>
      <c r="Q63" s="470"/>
      <c r="R63" s="470"/>
      <c r="S63" s="470"/>
      <c r="T63" s="470"/>
      <c r="U63" s="470"/>
      <c r="V63" s="470"/>
      <c r="W63" s="470"/>
      <c r="X63" s="470"/>
      <c r="Y63" s="471"/>
    </row>
    <row r="64" spans="2:27" ht="18.75" hidden="1" customHeight="1" x14ac:dyDescent="0.2">
      <c r="B64" s="28"/>
      <c r="G64" s="80"/>
      <c r="H64" s="469" t="str">
        <f>IF(【様式第６号】事業報告書兼チェックシート!C252="","","・"&amp;【様式第６号】事業報告書兼チェックシート!C252)</f>
        <v/>
      </c>
      <c r="I64" s="470"/>
      <c r="J64" s="470"/>
      <c r="K64" s="470"/>
      <c r="L64" s="470"/>
      <c r="M64" s="470"/>
      <c r="N64" s="470"/>
      <c r="O64" s="470"/>
      <c r="P64" s="470"/>
      <c r="Q64" s="470"/>
      <c r="R64" s="470"/>
      <c r="S64" s="470"/>
      <c r="T64" s="470"/>
      <c r="U64" s="470"/>
      <c r="V64" s="470"/>
      <c r="W64" s="470"/>
      <c r="X64" s="470"/>
      <c r="Y64" s="471"/>
    </row>
    <row r="65" spans="2:25" ht="32.25" hidden="1" customHeight="1" x14ac:dyDescent="0.2">
      <c r="B65" s="28"/>
      <c r="G65" s="80"/>
      <c r="H65" s="467" t="str">
        <f>IF(【様式第６号】事業報告書兼チェックシート!C253="","","・"&amp;【様式第６号】事業報告書兼チェックシート!C253)</f>
        <v/>
      </c>
      <c r="I65" s="414"/>
      <c r="J65" s="414"/>
      <c r="K65" s="414"/>
      <c r="L65" s="414"/>
      <c r="M65" s="414"/>
      <c r="N65" s="414"/>
      <c r="O65" s="414"/>
      <c r="P65" s="414"/>
      <c r="Q65" s="414"/>
      <c r="R65" s="414"/>
      <c r="S65" s="414"/>
      <c r="T65" s="414"/>
      <c r="U65" s="414"/>
      <c r="V65" s="414"/>
      <c r="W65" s="414"/>
      <c r="X65" s="414"/>
      <c r="Y65" s="468"/>
    </row>
    <row r="66" spans="2:25" ht="32.25" hidden="1" customHeight="1" x14ac:dyDescent="0.2">
      <c r="B66" s="28"/>
      <c r="G66" s="80"/>
      <c r="H66" s="467" t="str">
        <f>IF(【様式第６号】事業報告書兼チェックシート!C254="","","・"&amp;【様式第６号】事業報告書兼チェックシート!C254)</f>
        <v/>
      </c>
      <c r="I66" s="414"/>
      <c r="J66" s="414"/>
      <c r="K66" s="414"/>
      <c r="L66" s="414"/>
      <c r="M66" s="414"/>
      <c r="N66" s="414"/>
      <c r="O66" s="414"/>
      <c r="P66" s="414"/>
      <c r="Q66" s="414"/>
      <c r="R66" s="414"/>
      <c r="S66" s="414"/>
      <c r="T66" s="414"/>
      <c r="U66" s="414"/>
      <c r="V66" s="414"/>
      <c r="W66" s="414"/>
      <c r="X66" s="414"/>
      <c r="Y66" s="468"/>
    </row>
    <row r="67" spans="2:25" ht="30.75" hidden="1" customHeight="1" x14ac:dyDescent="0.2">
      <c r="B67" s="28"/>
      <c r="G67" s="80"/>
      <c r="H67" s="467" t="str">
        <f>IF(【様式第６号】事業報告書兼チェックシート!C255="","","・"&amp;【様式第６号】事業報告書兼チェックシート!C255)</f>
        <v/>
      </c>
      <c r="I67" s="414"/>
      <c r="J67" s="414"/>
      <c r="K67" s="414"/>
      <c r="L67" s="414"/>
      <c r="M67" s="414"/>
      <c r="N67" s="414"/>
      <c r="O67" s="414"/>
      <c r="P67" s="414"/>
      <c r="Q67" s="414"/>
      <c r="R67" s="414"/>
      <c r="S67" s="414"/>
      <c r="T67" s="414"/>
      <c r="U67" s="414"/>
      <c r="V67" s="414"/>
      <c r="W67" s="414"/>
      <c r="X67" s="414"/>
      <c r="Y67" s="468"/>
    </row>
    <row r="68" spans="2:25" ht="30.75" hidden="1" customHeight="1" x14ac:dyDescent="0.2">
      <c r="B68" s="28"/>
      <c r="G68" s="80"/>
      <c r="H68" s="467" t="str">
        <f>IF(【様式第６号】事業報告書兼チェックシート!C256="","","・"&amp;【様式第６号】事業報告書兼チェックシート!C256)</f>
        <v/>
      </c>
      <c r="I68" s="414"/>
      <c r="J68" s="414"/>
      <c r="K68" s="414"/>
      <c r="L68" s="414"/>
      <c r="M68" s="414"/>
      <c r="N68" s="414"/>
      <c r="O68" s="414"/>
      <c r="P68" s="414"/>
      <c r="Q68" s="414"/>
      <c r="R68" s="414"/>
      <c r="S68" s="414"/>
      <c r="T68" s="414"/>
      <c r="U68" s="414"/>
      <c r="V68" s="414"/>
      <c r="W68" s="414"/>
      <c r="X68" s="414"/>
      <c r="Y68" s="468"/>
    </row>
    <row r="69" spans="2:25" ht="30.75" hidden="1" customHeight="1" x14ac:dyDescent="0.2">
      <c r="B69" s="28"/>
      <c r="G69" s="80"/>
      <c r="H69" s="467" t="str">
        <f>IF(【様式第６号】事業報告書兼チェックシート!C257="","","・"&amp;【様式第６号】事業報告書兼チェックシート!C257)</f>
        <v/>
      </c>
      <c r="I69" s="414"/>
      <c r="J69" s="414"/>
      <c r="K69" s="414"/>
      <c r="L69" s="414"/>
      <c r="M69" s="414"/>
      <c r="N69" s="414"/>
      <c r="O69" s="414"/>
      <c r="P69" s="414"/>
      <c r="Q69" s="414"/>
      <c r="R69" s="414"/>
      <c r="S69" s="414"/>
      <c r="T69" s="414"/>
      <c r="U69" s="414"/>
      <c r="V69" s="414"/>
      <c r="W69" s="414"/>
      <c r="X69" s="414"/>
      <c r="Y69" s="468"/>
    </row>
    <row r="70" spans="2:25" ht="30.75" hidden="1" customHeight="1" x14ac:dyDescent="0.2">
      <c r="B70" s="28"/>
      <c r="G70" s="80"/>
      <c r="H70" s="467" t="str">
        <f>IF(【様式第６号】事業報告書兼チェックシート!C258="","","・"&amp;【様式第６号】事業報告書兼チェックシート!C258)</f>
        <v/>
      </c>
      <c r="I70" s="414"/>
      <c r="J70" s="414"/>
      <c r="K70" s="414"/>
      <c r="L70" s="414"/>
      <c r="M70" s="414"/>
      <c r="N70" s="414"/>
      <c r="O70" s="414"/>
      <c r="P70" s="414"/>
      <c r="Q70" s="414"/>
      <c r="R70" s="414"/>
      <c r="S70" s="414"/>
      <c r="T70" s="414"/>
      <c r="U70" s="414"/>
      <c r="V70" s="414"/>
      <c r="W70" s="414"/>
      <c r="X70" s="414"/>
      <c r="Y70" s="468"/>
    </row>
    <row r="71" spans="2:25" ht="30.75" hidden="1" customHeight="1" x14ac:dyDescent="0.2">
      <c r="B71" s="28"/>
      <c r="G71" s="80"/>
      <c r="H71" s="467" t="str">
        <f>IF(【様式第６号】事業報告書兼チェックシート!C259="","","・"&amp;【様式第６号】事業報告書兼チェックシート!C259)</f>
        <v/>
      </c>
      <c r="I71" s="414"/>
      <c r="J71" s="414"/>
      <c r="K71" s="414"/>
      <c r="L71" s="414"/>
      <c r="M71" s="414"/>
      <c r="N71" s="414"/>
      <c r="O71" s="414"/>
      <c r="P71" s="414"/>
      <c r="Q71" s="414"/>
      <c r="R71" s="414"/>
      <c r="S71" s="414"/>
      <c r="T71" s="414"/>
      <c r="U71" s="414"/>
      <c r="V71" s="414"/>
      <c r="W71" s="414"/>
      <c r="X71" s="414"/>
      <c r="Y71" s="468"/>
    </row>
    <row r="72" spans="2:25" ht="44.25" hidden="1" customHeight="1" x14ac:dyDescent="0.2">
      <c r="B72" s="28"/>
      <c r="G72" s="80"/>
      <c r="H72" s="467" t="str">
        <f>IF(【様式第６号】事業報告書兼チェックシート!C260="","","・"&amp;【様式第６号】事業報告書兼チェックシート!C260)</f>
        <v/>
      </c>
      <c r="I72" s="414"/>
      <c r="J72" s="414"/>
      <c r="K72" s="414"/>
      <c r="L72" s="414"/>
      <c r="M72" s="414"/>
      <c r="N72" s="414"/>
      <c r="O72" s="414"/>
      <c r="P72" s="414"/>
      <c r="Q72" s="414"/>
      <c r="R72" s="414"/>
      <c r="S72" s="414"/>
      <c r="T72" s="414"/>
      <c r="U72" s="414"/>
      <c r="V72" s="414"/>
      <c r="W72" s="414"/>
      <c r="X72" s="414"/>
      <c r="Y72" s="468"/>
    </row>
    <row r="73" spans="2:25" ht="30.75" hidden="1" customHeight="1" x14ac:dyDescent="0.2">
      <c r="B73" s="28"/>
      <c r="G73" s="80"/>
      <c r="H73" s="467" t="str">
        <f>IF(【様式第６号】事業報告書兼チェックシート!C261="","","・"&amp;【様式第６号】事業報告書兼チェックシート!C261)</f>
        <v/>
      </c>
      <c r="I73" s="414"/>
      <c r="J73" s="414"/>
      <c r="K73" s="414"/>
      <c r="L73" s="414"/>
      <c r="M73" s="414"/>
      <c r="N73" s="414"/>
      <c r="O73" s="414"/>
      <c r="P73" s="414"/>
      <c r="Q73" s="414"/>
      <c r="R73" s="414"/>
      <c r="S73" s="414"/>
      <c r="T73" s="414"/>
      <c r="U73" s="414"/>
      <c r="V73" s="414"/>
      <c r="W73" s="414"/>
      <c r="X73" s="414"/>
      <c r="Y73" s="468"/>
    </row>
    <row r="74" spans="2:25" ht="43.5" hidden="1" customHeight="1" x14ac:dyDescent="0.2">
      <c r="B74" s="28"/>
      <c r="G74" s="80"/>
      <c r="H74" s="467" t="str">
        <f>IF(【様式第６号】事業報告書兼チェックシート!C262="","","・"&amp;【様式第６号】事業報告書兼チェックシート!C262)</f>
        <v/>
      </c>
      <c r="I74" s="414"/>
      <c r="J74" s="414"/>
      <c r="K74" s="414"/>
      <c r="L74" s="414"/>
      <c r="M74" s="414"/>
      <c r="N74" s="414"/>
      <c r="O74" s="414"/>
      <c r="P74" s="414"/>
      <c r="Q74" s="414"/>
      <c r="R74" s="414"/>
      <c r="S74" s="414"/>
      <c r="T74" s="414"/>
      <c r="U74" s="414"/>
      <c r="V74" s="414"/>
      <c r="W74" s="414"/>
      <c r="X74" s="414"/>
      <c r="Y74" s="468"/>
    </row>
    <row r="75" spans="2:25" ht="19.5" hidden="1" customHeight="1" x14ac:dyDescent="0.2">
      <c r="B75" s="28"/>
      <c r="G75" s="80"/>
      <c r="H75" s="467" t="e">
        <f>IF(【様式第６号】事業報告書兼チェックシート!#REF!="","","・"&amp;【様式第６号】事業報告書兼チェックシート!#REF!)</f>
        <v>#REF!</v>
      </c>
      <c r="I75" s="414"/>
      <c r="J75" s="414"/>
      <c r="K75" s="414"/>
      <c r="L75" s="414"/>
      <c r="M75" s="414"/>
      <c r="N75" s="414"/>
      <c r="O75" s="414"/>
      <c r="P75" s="414"/>
      <c r="Q75" s="414"/>
      <c r="R75" s="414"/>
      <c r="S75" s="414"/>
      <c r="T75" s="414"/>
      <c r="U75" s="414"/>
      <c r="V75" s="414"/>
      <c r="W75" s="414"/>
      <c r="X75" s="414"/>
      <c r="Y75" s="468"/>
    </row>
    <row r="76" spans="2:25" ht="19.5" hidden="1" customHeight="1" x14ac:dyDescent="0.2">
      <c r="B76" s="8"/>
      <c r="C76" s="17"/>
      <c r="D76" s="17"/>
      <c r="E76" s="17"/>
      <c r="F76" s="17"/>
      <c r="G76" s="9"/>
      <c r="H76" s="489" t="str">
        <f>IF(【様式第６号】事業報告書兼チェックシート!C263="","","・"&amp;【様式第６号】事業報告書兼チェックシート!C263)</f>
        <v/>
      </c>
      <c r="I76" s="490"/>
      <c r="J76" s="490"/>
      <c r="K76" s="490"/>
      <c r="L76" s="490"/>
      <c r="M76" s="490"/>
      <c r="N76" s="490"/>
      <c r="O76" s="490"/>
      <c r="P76" s="490"/>
      <c r="Q76" s="490"/>
      <c r="R76" s="490"/>
      <c r="S76" s="490"/>
      <c r="T76" s="490"/>
      <c r="U76" s="490"/>
      <c r="V76" s="490"/>
      <c r="W76" s="490"/>
      <c r="X76" s="490"/>
      <c r="Y76" s="491"/>
    </row>
    <row r="77" spans="2:25" ht="19.5" customHeight="1" x14ac:dyDescent="0.2">
      <c r="B77" s="472" t="s">
        <v>418</v>
      </c>
      <c r="C77" s="473"/>
      <c r="D77" s="473"/>
      <c r="E77" s="473"/>
      <c r="F77" s="473"/>
      <c r="G77" s="474"/>
      <c r="H77" s="271"/>
      <c r="I77" s="100"/>
      <c r="J77" s="100"/>
      <c r="K77" s="100"/>
      <c r="L77" s="100"/>
      <c r="M77" s="100"/>
      <c r="N77" s="100"/>
      <c r="O77" s="100"/>
      <c r="P77" s="100"/>
      <c r="Q77" s="100"/>
      <c r="R77" s="100"/>
      <c r="S77" s="100"/>
      <c r="T77" s="100"/>
      <c r="U77" s="100"/>
      <c r="V77" s="100"/>
      <c r="W77" s="100"/>
      <c r="X77" s="100"/>
      <c r="Y77" s="101"/>
    </row>
    <row r="78" spans="2:25" ht="19.5" customHeight="1" x14ac:dyDescent="0.2">
      <c r="B78" s="475"/>
      <c r="C78" s="476"/>
      <c r="D78" s="476"/>
      <c r="E78" s="476"/>
      <c r="F78" s="476"/>
      <c r="G78" s="477"/>
      <c r="H78" s="81" t="s">
        <v>451</v>
      </c>
      <c r="I78" s="100"/>
      <c r="J78" s="100"/>
      <c r="K78" s="100"/>
      <c r="L78" s="100"/>
      <c r="M78" s="100"/>
      <c r="N78" s="100"/>
      <c r="O78" s="100"/>
      <c r="P78" s="100"/>
      <c r="Q78" s="100"/>
      <c r="R78" s="100"/>
      <c r="S78" s="100"/>
      <c r="T78" s="100"/>
      <c r="U78" s="100"/>
      <c r="V78" s="100"/>
      <c r="W78" s="100"/>
      <c r="X78" s="100"/>
      <c r="Y78" s="101"/>
    </row>
    <row r="79" spans="2:25" ht="16.5" customHeight="1" x14ac:dyDescent="0.2">
      <c r="B79" s="28"/>
      <c r="G79" s="80"/>
      <c r="H79" s="81" t="str">
        <f>IF(【様式第６号】事業報告書兼チェックシート!T230=0,IF(【様式第６号】事業報告書兼チェックシート!C241="","","・"&amp;【様式第６号】事業報告書兼チェックシート!C241),"")</f>
        <v/>
      </c>
      <c r="I79" s="13"/>
      <c r="J79" s="13"/>
      <c r="K79" s="13"/>
      <c r="L79" s="13"/>
      <c r="M79" s="13"/>
      <c r="N79" s="13"/>
      <c r="O79" s="13"/>
      <c r="P79" s="13"/>
      <c r="Q79" s="13"/>
      <c r="R79" s="13"/>
      <c r="S79" s="13"/>
      <c r="T79" s="13"/>
      <c r="U79" s="13"/>
      <c r="V79" s="13"/>
      <c r="W79" s="13"/>
      <c r="X79" s="13"/>
      <c r="Y79" s="82"/>
    </row>
    <row r="80" spans="2:25" ht="16.5" customHeight="1" x14ac:dyDescent="0.2">
      <c r="B80" s="28"/>
      <c r="G80" s="80"/>
      <c r="H80" s="81" t="str">
        <f>IF(【様式第６号】事業報告書兼チェックシート!T230=0,IF(【様式第６号】事業報告書兼チェックシート!C242="","","・"&amp;【様式第６号】事業報告書兼チェックシート!C242),"")</f>
        <v/>
      </c>
      <c r="I80" s="13"/>
      <c r="J80" s="13"/>
      <c r="K80" s="13"/>
      <c r="L80" s="13"/>
      <c r="M80" s="13"/>
      <c r="N80" s="13"/>
      <c r="O80" s="13"/>
      <c r="P80" s="13"/>
      <c r="Q80" s="13"/>
      <c r="R80" s="13"/>
      <c r="S80" s="13"/>
      <c r="T80" s="13"/>
      <c r="U80" s="13"/>
      <c r="V80" s="13"/>
      <c r="W80" s="13"/>
      <c r="X80" s="13"/>
      <c r="Y80" s="82"/>
    </row>
    <row r="81" spans="2:25" ht="16.5" customHeight="1" x14ac:dyDescent="0.2">
      <c r="B81" s="28"/>
      <c r="G81" s="80"/>
      <c r="H81" s="81" t="str">
        <f>IF(【様式第６号】事業報告書兼チェックシート!T230=0,IF(【様式第６号】事業報告書兼チェックシート!C243="","","・"&amp;【様式第６号】事業報告書兼チェックシート!C243),"")</f>
        <v>・完成写真及び口座振替依頼書</v>
      </c>
      <c r="I81" s="13"/>
      <c r="J81" s="13"/>
      <c r="K81" s="13"/>
      <c r="L81" s="13"/>
      <c r="M81" s="13"/>
      <c r="N81" s="13"/>
      <c r="O81" s="13"/>
      <c r="P81" s="13"/>
      <c r="Q81" s="13"/>
      <c r="R81" s="13"/>
      <c r="S81" s="13"/>
      <c r="T81" s="13"/>
      <c r="U81" s="13"/>
      <c r="V81" s="13"/>
      <c r="W81" s="13"/>
      <c r="X81" s="13"/>
      <c r="Y81" s="82"/>
    </row>
    <row r="82" spans="2:25" ht="16.5" customHeight="1" x14ac:dyDescent="0.2">
      <c r="B82" s="28"/>
      <c r="G82" s="80"/>
      <c r="H82" s="81" t="str">
        <f>IF(【様式第６号】事業報告書兼チェックシート!T230=0,IF(【様式第６号】事業報告書兼チェックシート!C244="","","・"&amp;【様式第６号】事業報告書兼チェックシート!C244),"")</f>
        <v>・鳥取県産材活用協議会が発行する県産材の産地証明書の写し</v>
      </c>
      <c r="I82" s="13"/>
      <c r="J82" s="13"/>
      <c r="K82" s="13"/>
      <c r="L82" s="13"/>
      <c r="M82" s="13"/>
      <c r="N82" s="13"/>
      <c r="O82" s="13"/>
      <c r="P82" s="13"/>
      <c r="Q82" s="13"/>
      <c r="R82" s="13"/>
      <c r="S82" s="13"/>
      <c r="T82" s="13"/>
      <c r="U82" s="13"/>
      <c r="V82" s="13"/>
      <c r="W82" s="13"/>
      <c r="X82" s="13"/>
      <c r="Y82" s="82"/>
    </row>
    <row r="83" spans="2:25" ht="16.5" customHeight="1" x14ac:dyDescent="0.2">
      <c r="B83" s="28"/>
      <c r="G83" s="80"/>
      <c r="H83" s="81" t="str">
        <f>IF(【様式第６号】事業報告書兼チェックシート!C250="","","・"&amp;【様式第６号】事業報告書兼チェックシート!C250)</f>
        <v/>
      </c>
      <c r="I83" s="13"/>
      <c r="J83" s="13"/>
      <c r="K83" s="13"/>
      <c r="L83" s="13"/>
      <c r="M83" s="13"/>
      <c r="N83" s="13"/>
      <c r="O83" s="13"/>
      <c r="P83" s="13"/>
      <c r="Q83" s="13"/>
      <c r="R83" s="13"/>
      <c r="S83" s="13"/>
      <c r="T83" s="13"/>
      <c r="U83" s="13"/>
      <c r="V83" s="13"/>
      <c r="W83" s="13"/>
      <c r="X83" s="13"/>
      <c r="Y83" s="82"/>
    </row>
    <row r="84" spans="2:25" ht="19.5" customHeight="1" x14ac:dyDescent="0.2">
      <c r="B84" s="475"/>
      <c r="C84" s="476"/>
      <c r="D84" s="476"/>
      <c r="E84" s="476"/>
      <c r="F84" s="476"/>
      <c r="G84" s="477"/>
      <c r="H84" s="467" t="str">
        <f>IF(【様式第６号】事業報告書兼チェックシート!C264="","","・"&amp;【様式第６号】事業報告書兼チェックシート!C264)</f>
        <v/>
      </c>
      <c r="I84" s="414"/>
      <c r="J84" s="414"/>
      <c r="K84" s="414"/>
      <c r="L84" s="414"/>
      <c r="M84" s="414"/>
      <c r="N84" s="414"/>
      <c r="O84" s="414"/>
      <c r="P84" s="414"/>
      <c r="Q84" s="414"/>
      <c r="R84" s="414"/>
      <c r="S84" s="414"/>
      <c r="T84" s="414"/>
      <c r="U84" s="414"/>
      <c r="V84" s="414"/>
      <c r="W84" s="414"/>
      <c r="X84" s="414"/>
      <c r="Y84" s="468"/>
    </row>
    <row r="85" spans="2:25" ht="19.5" customHeight="1" x14ac:dyDescent="0.2">
      <c r="B85" s="475"/>
      <c r="C85" s="476"/>
      <c r="D85" s="476"/>
      <c r="E85" s="476"/>
      <c r="F85" s="476"/>
      <c r="G85" s="477"/>
      <c r="H85" s="467" t="str">
        <f>IF(【様式第６号】事業報告書兼チェックシート!C265="","","・"&amp;【様式第６号】事業報告書兼チェックシート!C265)</f>
        <v/>
      </c>
      <c r="I85" s="414"/>
      <c r="J85" s="414"/>
      <c r="K85" s="414"/>
      <c r="L85" s="414"/>
      <c r="M85" s="414"/>
      <c r="N85" s="414"/>
      <c r="O85" s="414"/>
      <c r="P85" s="414"/>
      <c r="Q85" s="414"/>
      <c r="R85" s="414"/>
      <c r="S85" s="414"/>
      <c r="T85" s="414"/>
      <c r="U85" s="414"/>
      <c r="V85" s="414"/>
      <c r="W85" s="414"/>
      <c r="X85" s="414"/>
      <c r="Y85" s="468"/>
    </row>
    <row r="86" spans="2:25" ht="19.5" customHeight="1" x14ac:dyDescent="0.2">
      <c r="B86" s="28"/>
      <c r="G86" s="80"/>
      <c r="H86" s="467" t="str">
        <f>IF(【様式第６号】事業報告書兼チェックシート!C266="","","・"&amp;【様式第６号】事業報告書兼チェックシート!C266)</f>
        <v/>
      </c>
      <c r="I86" s="414"/>
      <c r="J86" s="414"/>
      <c r="K86" s="414"/>
      <c r="L86" s="414"/>
      <c r="M86" s="414"/>
      <c r="N86" s="414"/>
      <c r="O86" s="414"/>
      <c r="P86" s="414"/>
      <c r="Q86" s="414"/>
      <c r="R86" s="414"/>
      <c r="S86" s="414"/>
      <c r="T86" s="414"/>
      <c r="U86" s="414"/>
      <c r="V86" s="414"/>
      <c r="W86" s="414"/>
      <c r="X86" s="414"/>
      <c r="Y86" s="468"/>
    </row>
    <row r="87" spans="2:25" ht="19.5" customHeight="1" x14ac:dyDescent="0.2">
      <c r="B87" s="28"/>
      <c r="G87" s="80"/>
      <c r="H87" s="99"/>
      <c r="I87" s="100"/>
      <c r="J87" s="100"/>
      <c r="K87" s="100"/>
      <c r="L87" s="100"/>
      <c r="M87" s="100"/>
      <c r="N87" s="100"/>
      <c r="O87" s="100"/>
      <c r="P87" s="100"/>
      <c r="Q87" s="100"/>
      <c r="R87" s="100"/>
      <c r="S87" s="100"/>
      <c r="T87" s="100"/>
      <c r="U87" s="100"/>
      <c r="V87" s="100"/>
      <c r="W87" s="100"/>
      <c r="X87" s="100"/>
      <c r="Y87" s="101"/>
    </row>
    <row r="88" spans="2:25" ht="18" customHeight="1" x14ac:dyDescent="0.2">
      <c r="B88" s="8"/>
      <c r="C88" s="17"/>
      <c r="D88" s="17"/>
      <c r="E88" s="17"/>
      <c r="F88" s="17"/>
      <c r="G88" s="9"/>
      <c r="H88" s="83"/>
      <c r="I88" s="84"/>
      <c r="J88" s="17"/>
      <c r="K88" s="17"/>
      <c r="L88" s="17"/>
      <c r="M88" s="17"/>
      <c r="N88" s="17"/>
      <c r="O88" s="17"/>
      <c r="P88" s="17"/>
      <c r="Q88" s="17"/>
      <c r="R88" s="17"/>
      <c r="S88" s="17"/>
      <c r="T88" s="17"/>
      <c r="U88" s="17"/>
      <c r="V88" s="17"/>
      <c r="W88" s="17"/>
      <c r="X88" s="17"/>
      <c r="Y88" s="9"/>
    </row>
    <row r="97" spans="1:35" ht="18" hidden="1" customHeight="1" x14ac:dyDescent="0.2"/>
    <row r="98" spans="1:35" ht="18" hidden="1" customHeight="1" x14ac:dyDescent="0.2"/>
    <row r="99" spans="1:35" s="13" customFormat="1" ht="18" hidden="1" customHeight="1" x14ac:dyDescent="0.15">
      <c r="A99" s="85" t="s">
        <v>222</v>
      </c>
      <c r="B99" s="86"/>
      <c r="C99" s="86"/>
      <c r="D99" s="86"/>
      <c r="E99" s="86"/>
      <c r="F99" s="86"/>
      <c r="G99" s="86"/>
      <c r="H99" s="86"/>
      <c r="I99" s="86"/>
      <c r="J99" s="86"/>
      <c r="K99" s="86"/>
      <c r="L99" s="86"/>
      <c r="M99" s="86"/>
      <c r="N99" s="86"/>
      <c r="O99" s="86"/>
      <c r="P99" s="86"/>
      <c r="Q99" s="87"/>
      <c r="R99" s="86"/>
      <c r="S99" s="86"/>
      <c r="T99" s="86"/>
      <c r="U99" s="86"/>
      <c r="V99" s="86"/>
      <c r="W99" s="86"/>
      <c r="X99" s="86"/>
      <c r="Y99" s="86"/>
      <c r="Z99" s="86"/>
      <c r="AA99" s="23"/>
    </row>
    <row r="100" spans="1:35" s="13" customFormat="1" ht="18" hidden="1" customHeight="1" x14ac:dyDescent="0.15">
      <c r="A100" s="85"/>
      <c r="B100" s="13" t="s">
        <v>11</v>
      </c>
      <c r="AA100" s="23"/>
    </row>
    <row r="101" spans="1:35" s="13" customFormat="1" ht="18" hidden="1" customHeight="1" x14ac:dyDescent="0.2">
      <c r="B101" s="478" t="s">
        <v>223</v>
      </c>
      <c r="C101" s="479"/>
      <c r="D101" s="479"/>
      <c r="E101" s="479"/>
      <c r="F101" s="479"/>
      <c r="G101" s="479"/>
      <c r="H101" s="480"/>
      <c r="I101" s="88" t="s">
        <v>224</v>
      </c>
      <c r="J101" s="353"/>
      <c r="K101" s="353"/>
      <c r="L101" s="353"/>
      <c r="M101" s="484"/>
      <c r="N101" s="484"/>
      <c r="O101" s="484"/>
      <c r="P101" s="484"/>
      <c r="Q101" s="484"/>
      <c r="R101" s="484"/>
      <c r="S101" s="484"/>
      <c r="T101" s="484"/>
      <c r="U101" s="484"/>
      <c r="V101" s="484"/>
      <c r="W101" s="484"/>
      <c r="X101" s="484"/>
      <c r="Y101" s="485"/>
      <c r="AA101" s="22"/>
    </row>
    <row r="102" spans="1:35" s="13" customFormat="1" ht="18" hidden="1" customHeight="1" x14ac:dyDescent="0.2">
      <c r="B102" s="481"/>
      <c r="C102" s="482"/>
      <c r="D102" s="482"/>
      <c r="E102" s="482"/>
      <c r="F102" s="482"/>
      <c r="G102" s="482"/>
      <c r="H102" s="483"/>
      <c r="I102" s="486"/>
      <c r="J102" s="487"/>
      <c r="K102" s="487"/>
      <c r="L102" s="487"/>
      <c r="M102" s="487"/>
      <c r="N102" s="487"/>
      <c r="O102" s="487"/>
      <c r="P102" s="487"/>
      <c r="Q102" s="487"/>
      <c r="R102" s="487"/>
      <c r="S102" s="487"/>
      <c r="T102" s="487"/>
      <c r="U102" s="487"/>
      <c r="V102" s="487"/>
      <c r="W102" s="487"/>
      <c r="X102" s="487"/>
      <c r="Y102" s="488"/>
      <c r="AA102" s="23"/>
      <c r="AB102" s="23"/>
      <c r="AC102" s="23"/>
      <c r="AD102" s="23"/>
      <c r="AE102" s="23"/>
      <c r="AF102" s="23"/>
      <c r="AG102" s="23"/>
      <c r="AH102" s="23"/>
      <c r="AI102" s="23"/>
    </row>
    <row r="103" spans="1:35" s="13" customFormat="1" ht="24" hidden="1" customHeight="1" x14ac:dyDescent="0.2">
      <c r="B103" s="492" t="s">
        <v>225</v>
      </c>
      <c r="C103" s="493"/>
      <c r="D103" s="493"/>
      <c r="E103" s="493"/>
      <c r="F103" s="493"/>
      <c r="G103" s="493"/>
      <c r="H103" s="494"/>
      <c r="I103" s="505"/>
      <c r="J103" s="506"/>
      <c r="K103" s="506"/>
      <c r="L103" s="506"/>
      <c r="M103" s="506"/>
      <c r="N103" s="506"/>
      <c r="O103" s="506"/>
      <c r="P103" s="506"/>
      <c r="Q103" s="506"/>
      <c r="R103" s="506"/>
      <c r="S103" s="506"/>
      <c r="T103" s="506"/>
      <c r="U103" s="506"/>
      <c r="V103" s="506"/>
      <c r="W103" s="506"/>
      <c r="X103" s="506"/>
      <c r="Y103" s="507"/>
      <c r="AA103" s="23"/>
      <c r="AB103" s="23"/>
      <c r="AC103" s="23"/>
      <c r="AD103" s="23"/>
      <c r="AE103" s="23"/>
      <c r="AF103" s="23"/>
      <c r="AG103" s="23"/>
      <c r="AH103" s="23"/>
      <c r="AI103" s="23"/>
    </row>
    <row r="104" spans="1:35" s="13" customFormat="1" ht="18" hidden="1" customHeight="1" x14ac:dyDescent="0.2">
      <c r="B104" s="492" t="s">
        <v>18</v>
      </c>
      <c r="C104" s="493"/>
      <c r="D104" s="493"/>
      <c r="E104" s="493"/>
      <c r="F104" s="493"/>
      <c r="G104" s="493"/>
      <c r="H104" s="494"/>
      <c r="I104" s="495"/>
      <c r="J104" s="496"/>
      <c r="K104" s="496"/>
      <c r="L104" s="496"/>
      <c r="M104" s="497"/>
      <c r="N104" s="498" t="s">
        <v>9</v>
      </c>
      <c r="O104" s="499"/>
      <c r="P104" s="500"/>
      <c r="Q104" s="501" t="s">
        <v>226</v>
      </c>
      <c r="R104" s="501"/>
      <c r="S104" s="501"/>
      <c r="T104" s="501"/>
      <c r="U104" s="501"/>
      <c r="V104" s="501"/>
      <c r="W104" s="501"/>
      <c r="X104" s="501"/>
      <c r="Y104" s="502"/>
      <c r="AA104" s="23"/>
      <c r="AB104" s="23"/>
      <c r="AC104" s="23"/>
      <c r="AD104" s="23"/>
      <c r="AE104" s="23"/>
      <c r="AF104" s="23"/>
      <c r="AG104" s="23"/>
      <c r="AH104" s="89"/>
      <c r="AI104" s="23"/>
    </row>
    <row r="105" spans="1:35" s="13" customFormat="1" ht="18" hidden="1" customHeight="1" x14ac:dyDescent="0.2">
      <c r="AA105" s="23"/>
      <c r="AB105" s="23"/>
      <c r="AC105" s="23"/>
      <c r="AD105" s="23"/>
      <c r="AE105" s="23"/>
      <c r="AF105" s="23"/>
      <c r="AG105" s="23"/>
      <c r="AH105" s="23"/>
      <c r="AI105" s="23"/>
    </row>
    <row r="106" spans="1:35" ht="18" hidden="1" customHeight="1" x14ac:dyDescent="0.2"/>
  </sheetData>
  <sheetProtection algorithmName="SHA-512" hashValue="HCr3U/LXYMExbxeig1yamgyN+bCIxQFc72Qr78XwL8ZZgZ/4BbJnISqC20kpL5/sqlPW0h8pd/SpxzkthY0RTA==" saltValue="Fe2jKM3W0eyYVKCAW0Es8A==" spinCount="100000" sheet="1" selectLockedCells="1"/>
  <mergeCells count="61">
    <mergeCell ref="O11:X11"/>
    <mergeCell ref="Q2:R2"/>
    <mergeCell ref="T2:U2"/>
    <mergeCell ref="W2:X2"/>
    <mergeCell ref="P9:X9"/>
    <mergeCell ref="O10:X10"/>
    <mergeCell ref="B21:G21"/>
    <mergeCell ref="H21:Y21"/>
    <mergeCell ref="O12:X12"/>
    <mergeCell ref="A15:Z15"/>
    <mergeCell ref="AC16:AG16"/>
    <mergeCell ref="A17:Z17"/>
    <mergeCell ref="A19:Z19"/>
    <mergeCell ref="AA19:AZ19"/>
    <mergeCell ref="B25:G25"/>
    <mergeCell ref="H25:O25"/>
    <mergeCell ref="Q25:X25"/>
    <mergeCell ref="B22:G23"/>
    <mergeCell ref="H22:P22"/>
    <mergeCell ref="Q22:Y22"/>
    <mergeCell ref="H23:O23"/>
    <mergeCell ref="Q23:X23"/>
    <mergeCell ref="B24:G24"/>
    <mergeCell ref="H24:O24"/>
    <mergeCell ref="Q24:X24"/>
    <mergeCell ref="B51:G52"/>
    <mergeCell ref="H57:Y57"/>
    <mergeCell ref="H58:Y58"/>
    <mergeCell ref="H59:Y59"/>
    <mergeCell ref="H60:Y60"/>
    <mergeCell ref="H72:Y72"/>
    <mergeCell ref="H61:Y61"/>
    <mergeCell ref="H62:Y62"/>
    <mergeCell ref="H63:Y63"/>
    <mergeCell ref="H64:Y64"/>
    <mergeCell ref="H65:Y65"/>
    <mergeCell ref="H66:Y66"/>
    <mergeCell ref="H67:Y67"/>
    <mergeCell ref="H68:Y68"/>
    <mergeCell ref="H69:Y69"/>
    <mergeCell ref="H70:Y70"/>
    <mergeCell ref="H71:Y71"/>
    <mergeCell ref="H73:Y73"/>
    <mergeCell ref="H74:Y74"/>
    <mergeCell ref="H75:Y75"/>
    <mergeCell ref="H76:Y76"/>
    <mergeCell ref="B84:G85"/>
    <mergeCell ref="H84:Y84"/>
    <mergeCell ref="H85:Y85"/>
    <mergeCell ref="B104:H104"/>
    <mergeCell ref="I104:M104"/>
    <mergeCell ref="N104:P104"/>
    <mergeCell ref="Q104:Y104"/>
    <mergeCell ref="B77:G78"/>
    <mergeCell ref="H86:Y86"/>
    <mergeCell ref="B101:H102"/>
    <mergeCell ref="J101:L101"/>
    <mergeCell ref="M101:Y101"/>
    <mergeCell ref="I102:Y102"/>
    <mergeCell ref="B103:H103"/>
    <mergeCell ref="I103:Y103"/>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1:AGP22"/>
  <sheetViews>
    <sheetView zoomScale="70" zoomScaleNormal="70" workbookViewId="0">
      <selection activeCell="DM4" sqref="DM4"/>
    </sheetView>
  </sheetViews>
  <sheetFormatPr defaultColWidth="9" defaultRowHeight="13.2" outlineLevelRow="1" outlineLevelCol="1" x14ac:dyDescent="0.2"/>
  <cols>
    <col min="1" max="1" width="9" style="111"/>
    <col min="2" max="2" width="6.6640625" style="109" hidden="1" customWidth="1"/>
    <col min="3" max="3" width="6.6640625" hidden="1" customWidth="1"/>
    <col min="4" max="5" width="7.6640625" style="110" hidden="1" customWidth="1"/>
    <col min="6" max="6" width="9.6640625" style="111" hidden="1" customWidth="1"/>
    <col min="7" max="7" width="8.88671875" style="111" hidden="1" customWidth="1"/>
    <col min="8" max="8" width="11.6640625" style="112" hidden="1" customWidth="1"/>
    <col min="9" max="9" width="26.44140625" style="111" hidden="1" customWidth="1"/>
    <col min="10" max="10" width="10.6640625" style="110" hidden="1" customWidth="1"/>
    <col min="11" max="11" width="50" style="111" hidden="1" customWidth="1"/>
    <col min="12" max="12" width="16.6640625" style="110" hidden="1" customWidth="1"/>
    <col min="13" max="13" width="10.6640625" style="110" hidden="1" customWidth="1"/>
    <col min="14" max="14" width="57" style="111" hidden="1" customWidth="1"/>
    <col min="15" max="31" width="6.6640625" style="114" hidden="1" customWidth="1"/>
    <col min="32" max="33" width="6.6640625" style="114" hidden="1" customWidth="1" outlineLevel="1"/>
    <col min="34" max="35" width="6.6640625" style="114" hidden="1" customWidth="1"/>
    <col min="36" max="37" width="6.6640625" style="114" hidden="1" customWidth="1" outlineLevel="1"/>
    <col min="38" max="51" width="6.6640625" style="114" hidden="1" customWidth="1"/>
    <col min="52" max="52" width="9" style="114" hidden="1" customWidth="1"/>
    <col min="53" max="56" width="6.6640625" style="114" hidden="1" customWidth="1"/>
    <col min="57" max="58" width="6.6640625" style="114" hidden="1" customWidth="1" outlineLevel="1"/>
    <col min="59" max="60" width="6.6640625" style="114" hidden="1" customWidth="1"/>
    <col min="61" max="63" width="6.6640625" style="114" hidden="1" customWidth="1" outlineLevel="1"/>
    <col min="64" max="65" width="6.6640625" style="114" hidden="1" customWidth="1"/>
    <col min="66" max="68" width="6.6640625" style="114" hidden="1" customWidth="1" outlineLevel="1"/>
    <col min="69" max="71" width="6.6640625" style="114" hidden="1" customWidth="1"/>
    <col min="72" max="72" width="10.6640625" style="112" hidden="1" customWidth="1"/>
    <col min="73" max="73" width="3.33203125" style="112" hidden="1" customWidth="1"/>
    <col min="74" max="74" width="4.33203125" style="112" hidden="1" customWidth="1"/>
    <col min="75" max="75" width="3.33203125" style="112" hidden="1" customWidth="1"/>
    <col min="76" max="76" width="4.88671875" style="112" hidden="1" customWidth="1"/>
    <col min="77" max="77" width="3.33203125" style="112" hidden="1" customWidth="1"/>
    <col min="78" max="78" width="10.6640625" style="112" hidden="1" customWidth="1"/>
    <col min="79" max="79" width="3.33203125" style="112" hidden="1" customWidth="1"/>
    <col min="80" max="80" width="4.33203125" style="112" hidden="1" customWidth="1"/>
    <col min="81" max="81" width="3.33203125" style="112" hidden="1" customWidth="1"/>
    <col min="82" max="82" width="4.88671875" style="112" hidden="1" customWidth="1"/>
    <col min="83" max="83" width="3.33203125" style="112" hidden="1" customWidth="1"/>
    <col min="84" max="84" width="10.6640625" style="112" hidden="1" customWidth="1"/>
    <col min="85" max="85" width="9" style="115" hidden="1" customWidth="1"/>
    <col min="86" max="86" width="29.33203125" style="111" hidden="1" customWidth="1"/>
    <col min="87" max="87" width="40.6640625" style="111" hidden="1" customWidth="1"/>
    <col min="88" max="88" width="10.88671875" style="110" hidden="1" customWidth="1"/>
    <col min="89" max="90" width="9" style="111" hidden="1" customWidth="1"/>
    <col min="91" max="91" width="9" style="110" hidden="1" customWidth="1"/>
    <col min="92" max="92" width="9" style="112" hidden="1" customWidth="1"/>
    <col min="93" max="94" width="9" style="111" hidden="1" customWidth="1"/>
    <col min="95" max="96" width="9" style="112" hidden="1" customWidth="1"/>
    <col min="97" max="97" width="11" style="111" hidden="1" customWidth="1"/>
    <col min="98" max="98" width="3.33203125" style="111" hidden="1" customWidth="1"/>
    <col min="99" max="99" width="3.88671875" style="111" hidden="1" customWidth="1"/>
    <col min="100" max="100" width="4.44140625" style="111" hidden="1" customWidth="1"/>
    <col min="101" max="101" width="3.88671875" style="111" hidden="1" customWidth="1"/>
    <col min="102" max="102" width="3.44140625" style="111" hidden="1" customWidth="1"/>
    <col min="103" max="103" width="4.44140625" style="111" hidden="1" customWidth="1"/>
    <col min="104" max="104" width="9" style="111" customWidth="1"/>
    <col min="105" max="105" width="8.88671875" style="111" bestFit="1" customWidth="1"/>
    <col min="106" max="107" width="6.6640625" style="114" customWidth="1"/>
    <col min="108" max="108" width="10.109375" style="114" customWidth="1"/>
    <col min="109" max="112" width="6.6640625" style="114" customWidth="1"/>
    <col min="113" max="113" width="10.109375" style="114" customWidth="1"/>
    <col min="114" max="120" width="6.6640625" style="114" customWidth="1"/>
    <col min="121" max="121" width="6.88671875" style="114" bestFit="1" customWidth="1"/>
    <col min="122" max="122" width="12.109375" style="114" customWidth="1"/>
    <col min="123" max="123" width="9.6640625" style="114" customWidth="1"/>
    <col min="124" max="129" width="6.6640625" style="114" customWidth="1"/>
    <col min="130" max="130" width="9.6640625" style="114" customWidth="1"/>
    <col min="131" max="134" width="6.6640625" style="114" customWidth="1"/>
    <col min="135" max="136" width="6.6640625" style="114" customWidth="1" outlineLevel="1"/>
    <col min="137" max="139" width="6.6640625" style="114" customWidth="1"/>
    <col min="140" max="141" width="6.6640625" style="114" customWidth="1" outlineLevel="1"/>
    <col min="142" max="157" width="6.6640625" style="114" customWidth="1"/>
    <col min="158" max="159" width="8.6640625" style="114" customWidth="1"/>
    <col min="160" max="160" width="6.6640625" style="114" customWidth="1"/>
    <col min="161" max="161" width="8.88671875" style="114" bestFit="1" customWidth="1"/>
    <col min="162" max="162" width="9" style="114" customWidth="1"/>
    <col min="163" max="163" width="6.6640625" style="114" customWidth="1"/>
    <col min="164" max="164" width="10.109375" style="114" customWidth="1"/>
    <col min="165" max="165" width="6.6640625" style="114" customWidth="1"/>
    <col min="166" max="166" width="10" style="114" customWidth="1"/>
    <col min="167" max="169" width="6.6640625" style="114" customWidth="1"/>
    <col min="170" max="171" width="6.6640625" style="114" hidden="1" customWidth="1" outlineLevel="1"/>
    <col min="172" max="172" width="6.6640625" style="114" customWidth="1" collapsed="1"/>
    <col min="173" max="174" width="6.6640625" style="114" customWidth="1"/>
    <col min="175" max="177" width="6.6640625" style="114" hidden="1" customWidth="1" outlineLevel="1"/>
    <col min="178" max="178" width="6.6640625" style="114" customWidth="1" collapsed="1"/>
    <col min="179" max="180" width="6.6640625" style="114" customWidth="1"/>
    <col min="181" max="183" width="6.6640625" style="114" hidden="1" customWidth="1" outlineLevel="1"/>
    <col min="184" max="184" width="6.6640625" style="114" customWidth="1" collapsed="1"/>
    <col min="185" max="186" width="6.6640625" style="114" customWidth="1"/>
    <col min="187" max="187" width="10.88671875" style="114" customWidth="1"/>
    <col min="188" max="189" width="6.6640625" style="114" customWidth="1"/>
    <col min="190" max="190" width="6.6640625" style="111" customWidth="1"/>
    <col min="191" max="191" width="9.88671875" style="112" customWidth="1"/>
    <col min="192" max="192" width="9.44140625" style="112" customWidth="1"/>
    <col min="193" max="193" width="9.44140625" style="112" bestFit="1" customWidth="1"/>
    <col min="194" max="196" width="9" style="115"/>
    <col min="197" max="16384" width="9" style="111"/>
  </cols>
  <sheetData>
    <row r="1" spans="2:874" x14ac:dyDescent="0.2">
      <c r="C1" t="s">
        <v>268</v>
      </c>
      <c r="I1" s="113" t="s">
        <v>269</v>
      </c>
    </row>
    <row r="2" spans="2:874" x14ac:dyDescent="0.2">
      <c r="H2" s="116" t="s">
        <v>270</v>
      </c>
      <c r="I2" s="117"/>
      <c r="J2" s="118"/>
      <c r="K2" s="117"/>
      <c r="L2" s="118"/>
      <c r="M2" s="118"/>
      <c r="N2" s="11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6"/>
      <c r="BU2" s="116"/>
      <c r="BV2" s="116"/>
      <c r="BW2" s="116"/>
      <c r="BX2" s="116"/>
      <c r="BY2" s="116"/>
      <c r="BZ2" s="116"/>
      <c r="CA2" s="116"/>
      <c r="CB2" s="116"/>
      <c r="CC2" s="116"/>
      <c r="CD2" s="116"/>
      <c r="CE2" s="116"/>
      <c r="CF2" s="116"/>
      <c r="CG2" s="120"/>
      <c r="CH2" s="117"/>
      <c r="CI2" s="117"/>
      <c r="CJ2" s="118"/>
      <c r="CK2" s="117"/>
      <c r="CL2" s="117"/>
      <c r="CM2" s="118"/>
      <c r="CN2" s="117"/>
      <c r="CO2" s="117"/>
      <c r="CP2" s="117"/>
      <c r="CQ2" s="117"/>
      <c r="CR2" s="117"/>
      <c r="CS2" s="117"/>
      <c r="CT2" s="117"/>
      <c r="CU2" s="117"/>
      <c r="CV2" s="117"/>
      <c r="CW2" s="117"/>
      <c r="CX2" s="117"/>
      <c r="CY2" s="117"/>
      <c r="DA2" s="121" t="s">
        <v>271</v>
      </c>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row>
    <row r="3" spans="2:874" s="147" customFormat="1" ht="54" x14ac:dyDescent="0.2">
      <c r="B3" s="122" t="s">
        <v>272</v>
      </c>
      <c r="C3" s="123" t="s">
        <v>273</v>
      </c>
      <c r="D3" s="124" t="s">
        <v>274</v>
      </c>
      <c r="E3" s="124"/>
      <c r="F3" s="125" t="s">
        <v>275</v>
      </c>
      <c r="G3" s="126" t="s">
        <v>276</v>
      </c>
      <c r="H3" s="128" t="s">
        <v>278</v>
      </c>
      <c r="I3" s="129" t="s">
        <v>279</v>
      </c>
      <c r="J3" s="130"/>
      <c r="K3" s="131"/>
      <c r="L3" s="132"/>
      <c r="M3" s="133" t="s">
        <v>280</v>
      </c>
      <c r="N3" s="134"/>
      <c r="O3" s="135" t="s">
        <v>281</v>
      </c>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508" t="s">
        <v>282</v>
      </c>
      <c r="AZ3" s="137" t="s">
        <v>283</v>
      </c>
      <c r="BA3" s="137"/>
      <c r="BB3" s="137"/>
      <c r="BC3" s="137"/>
      <c r="BD3" s="137"/>
      <c r="BE3" s="137"/>
      <c r="BF3" s="137"/>
      <c r="BG3" s="137"/>
      <c r="BH3" s="137"/>
      <c r="BI3" s="137"/>
      <c r="BJ3" s="137"/>
      <c r="BK3" s="137"/>
      <c r="BL3" s="137"/>
      <c r="BM3" s="137"/>
      <c r="BN3" s="137"/>
      <c r="BO3" s="137"/>
      <c r="BP3" s="137"/>
      <c r="BQ3" s="137"/>
      <c r="BR3" s="137"/>
      <c r="BS3" s="137"/>
      <c r="BT3" s="138" t="s">
        <v>284</v>
      </c>
      <c r="BU3" s="139"/>
      <c r="BV3" s="139"/>
      <c r="BW3" s="139"/>
      <c r="BX3" s="139"/>
      <c r="BY3" s="139"/>
      <c r="BZ3" s="139"/>
      <c r="CA3" s="139"/>
      <c r="CB3" s="139"/>
      <c r="CC3" s="139"/>
      <c r="CD3" s="139"/>
      <c r="CE3" s="139"/>
      <c r="CF3" s="140" t="s">
        <v>285</v>
      </c>
      <c r="CG3" s="141"/>
      <c r="CH3" s="142" t="s">
        <v>286</v>
      </c>
      <c r="CI3" s="143"/>
      <c r="CJ3" s="144" t="s">
        <v>287</v>
      </c>
      <c r="CK3" s="125" t="s">
        <v>288</v>
      </c>
      <c r="CL3" s="125" t="s">
        <v>289</v>
      </c>
      <c r="CM3" s="124" t="s">
        <v>290</v>
      </c>
      <c r="CN3" s="138" t="s">
        <v>291</v>
      </c>
      <c r="CO3" s="143"/>
      <c r="CP3" s="145" t="s">
        <v>292</v>
      </c>
      <c r="CQ3" s="139"/>
      <c r="CR3" s="139"/>
      <c r="CS3" s="146"/>
      <c r="CT3" s="143"/>
      <c r="CU3" s="145" t="s">
        <v>293</v>
      </c>
      <c r="CV3" s="143"/>
      <c r="CW3" s="510" t="s">
        <v>294</v>
      </c>
      <c r="CX3" s="511"/>
      <c r="CY3" s="512"/>
      <c r="DA3" s="127" t="s">
        <v>277</v>
      </c>
      <c r="DB3" s="135" t="s">
        <v>295</v>
      </c>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48"/>
      <c r="FF3" s="149" t="s">
        <v>296</v>
      </c>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37"/>
      <c r="GE3" s="137"/>
      <c r="GF3" s="137"/>
      <c r="GG3" s="137"/>
      <c r="GH3" s="145" t="s">
        <v>297</v>
      </c>
      <c r="GI3" s="151"/>
      <c r="GJ3" s="151"/>
      <c r="GK3" s="151"/>
      <c r="GL3" s="152"/>
      <c r="GM3" s="152"/>
      <c r="GN3" s="141"/>
    </row>
    <row r="4" spans="2:874" ht="36" x14ac:dyDescent="0.15">
      <c r="B4" s="153"/>
      <c r="C4" s="154"/>
      <c r="D4" s="155"/>
      <c r="E4" s="155"/>
      <c r="F4" s="156"/>
      <c r="G4" s="156"/>
      <c r="H4" s="157"/>
      <c r="I4" s="158" t="s">
        <v>298</v>
      </c>
      <c r="J4" s="159" t="s">
        <v>299</v>
      </c>
      <c r="K4" s="160" t="s">
        <v>300</v>
      </c>
      <c r="L4" s="159" t="s">
        <v>301</v>
      </c>
      <c r="M4" s="159"/>
      <c r="N4" s="158"/>
      <c r="O4" s="161"/>
      <c r="P4" s="162" t="s">
        <v>302</v>
      </c>
      <c r="Q4" s="163"/>
      <c r="R4" s="164" t="s">
        <v>303</v>
      </c>
      <c r="S4" s="165"/>
      <c r="T4" s="166"/>
      <c r="U4" s="167" t="s">
        <v>304</v>
      </c>
      <c r="V4" s="168"/>
      <c r="W4" s="169"/>
      <c r="X4" s="516" t="s">
        <v>305</v>
      </c>
      <c r="Y4" s="517"/>
      <c r="Z4" s="517"/>
      <c r="AA4" s="170"/>
      <c r="AB4" s="516" t="s">
        <v>306</v>
      </c>
      <c r="AC4" s="517"/>
      <c r="AD4" s="518"/>
      <c r="AE4" s="171" t="s">
        <v>307</v>
      </c>
      <c r="AF4" s="172"/>
      <c r="AG4" s="172"/>
      <c r="AH4" s="173"/>
      <c r="AI4" s="174" t="s">
        <v>308</v>
      </c>
      <c r="AJ4" s="175"/>
      <c r="AK4" s="175"/>
      <c r="AL4" s="176"/>
      <c r="AM4" s="177" t="s">
        <v>309</v>
      </c>
      <c r="AN4" s="178"/>
      <c r="AO4" s="178"/>
      <c r="AP4" s="178"/>
      <c r="AQ4" s="178"/>
      <c r="AR4" s="178"/>
      <c r="AS4" s="178"/>
      <c r="AT4" s="178"/>
      <c r="AU4" s="178"/>
      <c r="AV4" s="178"/>
      <c r="AW4" s="178"/>
      <c r="AX4" s="179"/>
      <c r="AY4" s="508"/>
      <c r="AZ4" s="161"/>
      <c r="BA4" s="180" t="s">
        <v>310</v>
      </c>
      <c r="BB4" s="180"/>
      <c r="BC4" s="181"/>
      <c r="BD4" s="171" t="s">
        <v>307</v>
      </c>
      <c r="BE4" s="172"/>
      <c r="BF4" s="172"/>
      <c r="BG4" s="173"/>
      <c r="BH4" s="167" t="s">
        <v>308</v>
      </c>
      <c r="BI4" s="168"/>
      <c r="BJ4" s="168"/>
      <c r="BK4" s="168"/>
      <c r="BL4" s="169"/>
      <c r="BM4" s="177" t="s">
        <v>311</v>
      </c>
      <c r="BN4" s="178"/>
      <c r="BO4" s="178"/>
      <c r="BP4" s="178"/>
      <c r="BQ4" s="178"/>
      <c r="BR4" s="179"/>
      <c r="BS4" s="182" t="s">
        <v>312</v>
      </c>
      <c r="BT4" s="183"/>
      <c r="BU4" s="184"/>
      <c r="BV4" s="184"/>
      <c r="BW4" s="184"/>
      <c r="BX4" s="184"/>
      <c r="BY4" s="184"/>
      <c r="BZ4" s="184"/>
      <c r="CA4" s="185"/>
      <c r="CB4" s="185"/>
      <c r="CC4" s="185"/>
      <c r="CD4" s="185"/>
      <c r="CE4" s="185"/>
      <c r="CF4" s="186"/>
      <c r="CG4" s="187"/>
      <c r="CH4" s="188"/>
      <c r="CI4" s="189"/>
      <c r="CJ4" s="190"/>
      <c r="CK4" s="156"/>
      <c r="CL4" s="191"/>
      <c r="CM4" s="155"/>
      <c r="CN4" s="192"/>
      <c r="CO4" s="193"/>
      <c r="CP4" s="188"/>
      <c r="CT4" s="189"/>
      <c r="CU4" s="188"/>
      <c r="CV4" s="189"/>
      <c r="CW4" s="513"/>
      <c r="CX4" s="514"/>
      <c r="CY4" s="515"/>
      <c r="DA4" s="156"/>
      <c r="DB4" s="161"/>
      <c r="DC4" s="162" t="s">
        <v>302</v>
      </c>
      <c r="DD4" s="194"/>
      <c r="DE4" s="194"/>
      <c r="DF4" s="194"/>
      <c r="DG4" s="164" t="s">
        <v>313</v>
      </c>
      <c r="DH4" s="165"/>
      <c r="DI4" s="165"/>
      <c r="DJ4" s="165"/>
      <c r="DK4" s="165"/>
      <c r="DL4" s="167" t="s">
        <v>447</v>
      </c>
      <c r="DM4" s="168"/>
      <c r="DN4" s="168"/>
      <c r="DO4" s="168"/>
      <c r="DP4" s="168"/>
      <c r="DQ4" s="168"/>
      <c r="DR4" s="168"/>
      <c r="DS4" s="168"/>
      <c r="DT4" s="169"/>
      <c r="DU4" s="517" t="s">
        <v>305</v>
      </c>
      <c r="DV4" s="517"/>
      <c r="DW4" s="517"/>
      <c r="DX4" s="517" t="s">
        <v>306</v>
      </c>
      <c r="DY4" s="517"/>
      <c r="DZ4" s="517"/>
      <c r="EA4" s="518"/>
      <c r="EB4" s="195"/>
      <c r="EC4" s="170"/>
      <c r="ED4" s="171" t="s">
        <v>307</v>
      </c>
      <c r="EE4" s="172"/>
      <c r="EF4" s="172"/>
      <c r="EG4" s="172"/>
      <c r="EH4" s="172"/>
      <c r="EI4" s="174" t="s">
        <v>308</v>
      </c>
      <c r="EJ4" s="175"/>
      <c r="EK4" s="175"/>
      <c r="EL4" s="175"/>
      <c r="EM4" s="176"/>
      <c r="EN4" s="177" t="s">
        <v>448</v>
      </c>
      <c r="EO4" s="178"/>
      <c r="EP4" s="178"/>
      <c r="EQ4" s="178"/>
      <c r="ER4" s="178"/>
      <c r="ES4" s="178"/>
      <c r="ET4" s="178"/>
      <c r="EU4" s="178"/>
      <c r="EV4" s="178"/>
      <c r="EW4" s="178"/>
      <c r="EX4" s="178"/>
      <c r="EY4" s="178"/>
      <c r="EZ4" s="178"/>
      <c r="FA4" s="178"/>
      <c r="FB4" s="178"/>
      <c r="FC4" s="178"/>
      <c r="FD4" s="196" t="s">
        <v>314</v>
      </c>
      <c r="FE4" s="196" t="s">
        <v>315</v>
      </c>
      <c r="FG4" s="197" t="s">
        <v>310</v>
      </c>
      <c r="FH4" s="180"/>
      <c r="FI4" s="180"/>
      <c r="FJ4" s="180"/>
      <c r="FK4" s="180"/>
      <c r="FL4" s="181"/>
      <c r="FM4" s="171" t="s">
        <v>307</v>
      </c>
      <c r="FN4" s="172"/>
      <c r="FO4" s="172"/>
      <c r="FP4" s="172"/>
      <c r="FQ4" s="173"/>
      <c r="FR4" s="167" t="s">
        <v>308</v>
      </c>
      <c r="FS4" s="168"/>
      <c r="FT4" s="168"/>
      <c r="FU4" s="168"/>
      <c r="FV4" s="168"/>
      <c r="FW4" s="169"/>
      <c r="FX4" s="177" t="s">
        <v>449</v>
      </c>
      <c r="FY4" s="178"/>
      <c r="FZ4" s="178"/>
      <c r="GA4" s="178"/>
      <c r="GB4" s="178"/>
      <c r="GC4" s="178"/>
      <c r="GD4" s="198"/>
      <c r="GE4" s="198"/>
      <c r="GF4" s="199" t="s">
        <v>316</v>
      </c>
      <c r="GG4" s="199" t="s">
        <v>315</v>
      </c>
      <c r="GH4" s="200"/>
      <c r="GI4" s="201"/>
      <c r="GJ4" s="201"/>
      <c r="GK4" s="201"/>
      <c r="GL4" s="202" t="s">
        <v>317</v>
      </c>
      <c r="GM4" s="202" t="s">
        <v>317</v>
      </c>
      <c r="GN4" s="203" t="s">
        <v>318</v>
      </c>
    </row>
    <row r="5" spans="2:874" s="229" customFormat="1" ht="183.6" x14ac:dyDescent="0.2">
      <c r="B5" s="204" t="s">
        <v>319</v>
      </c>
      <c r="C5" s="205"/>
      <c r="D5" s="206"/>
      <c r="E5" s="207" t="s">
        <v>320</v>
      </c>
      <c r="F5" s="208" t="s">
        <v>321</v>
      </c>
      <c r="G5" s="208"/>
      <c r="H5" s="209"/>
      <c r="I5" s="210"/>
      <c r="J5" s="211"/>
      <c r="K5" s="125"/>
      <c r="L5" s="211"/>
      <c r="M5" s="124" t="s">
        <v>322</v>
      </c>
      <c r="N5" s="125" t="s">
        <v>323</v>
      </c>
      <c r="O5" s="212" t="s">
        <v>324</v>
      </c>
      <c r="P5" s="213" t="s">
        <v>325</v>
      </c>
      <c r="Q5" s="199" t="s">
        <v>326</v>
      </c>
      <c r="R5" s="214" t="s">
        <v>327</v>
      </c>
      <c r="S5" s="213" t="s">
        <v>325</v>
      </c>
      <c r="T5" s="199" t="s">
        <v>326</v>
      </c>
      <c r="U5" s="214" t="s">
        <v>327</v>
      </c>
      <c r="V5" s="213" t="s">
        <v>325</v>
      </c>
      <c r="W5" s="199" t="s">
        <v>326</v>
      </c>
      <c r="X5" s="215" t="s">
        <v>327</v>
      </c>
      <c r="Y5" s="216" t="s">
        <v>328</v>
      </c>
      <c r="Z5" s="215" t="s">
        <v>329</v>
      </c>
      <c r="AA5" s="217" t="s">
        <v>330</v>
      </c>
      <c r="AB5" s="215" t="s">
        <v>327</v>
      </c>
      <c r="AC5" s="216" t="s">
        <v>331</v>
      </c>
      <c r="AD5" s="215" t="s">
        <v>329</v>
      </c>
      <c r="AE5" s="214" t="s">
        <v>327</v>
      </c>
      <c r="AF5" s="213" t="s">
        <v>332</v>
      </c>
      <c r="AG5" s="218" t="s">
        <v>333</v>
      </c>
      <c r="AH5" s="199" t="s">
        <v>326</v>
      </c>
      <c r="AI5" s="214" t="s">
        <v>334</v>
      </c>
      <c r="AJ5" s="213" t="s">
        <v>335</v>
      </c>
      <c r="AK5" s="213" t="s">
        <v>336</v>
      </c>
      <c r="AL5" s="199" t="s">
        <v>326</v>
      </c>
      <c r="AM5" s="215" t="s">
        <v>334</v>
      </c>
      <c r="AN5" s="212" t="s">
        <v>337</v>
      </c>
      <c r="AO5" s="212" t="s">
        <v>338</v>
      </c>
      <c r="AP5" s="212" t="s">
        <v>339</v>
      </c>
      <c r="AQ5" s="212" t="s">
        <v>340</v>
      </c>
      <c r="AR5" s="212" t="s">
        <v>341</v>
      </c>
      <c r="AS5" s="212" t="s">
        <v>342</v>
      </c>
      <c r="AT5" s="212" t="s">
        <v>343</v>
      </c>
      <c r="AU5" s="215" t="s">
        <v>344</v>
      </c>
      <c r="AV5" s="217" t="s">
        <v>326</v>
      </c>
      <c r="AW5" s="212" t="s">
        <v>345</v>
      </c>
      <c r="AX5" s="212" t="s">
        <v>346</v>
      </c>
      <c r="AY5" s="509"/>
      <c r="AZ5" s="219" t="s">
        <v>347</v>
      </c>
      <c r="BA5" s="220" t="s">
        <v>348</v>
      </c>
      <c r="BB5" s="221" t="s">
        <v>349</v>
      </c>
      <c r="BC5" s="217" t="s">
        <v>350</v>
      </c>
      <c r="BD5" s="214" t="s">
        <v>327</v>
      </c>
      <c r="BE5" s="213" t="s">
        <v>351</v>
      </c>
      <c r="BF5" s="218" t="s">
        <v>352</v>
      </c>
      <c r="BG5" s="199" t="s">
        <v>350</v>
      </c>
      <c r="BH5" s="214" t="s">
        <v>327</v>
      </c>
      <c r="BI5" s="213" t="s">
        <v>353</v>
      </c>
      <c r="BJ5" s="213" t="s">
        <v>354</v>
      </c>
      <c r="BK5" s="213" t="s">
        <v>355</v>
      </c>
      <c r="BL5" s="199" t="s">
        <v>350</v>
      </c>
      <c r="BM5" s="214" t="s">
        <v>334</v>
      </c>
      <c r="BN5" s="213" t="s">
        <v>356</v>
      </c>
      <c r="BO5" s="213" t="s">
        <v>357</v>
      </c>
      <c r="BP5" s="213" t="s">
        <v>358</v>
      </c>
      <c r="BQ5" s="199" t="s">
        <v>359</v>
      </c>
      <c r="BR5" s="212" t="s">
        <v>346</v>
      </c>
      <c r="BS5" s="222" t="s">
        <v>360</v>
      </c>
      <c r="BT5" s="519" t="s">
        <v>361</v>
      </c>
      <c r="BU5" s="520"/>
      <c r="BV5" s="520"/>
      <c r="BW5" s="520"/>
      <c r="BX5" s="520"/>
      <c r="BY5" s="521"/>
      <c r="BZ5" s="519" t="s">
        <v>362</v>
      </c>
      <c r="CA5" s="520"/>
      <c r="CB5" s="520"/>
      <c r="CC5" s="520"/>
      <c r="CD5" s="520"/>
      <c r="CE5" s="521"/>
      <c r="CF5" s="223" t="s">
        <v>363</v>
      </c>
      <c r="CG5" s="224" t="s">
        <v>364</v>
      </c>
      <c r="CH5" s="225" t="s">
        <v>365</v>
      </c>
      <c r="CI5" s="225" t="s">
        <v>366</v>
      </c>
      <c r="CJ5" s="226" t="s">
        <v>367</v>
      </c>
      <c r="CK5" s="225" t="s">
        <v>368</v>
      </c>
      <c r="CL5" s="225" t="s">
        <v>369</v>
      </c>
      <c r="CM5" s="226" t="s">
        <v>370</v>
      </c>
      <c r="CN5" s="223" t="s">
        <v>371</v>
      </c>
      <c r="CO5" s="158" t="s">
        <v>372</v>
      </c>
      <c r="CP5" s="225" t="s">
        <v>373</v>
      </c>
      <c r="CQ5" s="227" t="s">
        <v>374</v>
      </c>
      <c r="CR5" s="227" t="s">
        <v>375</v>
      </c>
      <c r="CS5" s="225" t="s">
        <v>376</v>
      </c>
      <c r="CT5" s="225" t="s">
        <v>377</v>
      </c>
      <c r="CU5" s="225" t="s">
        <v>378</v>
      </c>
      <c r="CV5" s="225" t="s">
        <v>379</v>
      </c>
      <c r="CW5" s="228" t="s">
        <v>380</v>
      </c>
      <c r="CX5" s="228" t="s">
        <v>381</v>
      </c>
      <c r="CY5" s="228" t="s">
        <v>382</v>
      </c>
      <c r="DA5" s="208"/>
      <c r="DB5" s="212" t="s">
        <v>324</v>
      </c>
      <c r="DC5" s="212" t="s">
        <v>325</v>
      </c>
      <c r="DD5" s="212" t="s">
        <v>383</v>
      </c>
      <c r="DE5" s="230" t="s">
        <v>384</v>
      </c>
      <c r="DF5" s="230" t="s">
        <v>385</v>
      </c>
      <c r="DG5" s="215" t="s">
        <v>327</v>
      </c>
      <c r="DH5" s="212" t="s">
        <v>325</v>
      </c>
      <c r="DI5" s="212" t="s">
        <v>386</v>
      </c>
      <c r="DJ5" s="231" t="s">
        <v>384</v>
      </c>
      <c r="DK5" s="231" t="s">
        <v>385</v>
      </c>
      <c r="DL5" s="215" t="s">
        <v>327</v>
      </c>
      <c r="DM5" s="279" t="s">
        <v>440</v>
      </c>
      <c r="DN5" s="215" t="s">
        <v>329</v>
      </c>
      <c r="DO5" s="215" t="s">
        <v>327</v>
      </c>
      <c r="DP5" s="278" t="s">
        <v>441</v>
      </c>
      <c r="DQ5" s="215" t="s">
        <v>329</v>
      </c>
      <c r="DR5" s="212" t="s">
        <v>442</v>
      </c>
      <c r="DS5" s="231" t="s">
        <v>384</v>
      </c>
      <c r="DT5" s="231" t="s">
        <v>385</v>
      </c>
      <c r="DU5" s="215" t="s">
        <v>327</v>
      </c>
      <c r="DV5" s="216" t="s">
        <v>328</v>
      </c>
      <c r="DW5" s="215" t="s">
        <v>329</v>
      </c>
      <c r="DX5" s="215" t="s">
        <v>327</v>
      </c>
      <c r="DY5" s="216" t="s">
        <v>331</v>
      </c>
      <c r="DZ5" s="232" t="s">
        <v>387</v>
      </c>
      <c r="EA5" s="215" t="s">
        <v>329</v>
      </c>
      <c r="EB5" s="231" t="s">
        <v>384</v>
      </c>
      <c r="EC5" s="231" t="s">
        <v>385</v>
      </c>
      <c r="ED5" s="215" t="s">
        <v>327</v>
      </c>
      <c r="EE5" s="212" t="s">
        <v>332</v>
      </c>
      <c r="EF5" s="212" t="s">
        <v>333</v>
      </c>
      <c r="EG5" s="231" t="s">
        <v>384</v>
      </c>
      <c r="EH5" s="231" t="s">
        <v>385</v>
      </c>
      <c r="EI5" s="215" t="s">
        <v>334</v>
      </c>
      <c r="EJ5" s="212" t="s">
        <v>335</v>
      </c>
      <c r="EK5" s="212" t="s">
        <v>336</v>
      </c>
      <c r="EL5" s="231" t="s">
        <v>384</v>
      </c>
      <c r="EM5" s="231" t="s">
        <v>385</v>
      </c>
      <c r="EN5" s="215" t="s">
        <v>334</v>
      </c>
      <c r="EO5" s="212" t="s">
        <v>337</v>
      </c>
      <c r="EP5" s="212" t="s">
        <v>338</v>
      </c>
      <c r="EQ5" s="212" t="s">
        <v>339</v>
      </c>
      <c r="ER5" s="212" t="s">
        <v>340</v>
      </c>
      <c r="ES5" s="212" t="s">
        <v>341</v>
      </c>
      <c r="ET5" s="212" t="s">
        <v>342</v>
      </c>
      <c r="EU5" s="212" t="s">
        <v>343</v>
      </c>
      <c r="EV5" s="215" t="s">
        <v>344</v>
      </c>
      <c r="EW5" s="231" t="s">
        <v>384</v>
      </c>
      <c r="EX5" s="231" t="s">
        <v>385</v>
      </c>
      <c r="EY5" s="212" t="s">
        <v>345</v>
      </c>
      <c r="EZ5" s="212" t="s">
        <v>346</v>
      </c>
      <c r="FA5" s="212" t="s">
        <v>346</v>
      </c>
      <c r="FB5" s="212" t="s">
        <v>388</v>
      </c>
      <c r="FC5" s="212" t="s">
        <v>389</v>
      </c>
      <c r="FD5" s="233"/>
      <c r="FE5" s="233"/>
      <c r="FF5" s="234" t="s">
        <v>347</v>
      </c>
      <c r="FG5" s="235" t="s">
        <v>348</v>
      </c>
      <c r="FH5" s="236" t="s">
        <v>390</v>
      </c>
      <c r="FI5" s="237" t="s">
        <v>349</v>
      </c>
      <c r="FJ5" s="237" t="s">
        <v>387</v>
      </c>
      <c r="FK5" s="231" t="s">
        <v>384</v>
      </c>
      <c r="FL5" s="231" t="s">
        <v>385</v>
      </c>
      <c r="FM5" s="215" t="s">
        <v>327</v>
      </c>
      <c r="FN5" s="212" t="s">
        <v>391</v>
      </c>
      <c r="FO5" s="212" t="s">
        <v>392</v>
      </c>
      <c r="FP5" s="231" t="s">
        <v>384</v>
      </c>
      <c r="FQ5" s="231" t="s">
        <v>385</v>
      </c>
      <c r="FR5" s="215" t="s">
        <v>393</v>
      </c>
      <c r="FS5" s="212" t="s">
        <v>394</v>
      </c>
      <c r="FT5" s="212" t="s">
        <v>395</v>
      </c>
      <c r="FU5" s="212" t="s">
        <v>396</v>
      </c>
      <c r="FV5" s="231" t="s">
        <v>384</v>
      </c>
      <c r="FW5" s="231" t="s">
        <v>385</v>
      </c>
      <c r="FX5" s="215" t="s">
        <v>393</v>
      </c>
      <c r="FY5" s="212" t="s">
        <v>356</v>
      </c>
      <c r="FZ5" s="212" t="s">
        <v>357</v>
      </c>
      <c r="GA5" s="212" t="s">
        <v>358</v>
      </c>
      <c r="GB5" s="231" t="s">
        <v>384</v>
      </c>
      <c r="GC5" s="231" t="s">
        <v>385</v>
      </c>
      <c r="GD5" s="238" t="s">
        <v>346</v>
      </c>
      <c r="GE5" s="238" t="s">
        <v>388</v>
      </c>
      <c r="GF5" s="231"/>
      <c r="GG5" s="231"/>
      <c r="GH5" s="239" t="s">
        <v>397</v>
      </c>
      <c r="GI5" s="240" t="s">
        <v>398</v>
      </c>
      <c r="GJ5" s="240" t="s">
        <v>399</v>
      </c>
      <c r="GK5" s="240" t="s">
        <v>400</v>
      </c>
      <c r="GL5" s="241" t="s">
        <v>401</v>
      </c>
      <c r="GM5" s="241" t="s">
        <v>402</v>
      </c>
      <c r="GN5" s="241" t="s">
        <v>403</v>
      </c>
    </row>
    <row r="6" spans="2:874" s="258" customFormat="1" ht="21.6" customHeight="1" outlineLevel="1" x14ac:dyDescent="0.2">
      <c r="B6" s="242" t="str">
        <f t="shared" ref="B6" si="0">IF(GK6&gt;0,"支払済",IF(GH6="取下",GH6,IF(GH6="取消",GH6,"")))</f>
        <v/>
      </c>
      <c r="C6" s="259"/>
      <c r="D6" s="248" t="s">
        <v>404</v>
      </c>
      <c r="E6" s="244" t="e">
        <f>IF(D6="登録","登録",IF(#REF!="登録","建売購入",""))</f>
        <v>#REF!</v>
      </c>
      <c r="F6" s="245"/>
      <c r="G6" s="248" t="s">
        <v>413</v>
      </c>
      <c r="H6" s="246"/>
      <c r="I6" s="247" t="s">
        <v>409</v>
      </c>
      <c r="J6" s="248" t="s">
        <v>409</v>
      </c>
      <c r="K6" s="247" t="s">
        <v>409</v>
      </c>
      <c r="L6" s="248" t="s">
        <v>409</v>
      </c>
      <c r="M6" s="248" t="s">
        <v>409</v>
      </c>
      <c r="N6" s="247" t="s">
        <v>409</v>
      </c>
      <c r="O6" s="249" t="s">
        <v>409</v>
      </c>
      <c r="P6" s="249" t="s">
        <v>409</v>
      </c>
      <c r="Q6" s="250">
        <f>IF(P6="",0,IF(P6&gt;=10,150,0))</f>
        <v>0</v>
      </c>
      <c r="R6" s="249" t="str">
        <f>IF(S6="","",IF(S6&gt;=1,1,""))</f>
        <v/>
      </c>
      <c r="S6" s="249" t="s">
        <v>409</v>
      </c>
      <c r="T6" s="251">
        <f t="shared" ref="T6" si="1">IF(Q6=0,0,IF(S6&gt;=25,MIN(250,ROUNDDOWN(S6*10,-1)),IF(S6&gt;=20,MIN(200,ROUNDDOWN(S6*10,-1)),IF(S6&gt;=15,MIN(150,ROUNDDOWN(S6*10,-1)),MIN(100,ROUNDDOWN(S6*10,-1))))))</f>
        <v>0</v>
      </c>
      <c r="U6" s="249" t="str">
        <f>IF(V6="","",IF(V6&gt;=1,1,""))</f>
        <v/>
      </c>
      <c r="V6" s="249" t="s">
        <v>409</v>
      </c>
      <c r="W6" s="251">
        <f t="shared" ref="W6" si="2">IF(AND(Q6&gt;0,V6&gt;=1),MIN(INT(V6)*20,200),0)</f>
        <v>0</v>
      </c>
      <c r="X6" s="249" t="str">
        <f>IF(Y6="","",IF(Y6&gt;=1,1,""))</f>
        <v/>
      </c>
      <c r="Y6" s="249">
        <v>0</v>
      </c>
      <c r="Z6" s="249">
        <f t="shared" ref="Z6" si="3">IF(Y6&gt;=1,50,0)</f>
        <v>0</v>
      </c>
      <c r="AA6" s="250">
        <f t="shared" ref="AA6" si="4">IF(OR(AD6&gt;0,Z6&gt;0),MIN(AD6+Z6,150),0)</f>
        <v>0</v>
      </c>
      <c r="AB6" s="249" t="str">
        <f>IF(AC6="","",IF(AC6&gt;=1,1,""))</f>
        <v/>
      </c>
      <c r="AC6" s="249" t="s">
        <v>409</v>
      </c>
      <c r="AD6" s="249">
        <f t="shared" ref="AD6" si="5">IF(AND(Q6&gt;0,AC6&gt;=1),MIN(INT(AC6)*2,150),0)</f>
        <v>0</v>
      </c>
      <c r="AE6" s="249" t="str">
        <f t="shared" ref="AE6" si="6">IF(OR(AF6=1,AG6=1),1,"")</f>
        <v/>
      </c>
      <c r="AF6" s="249" t="s">
        <v>409</v>
      </c>
      <c r="AG6" s="249" t="s">
        <v>409</v>
      </c>
      <c r="AH6" s="250" t="e">
        <f>IF(AND(Q6&gt;0,AE6=1,【様式第６号】事業報告書兼チェックシート!#REF!=""),100,0)</f>
        <v>#REF!</v>
      </c>
      <c r="AI6" s="249" t="str">
        <f>IF(OR(AJ6=1,AK6=1),1,"")</f>
        <v/>
      </c>
      <c r="AJ6" s="249" t="s">
        <v>409</v>
      </c>
      <c r="AK6" s="249" t="s">
        <v>409</v>
      </c>
      <c r="AL6" s="250">
        <f t="shared" ref="AL6" si="7">IF(AND(Q6&gt;0,AE6=1,AI6=1),100,0)</f>
        <v>0</v>
      </c>
      <c r="AM6" s="249" t="str">
        <f t="shared" ref="AM6" si="8">IF(AU6&gt;=4,1,"")</f>
        <v/>
      </c>
      <c r="AN6" s="249" t="s">
        <v>409</v>
      </c>
      <c r="AO6" s="249" t="s">
        <v>409</v>
      </c>
      <c r="AP6" s="249" t="s">
        <v>409</v>
      </c>
      <c r="AQ6" s="249" t="s">
        <v>409</v>
      </c>
      <c r="AR6" s="249" t="s">
        <v>409</v>
      </c>
      <c r="AS6" s="249" t="s">
        <v>409</v>
      </c>
      <c r="AT6" s="249" t="s">
        <v>409</v>
      </c>
      <c r="AU6" s="249">
        <f t="shared" ref="AU6" si="9">SUM(AN6:AT6)</f>
        <v>0</v>
      </c>
      <c r="AV6" s="250">
        <f t="shared" ref="AV6" si="10">IF(AU6&gt;=4,200,0)</f>
        <v>0</v>
      </c>
      <c r="AW6" s="252"/>
      <c r="AX6" s="252"/>
      <c r="AY6" s="250" t="e">
        <f t="shared" ref="AY6" si="11">IF(OR(D6="新築",D6="登録"),MIN(1000,Q6+T6+W6+AA6+AH6+AL6+AV6),0)</f>
        <v>#REF!</v>
      </c>
      <c r="AZ6" s="252"/>
      <c r="BA6" s="253"/>
      <c r="BB6" s="252"/>
      <c r="BC6" s="250">
        <f t="shared" ref="BC6" si="12">MIN(ROUNDDOWN(BA6,1)*20+INT(BB6)*2,250)</f>
        <v>0</v>
      </c>
      <c r="BD6" s="249" t="str">
        <f>IF(OR(BE6=1,BF6=1),1,"")</f>
        <v/>
      </c>
      <c r="BE6" s="252"/>
      <c r="BF6" s="252"/>
      <c r="BG6" s="250" t="e">
        <f>IF(AND(BC6&gt;0,BD6=1,#REF!=""),100,0)</f>
        <v>#REF!</v>
      </c>
      <c r="BH6" s="249" t="str">
        <f t="shared" ref="BH6" si="13">IF(OR(BI6=1,BJ6=1,BK6=1),1,"")</f>
        <v/>
      </c>
      <c r="BI6" s="252"/>
      <c r="BJ6" s="252"/>
      <c r="BK6" s="252"/>
      <c r="BL6" s="250">
        <f t="shared" ref="BL6" si="14">IF(AND(BC6&gt;0,BH6=1),100,IF(AND(BC6&gt;0,BK6=1),100,0))</f>
        <v>0</v>
      </c>
      <c r="BM6" s="249" t="str">
        <f t="shared" ref="BM6" si="15">IF(OR(AND(BN6&gt;=7,BO6&gt;=7,BN6+BO6&gt;=14),AND(BN6&gt;=7,BP6&gt;=3,BN6+BP6&gt;=10),AND(BO6&gt;=7,BP6&gt;=3,BO6+BP6&gt;=10)),1,"")</f>
        <v/>
      </c>
      <c r="BN6" s="252"/>
      <c r="BO6" s="252"/>
      <c r="BP6" s="252"/>
      <c r="BQ6" s="250">
        <f t="shared" ref="BQ6" si="16">IF(AND(BM6=1,BC6&gt;0),MIN(150,ROUNDDOWN(BN6*11+BO6*13+BP6*19,0)),0)</f>
        <v>0</v>
      </c>
      <c r="BR6" s="252"/>
      <c r="BS6" s="250">
        <f t="shared" ref="BS6" si="17">IF(D6="改修",MIN(500,BC6+BG6+BL6+BQ6,INT(CL6*10/2)),0)</f>
        <v>0</v>
      </c>
      <c r="BT6" s="260" t="s">
        <v>409</v>
      </c>
      <c r="BU6" s="254" t="s">
        <v>8</v>
      </c>
      <c r="BV6" s="254" t="s">
        <v>409</v>
      </c>
      <c r="BW6" s="254" t="s">
        <v>405</v>
      </c>
      <c r="BX6" s="254" t="s">
        <v>409</v>
      </c>
      <c r="BY6" s="255" t="s">
        <v>7</v>
      </c>
      <c r="BZ6" s="260" t="s">
        <v>409</v>
      </c>
      <c r="CA6" s="254" t="s">
        <v>8</v>
      </c>
      <c r="CB6" s="254" t="s">
        <v>409</v>
      </c>
      <c r="CC6" s="254" t="s">
        <v>405</v>
      </c>
      <c r="CD6" s="254" t="s">
        <v>409</v>
      </c>
      <c r="CE6" s="255" t="s">
        <v>7</v>
      </c>
      <c r="CF6" s="245"/>
      <c r="CG6" s="256" t="e">
        <f t="shared" ref="CG6" si="18">AY6+BS6</f>
        <v>#REF!</v>
      </c>
      <c r="CH6" s="247" t="s">
        <v>409</v>
      </c>
      <c r="CI6" s="247" t="s">
        <v>409</v>
      </c>
      <c r="CJ6" s="243"/>
      <c r="CK6" s="247" t="s">
        <v>409</v>
      </c>
      <c r="CL6" s="247" t="s">
        <v>409</v>
      </c>
      <c r="CM6" s="247" t="s">
        <v>409</v>
      </c>
      <c r="CN6" s="245"/>
      <c r="CO6" s="245"/>
      <c r="CP6" s="245"/>
      <c r="CQ6" s="246"/>
      <c r="CR6" s="246"/>
      <c r="CS6" s="245"/>
      <c r="CT6" s="245"/>
      <c r="CU6" s="245"/>
      <c r="CV6" s="245"/>
      <c r="CW6" s="245"/>
      <c r="CX6" s="245"/>
      <c r="CY6" s="245"/>
      <c r="CZ6" t="s">
        <v>408</v>
      </c>
      <c r="DA6" s="243"/>
      <c r="DB6" s="249" t="str">
        <f>IF(【様式第６号】事業報告書兼チェックシート!Q100="","",【様式第６号】事業報告書兼チェックシート!Q100)</f>
        <v/>
      </c>
      <c r="DC6" s="249">
        <f>IF(【様式第６号】事業報告書兼チェックシート!I37="専用住宅",IF(【様式第６号】事業報告書兼チェックシート!Q101="",0,【様式第６号】事業報告書兼チェックシート!Q101),【様式第６号】事業報告書兼チェックシート!U101)</f>
        <v>0</v>
      </c>
      <c r="DD6" s="252"/>
      <c r="DE6" s="250">
        <f>IF(DC6&gt;=20,300,DC6*15)</f>
        <v>0</v>
      </c>
      <c r="DF6" s="250">
        <f>IF('要入力　交付決定状況入力シート'!D3="",0,MIN('要入力　交付決定状況入力シート'!D3/1000,DE6))</f>
        <v>0</v>
      </c>
      <c r="DG6" s="249" t="str">
        <f>IF(DH6="","",IF(DH6&gt;=1,1,""))</f>
        <v/>
      </c>
      <c r="DH6" s="249">
        <f>IF(【様式第６号】事業報告書兼チェックシート!I37="専用住宅",IF(【様式第６号】事業報告書兼チェックシート!Q102="",0,【様式第６号】事業報告書兼チェックシート!Q102),【様式第６号】事業報告書兼チェックシート!U102)</f>
        <v>0</v>
      </c>
      <c r="DI6" s="252"/>
      <c r="DJ6" s="251">
        <f>IF(DE6=0,0,IF(DH6&gt;=20,200,ROUNDDOWN(DH6*10,-1)))</f>
        <v>0</v>
      </c>
      <c r="DK6" s="250">
        <f>IF('要入力　交付決定状況入力シート'!D4="",0,MIN('要入力　交付決定状況入力シート'!D4/1000,DJ6))</f>
        <v>0</v>
      </c>
      <c r="DL6" s="249" t="str">
        <f>IF(DM6="","",IF(DM6&gt;=1,1,""))</f>
        <v/>
      </c>
      <c r="DM6" s="249">
        <f>IF(【様式第６号】事業報告書兼チェックシート!I37="専用住宅",IF(【様式第６号】事業報告書兼チェックシート!Q103="",0,【様式第６号】事業報告書兼チェックシート!Q103),【様式第６号】事業報告書兼チェックシート!U103)</f>
        <v>0</v>
      </c>
      <c r="DN6" s="249">
        <f>IF(AND(DE6&gt;0,DM6&gt;=1),MIN(INT(DM6)*30,300),0)</f>
        <v>0</v>
      </c>
      <c r="DO6" s="249" t="str">
        <f>IF(DP6="","",IF(DP6&gt;=1,1,""))</f>
        <v/>
      </c>
      <c r="DP6" s="249">
        <f>IF(【様式第６号】事業報告書兼チェックシート!I37="専用住宅",IF(【様式第６号】事業報告書兼チェックシート!Q105="",0,【様式第６号】事業報告書兼チェックシート!Q105),【様式第６号】事業報告書兼チェックシート!U105)</f>
        <v>0</v>
      </c>
      <c r="DQ6" s="249">
        <f>IF(AND(DE6&gt;0,DP6&gt;=1),MIN(INT(DP6)*20,300),0)</f>
        <v>0</v>
      </c>
      <c r="DR6" s="252"/>
      <c r="DS6" s="251">
        <f>IF(AND(DE6&gt;0,DN6+DQ6&gt;=1),MIN(INT(DN6+DQ6),300),0)</f>
        <v>0</v>
      </c>
      <c r="DT6" s="250">
        <f>IF('要入力　交付決定状況入力シート'!D5="",0,MIN('要入力　交付決定状況入力シート'!D5/1000,DS6))</f>
        <v>0</v>
      </c>
      <c r="DU6" s="249" t="str">
        <f t="shared" ref="DU6" si="19">IF(DV6&gt;=1,1,"")</f>
        <v/>
      </c>
      <c r="DV6" s="249">
        <f>IF(【様式第６号】事業報告書兼チェックシート!I37="専用住宅",IF(【様式第６号】事業報告書兼チェックシート!Q107="",0,【様式第６号】事業報告書兼チェックシート!Q107),【様式第６号】事業報告書兼チェックシート!U107)</f>
        <v>0</v>
      </c>
      <c r="DW6" s="249">
        <f t="shared" ref="DW6" si="20">IF(AND(DV6&gt;=1,DE6&gt;=1),50,0)</f>
        <v>0</v>
      </c>
      <c r="DX6" s="249" t="str">
        <f>IF(DY6="","",IF(DY6&gt;=1,1,""))</f>
        <v/>
      </c>
      <c r="DY6" s="249">
        <f>IF(【様式第６号】事業報告書兼チェックシート!I37="専用住宅",IF(【様式第６号】事業報告書兼チェックシート!Q108="",0,【様式第６号】事業報告書兼チェックシート!Q108),【様式第６号】事業報告書兼チェックシート!U108)</f>
        <v>0</v>
      </c>
      <c r="DZ6" s="252"/>
      <c r="EA6" s="249">
        <f>IF(AND(DE6&gt;0,DY6&gt;=1),MIN(INT(DY6)*3,200),0)</f>
        <v>0</v>
      </c>
      <c r="EB6" s="250">
        <f>IF(OR(EA6&gt;0,DW6&gt;0),MIN(EA6+DW6,200),0)</f>
        <v>0</v>
      </c>
      <c r="EC6" s="250">
        <f>IF('要入力　交付決定状況入力シート'!D6="",0,MIN('要入力　交付決定状況入力シート'!D6/1000,EB6))</f>
        <v>0</v>
      </c>
      <c r="ED6" s="249" t="str">
        <f t="shared" ref="ED6" si="21">IF(OR(EE6=1,EF6=1),1,"")</f>
        <v/>
      </c>
      <c r="EE6" s="249">
        <f>IF(【様式第６号】事業報告書兼チェックシート!Y128="",0,IF(【様式第６号】事業報告書兼チェックシート!B130="","",1))</f>
        <v>0</v>
      </c>
      <c r="EF6" s="249">
        <f>IF(【様式第６号】事業報告書兼チェックシート!Y128="",0,IF(【様式第６号】事業報告書兼チェックシート!P130="","",1))</f>
        <v>0</v>
      </c>
      <c r="EG6" s="250" t="str">
        <f>IFERROR(【様式第６号】事業報告書兼チェックシート!Y128*10,"0")</f>
        <v>0</v>
      </c>
      <c r="EH6" s="250">
        <f>IF('要入力　交付決定状況入力シート'!D8="",0,MIN('要入力　交付決定状況入力シート'!D8/1000,EG6))</f>
        <v>0</v>
      </c>
      <c r="EI6" s="249" t="str">
        <f t="shared" ref="EI6" si="22">IF(OR(EJ6=1,EK6=1),1,"")</f>
        <v/>
      </c>
      <c r="EJ6" s="249" t="str">
        <f>IF(【様式第６号】事業報告書兼チェックシート!Y146="","",IF(【様式第６号】事業報告書兼チェックシート!B147="","",1))</f>
        <v/>
      </c>
      <c r="EK6" s="249" t="str">
        <f>IF(【様式第６号】事業報告書兼チェックシート!Y146="","",IF(【様式第６号】事業報告書兼チェックシート!B147="",1,""))</f>
        <v/>
      </c>
      <c r="EL6" s="250">
        <f t="shared" ref="EL6" si="23">IF(AND(DE6&gt;0,ED6=1,EI6=1),100,0)</f>
        <v>0</v>
      </c>
      <c r="EM6" s="250">
        <f>IF('要入力　交付決定状況入力シート'!D9="",0,MIN('要入力　交付決定状況入力シート'!D9/1000,EL6))</f>
        <v>0</v>
      </c>
      <c r="EN6" s="249" t="str">
        <f t="shared" ref="EN6" si="24">IF(EV6&gt;=4,1,"")</f>
        <v/>
      </c>
      <c r="EO6" s="249" t="str">
        <f>IF(【様式第６号】事業報告書兼チェックシート!F173="","",【様式第６号】事業報告書兼チェックシート!F173)</f>
        <v/>
      </c>
      <c r="EP6" s="249" t="str">
        <f>IF(【様式第６号】事業報告書兼チェックシート!F178="","",【様式第６号】事業報告書兼チェックシート!F178)</f>
        <v/>
      </c>
      <c r="EQ6" s="249" t="str">
        <f>IF(【様式第６号】事業報告書兼チェックシート!F185="","",【様式第６号】事業報告書兼チェックシート!F185)</f>
        <v/>
      </c>
      <c r="ER6" s="249" t="str">
        <f>IF(【様式第６号】事業報告書兼チェックシート!F193="","",【様式第６号】事業報告書兼チェックシート!F193)</f>
        <v/>
      </c>
      <c r="ES6" s="249" t="str">
        <f>IF(【様式第６号】事業報告書兼チェックシート!F201="","",【様式第６号】事業報告書兼チェックシート!F201)</f>
        <v/>
      </c>
      <c r="ET6" s="249" t="str">
        <f>IF(【様式第６号】事業報告書兼チェックシート!F211="","",【様式第６号】事業報告書兼チェックシート!F211)</f>
        <v/>
      </c>
      <c r="EU6" s="249" t="str">
        <f>IF(【様式第６号】事業報告書兼チェックシート!F218="","",【様式第６号】事業報告書兼チェックシート!F218)</f>
        <v/>
      </c>
      <c r="EV6" s="249">
        <f t="shared" ref="EV6" si="25">SUM(EO6:EU6)</f>
        <v>0</v>
      </c>
      <c r="EW6" s="250">
        <f t="shared" ref="EW6" si="26">IF(EV6&gt;=4,200,0)</f>
        <v>0</v>
      </c>
      <c r="EX6" s="250">
        <f>IF('要入力　交付決定状況入力シート'!D7="",0,MIN('要入力　交付決定状況入力シート'!D7/1000,EW6))</f>
        <v>0</v>
      </c>
      <c r="EY6" s="249" t="str">
        <f>IF(【様式第６号】事業報告書兼チェックシート!N194="","",【様式第６号】事業報告書兼チェックシート!N194)</f>
        <v>　</v>
      </c>
      <c r="EZ6" s="274" t="str">
        <f>IF(【様式第６号】事業報告書兼チェックシート!R187="","",【様式第６号】事業報告書兼チェックシート!R187)</f>
        <v>　</v>
      </c>
      <c r="FA6" s="274" t="str">
        <f>IF(【様式第６号】事業報告書兼チェックシート!R188="","",【様式第６号】事業報告書兼チェックシート!R188)</f>
        <v>　</v>
      </c>
      <c r="FB6" s="252"/>
      <c r="FC6" s="252"/>
      <c r="FD6" s="250">
        <f>IF(D6="新築",MIN(DF6+DK6+DT6+EC6+EH6+EM6+EX6,1000),0)</f>
        <v>0</v>
      </c>
      <c r="FE6" s="267" t="str">
        <f>IFERROR('要入力　交付決定状況入力シート'!D12/1000-FD6,"0")</f>
        <v>0</v>
      </c>
      <c r="FF6" s="252"/>
      <c r="FG6" s="257"/>
      <c r="FH6" s="257"/>
      <c r="FI6" s="252"/>
      <c r="FJ6" s="252"/>
      <c r="FK6" s="250"/>
      <c r="FL6" s="250"/>
      <c r="FM6" s="249"/>
      <c r="FN6" s="252"/>
      <c r="FO6" s="252"/>
      <c r="FP6" s="250"/>
      <c r="FQ6" s="250"/>
      <c r="FR6" s="249"/>
      <c r="FS6" s="252"/>
      <c r="FT6" s="252"/>
      <c r="FU6" s="252"/>
      <c r="FV6" s="250"/>
      <c r="FW6" s="250"/>
      <c r="FX6" s="249"/>
      <c r="FY6" s="252"/>
      <c r="FZ6" s="252"/>
      <c r="GA6" s="252"/>
      <c r="GB6" s="250"/>
      <c r="GC6" s="250"/>
      <c r="GD6" s="252"/>
      <c r="GE6" s="252"/>
      <c r="GF6" s="250"/>
      <c r="GG6" s="250"/>
      <c r="GH6" s="245"/>
      <c r="GI6" s="246"/>
      <c r="GJ6" s="246"/>
      <c r="GK6" s="246"/>
      <c r="GL6" s="256">
        <f>IFERROR(IF(D6="新築",'要入力　交付決定状況入力シート'!D12/1000,IF(D6="改修",BS6,0)),0)</f>
        <v>0</v>
      </c>
      <c r="GM6" s="256">
        <f t="shared" ref="GM6" si="27">IF(D6="新築",FD6,IF(D6="改修",GF6,0))</f>
        <v>0</v>
      </c>
      <c r="GN6" s="256">
        <f t="shared" ref="GN6" si="28">GL6-GM6</f>
        <v>0</v>
      </c>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1"/>
      <c r="JR6" s="111"/>
      <c r="JS6" s="111"/>
      <c r="JT6" s="111"/>
      <c r="JU6" s="111"/>
      <c r="JV6" s="111"/>
      <c r="JW6" s="111"/>
      <c r="JX6" s="111"/>
      <c r="JY6" s="111"/>
      <c r="JZ6" s="111"/>
      <c r="KA6" s="111"/>
      <c r="KB6" s="111"/>
      <c r="KC6" s="111"/>
      <c r="KD6" s="111"/>
      <c r="KE6" s="111"/>
      <c r="KF6" s="111"/>
      <c r="KG6" s="111"/>
      <c r="KH6" s="111"/>
      <c r="KI6" s="111"/>
      <c r="KJ6" s="111"/>
      <c r="KK6" s="111"/>
      <c r="KL6" s="111"/>
      <c r="KM6" s="111"/>
      <c r="KN6" s="111"/>
      <c r="KO6" s="111"/>
      <c r="KP6" s="111"/>
      <c r="KQ6" s="111"/>
      <c r="KR6" s="111"/>
      <c r="KS6" s="111"/>
      <c r="KT6" s="111"/>
      <c r="KU6" s="111"/>
      <c r="KV6" s="111"/>
      <c r="KW6" s="111"/>
      <c r="KX6" s="111"/>
      <c r="KY6" s="111"/>
      <c r="KZ6" s="111"/>
      <c r="LA6" s="111"/>
      <c r="LB6" s="111"/>
      <c r="LC6" s="111"/>
      <c r="LD6" s="111"/>
      <c r="LE6" s="111"/>
      <c r="LF6" s="111"/>
      <c r="LG6" s="111"/>
      <c r="LH6" s="111"/>
      <c r="LI6" s="111"/>
      <c r="LJ6" s="111"/>
      <c r="LK6" s="111"/>
      <c r="LL6" s="111"/>
      <c r="LM6" s="111"/>
      <c r="LN6" s="111"/>
      <c r="LO6" s="111"/>
      <c r="LP6" s="111"/>
      <c r="LQ6" s="111"/>
      <c r="LR6" s="111"/>
      <c r="LS6" s="111"/>
      <c r="LT6" s="111"/>
      <c r="LU6" s="111"/>
      <c r="LV6" s="111"/>
      <c r="LW6" s="111"/>
      <c r="LX6" s="111"/>
      <c r="LY6" s="111"/>
      <c r="LZ6" s="111"/>
      <c r="MA6" s="111"/>
      <c r="MB6" s="111"/>
      <c r="MC6" s="111"/>
      <c r="MD6" s="111"/>
      <c r="ME6" s="111"/>
      <c r="MF6" s="111"/>
      <c r="MG6" s="111"/>
      <c r="MH6" s="111"/>
      <c r="MI6" s="111"/>
      <c r="MJ6" s="111"/>
      <c r="MK6" s="111"/>
      <c r="ML6" s="111"/>
      <c r="MM6" s="111"/>
      <c r="MN6" s="111"/>
      <c r="MO6" s="111"/>
      <c r="MP6" s="111"/>
      <c r="MQ6" s="111"/>
      <c r="MR6" s="111"/>
      <c r="MS6" s="111"/>
      <c r="MT6" s="111"/>
      <c r="MU6" s="111"/>
      <c r="MV6" s="111"/>
      <c r="MW6" s="111"/>
      <c r="MX6" s="111"/>
      <c r="MY6" s="111"/>
      <c r="MZ6" s="111"/>
      <c r="NA6" s="111"/>
      <c r="NB6" s="111"/>
      <c r="NC6" s="111"/>
      <c r="ND6" s="111"/>
      <c r="NE6" s="111"/>
      <c r="NF6" s="111"/>
      <c r="NG6" s="111"/>
      <c r="NH6" s="111"/>
      <c r="NI6" s="111"/>
      <c r="NJ6" s="111"/>
      <c r="NK6" s="111"/>
      <c r="NL6" s="111"/>
      <c r="NM6" s="111"/>
      <c r="NN6" s="111"/>
      <c r="NO6" s="111"/>
      <c r="NP6" s="111"/>
      <c r="NQ6" s="111"/>
      <c r="NR6" s="111"/>
      <c r="NS6" s="111"/>
      <c r="NT6" s="111"/>
      <c r="NU6" s="111"/>
      <c r="NV6" s="111"/>
      <c r="NW6" s="111"/>
      <c r="NX6" s="111"/>
      <c r="NY6" s="111"/>
      <c r="NZ6" s="111"/>
      <c r="OA6" s="111"/>
      <c r="OB6" s="111"/>
      <c r="OC6" s="111"/>
      <c r="OD6" s="111"/>
      <c r="OE6" s="111"/>
      <c r="OF6" s="111"/>
      <c r="OG6" s="111"/>
      <c r="OH6" s="111"/>
      <c r="OI6" s="111"/>
      <c r="OJ6" s="111"/>
      <c r="OK6" s="111"/>
      <c r="OL6" s="111"/>
      <c r="OM6" s="111"/>
      <c r="ON6" s="111"/>
      <c r="OO6" s="111"/>
      <c r="OP6" s="111"/>
      <c r="OQ6" s="111"/>
      <c r="OR6" s="111"/>
      <c r="OS6" s="111"/>
      <c r="OT6" s="111"/>
      <c r="OU6" s="111"/>
      <c r="OV6" s="111"/>
      <c r="OW6" s="111"/>
      <c r="OX6" s="111"/>
      <c r="OY6" s="111"/>
      <c r="OZ6" s="111"/>
      <c r="PA6" s="111"/>
      <c r="PB6" s="111"/>
      <c r="PC6" s="111"/>
      <c r="PD6" s="111"/>
      <c r="PE6" s="111"/>
      <c r="PF6" s="111"/>
      <c r="PG6" s="111"/>
      <c r="PH6" s="111"/>
      <c r="PI6" s="111"/>
      <c r="PJ6" s="111"/>
      <c r="PK6" s="111"/>
      <c r="PL6" s="111"/>
      <c r="PM6" s="111"/>
      <c r="PN6" s="111"/>
      <c r="PO6" s="111"/>
      <c r="PP6" s="111"/>
      <c r="PQ6" s="111"/>
      <c r="PR6" s="111"/>
      <c r="PS6" s="111"/>
      <c r="PT6" s="111"/>
      <c r="PU6" s="111"/>
      <c r="PV6" s="111"/>
      <c r="PW6" s="111"/>
      <c r="PX6" s="111"/>
      <c r="PY6" s="111"/>
      <c r="PZ6" s="111"/>
      <c r="QA6" s="111"/>
      <c r="QB6" s="111"/>
      <c r="QC6" s="111"/>
      <c r="QD6" s="111"/>
      <c r="QE6" s="111"/>
      <c r="QF6" s="111"/>
      <c r="QG6" s="111"/>
      <c r="QH6" s="111"/>
      <c r="QI6" s="111"/>
      <c r="QJ6" s="111"/>
      <c r="QK6" s="111"/>
      <c r="QL6" s="111"/>
      <c r="QM6" s="111"/>
      <c r="QN6" s="111"/>
      <c r="QO6" s="111"/>
      <c r="QP6" s="111"/>
      <c r="QQ6" s="111"/>
      <c r="QR6" s="111"/>
      <c r="QS6" s="111"/>
      <c r="QT6" s="111"/>
      <c r="QU6" s="111"/>
      <c r="QV6" s="111"/>
      <c r="QW6" s="111"/>
      <c r="QX6" s="111"/>
      <c r="QY6" s="111"/>
      <c r="QZ6" s="111"/>
      <c r="RA6" s="111"/>
      <c r="RB6" s="111"/>
      <c r="RC6" s="111"/>
      <c r="RD6" s="111"/>
      <c r="RE6" s="111"/>
      <c r="RF6" s="111"/>
      <c r="RG6" s="111"/>
      <c r="RH6" s="111"/>
      <c r="RI6" s="111"/>
      <c r="RJ6" s="111"/>
      <c r="RK6" s="111"/>
      <c r="RL6" s="111"/>
      <c r="RM6" s="111"/>
      <c r="RN6" s="111"/>
      <c r="RO6" s="111"/>
      <c r="RP6" s="111"/>
      <c r="RQ6" s="111"/>
      <c r="RR6" s="111"/>
      <c r="RS6" s="111"/>
      <c r="RT6" s="111"/>
      <c r="RU6" s="111"/>
      <c r="RV6" s="111"/>
      <c r="RW6" s="111"/>
      <c r="RX6" s="111"/>
      <c r="RY6" s="111"/>
      <c r="RZ6" s="111"/>
      <c r="SA6" s="111"/>
      <c r="SB6" s="111"/>
      <c r="SC6" s="111"/>
      <c r="SD6" s="111"/>
      <c r="SE6" s="111"/>
      <c r="SF6" s="111"/>
      <c r="SG6" s="111"/>
      <c r="SH6" s="111"/>
      <c r="SI6" s="111"/>
      <c r="SJ6" s="111"/>
      <c r="SK6" s="111"/>
      <c r="SL6" s="111"/>
      <c r="SM6" s="111"/>
      <c r="SN6" s="111"/>
      <c r="SO6" s="111"/>
      <c r="SP6" s="111"/>
      <c r="SQ6" s="111"/>
      <c r="SR6" s="111"/>
      <c r="SS6" s="111"/>
      <c r="ST6" s="111"/>
      <c r="SU6" s="111"/>
      <c r="SV6" s="111"/>
      <c r="SW6" s="111"/>
      <c r="SX6" s="111"/>
      <c r="SY6" s="111"/>
      <c r="SZ6" s="111"/>
      <c r="TA6" s="111"/>
      <c r="TB6" s="111"/>
      <c r="TC6" s="111"/>
      <c r="TD6" s="111"/>
      <c r="TE6" s="111"/>
      <c r="TF6" s="111"/>
      <c r="TG6" s="111"/>
      <c r="TH6" s="111"/>
      <c r="TI6" s="111"/>
      <c r="TJ6" s="111"/>
      <c r="TK6" s="111"/>
      <c r="TL6" s="111"/>
      <c r="TM6" s="111"/>
      <c r="TN6" s="111"/>
      <c r="TO6" s="111"/>
      <c r="TP6" s="111"/>
      <c r="TQ6" s="111"/>
      <c r="TR6" s="111"/>
      <c r="TS6" s="111"/>
      <c r="TT6" s="111"/>
      <c r="TU6" s="111"/>
      <c r="TV6" s="111"/>
      <c r="TW6" s="111"/>
      <c r="TX6" s="111"/>
      <c r="TY6" s="111"/>
      <c r="TZ6" s="111"/>
      <c r="UA6" s="111"/>
      <c r="UB6" s="111"/>
      <c r="UC6" s="111"/>
      <c r="UD6" s="111"/>
      <c r="UE6" s="111"/>
      <c r="UF6" s="111"/>
      <c r="UG6" s="111"/>
      <c r="UH6" s="111"/>
      <c r="UI6" s="111"/>
      <c r="UJ6" s="111"/>
      <c r="UK6" s="111"/>
      <c r="UL6" s="111"/>
      <c r="UM6" s="111"/>
      <c r="UN6" s="111"/>
      <c r="UO6" s="111"/>
      <c r="UP6" s="111"/>
      <c r="UQ6" s="111"/>
      <c r="UR6" s="111"/>
      <c r="US6" s="111"/>
      <c r="UT6" s="111"/>
      <c r="UU6" s="111"/>
      <c r="UV6" s="111"/>
      <c r="UW6" s="111"/>
      <c r="UX6" s="111"/>
      <c r="UY6" s="111"/>
      <c r="UZ6" s="111"/>
      <c r="VA6" s="111"/>
      <c r="VB6" s="111"/>
      <c r="VC6" s="111"/>
      <c r="VD6" s="111"/>
      <c r="VE6" s="111"/>
      <c r="VF6" s="111"/>
      <c r="VG6" s="111"/>
      <c r="VH6" s="111"/>
      <c r="VI6" s="111"/>
      <c r="VJ6" s="111"/>
      <c r="VK6" s="111"/>
      <c r="VL6" s="111"/>
      <c r="VM6" s="111"/>
      <c r="VN6" s="111"/>
      <c r="VO6" s="111"/>
      <c r="VP6" s="111"/>
      <c r="VQ6" s="111"/>
      <c r="VR6" s="111"/>
      <c r="VS6" s="111"/>
      <c r="VT6" s="111"/>
      <c r="VU6" s="111"/>
      <c r="VV6" s="111"/>
      <c r="VW6" s="111"/>
      <c r="VX6" s="111"/>
      <c r="VY6" s="111"/>
      <c r="VZ6" s="111"/>
      <c r="WA6" s="111"/>
      <c r="WB6" s="111"/>
      <c r="WC6" s="111"/>
      <c r="WD6" s="111"/>
      <c r="WE6" s="111"/>
      <c r="WF6" s="111"/>
      <c r="WG6" s="111"/>
      <c r="WH6" s="111"/>
      <c r="WI6" s="111"/>
      <c r="WJ6" s="111"/>
      <c r="WK6" s="111"/>
      <c r="WL6" s="111"/>
      <c r="WM6" s="111"/>
      <c r="WN6" s="111"/>
      <c r="WO6" s="111"/>
      <c r="WP6" s="111"/>
      <c r="WQ6" s="111"/>
      <c r="WR6" s="111"/>
      <c r="WS6" s="111"/>
      <c r="WT6" s="111"/>
      <c r="WU6" s="111"/>
      <c r="WV6" s="111"/>
      <c r="WW6" s="111"/>
      <c r="WX6" s="111"/>
      <c r="WY6" s="111"/>
      <c r="WZ6" s="111"/>
      <c r="XA6" s="111"/>
      <c r="XB6" s="111"/>
      <c r="XC6" s="111"/>
      <c r="XD6" s="111"/>
      <c r="XE6" s="111"/>
      <c r="XF6" s="111"/>
      <c r="XG6" s="111"/>
      <c r="XH6" s="111"/>
      <c r="XI6" s="111"/>
      <c r="XJ6" s="111"/>
      <c r="XK6" s="111"/>
      <c r="XL6" s="111"/>
      <c r="XM6" s="111"/>
      <c r="XN6" s="111"/>
      <c r="XO6" s="111"/>
      <c r="XP6" s="111"/>
      <c r="XQ6" s="111"/>
      <c r="XR6" s="111"/>
      <c r="XS6" s="111"/>
      <c r="XT6" s="111"/>
      <c r="XU6" s="111"/>
      <c r="XV6" s="111"/>
      <c r="XW6" s="111"/>
      <c r="XX6" s="111"/>
      <c r="XY6" s="111"/>
      <c r="XZ6" s="111"/>
      <c r="YA6" s="111"/>
      <c r="YB6" s="111"/>
      <c r="YC6" s="111"/>
      <c r="YD6" s="111"/>
      <c r="YE6" s="111"/>
      <c r="YF6" s="111"/>
      <c r="YG6" s="111"/>
      <c r="YH6" s="111"/>
      <c r="YI6" s="111"/>
      <c r="YJ6" s="111"/>
      <c r="YK6" s="111"/>
      <c r="YL6" s="111"/>
      <c r="YM6" s="111"/>
      <c r="YN6" s="111"/>
      <c r="YO6" s="111"/>
      <c r="YP6" s="111"/>
      <c r="YQ6" s="111"/>
      <c r="YR6" s="111"/>
      <c r="YS6" s="111"/>
      <c r="YT6" s="111"/>
      <c r="YU6" s="111"/>
      <c r="YV6" s="111"/>
      <c r="YW6" s="111"/>
      <c r="YX6" s="111"/>
      <c r="YY6" s="111"/>
      <c r="YZ6" s="111"/>
      <c r="ZA6" s="111"/>
      <c r="ZB6" s="111"/>
      <c r="ZC6" s="111"/>
      <c r="ZD6" s="111"/>
      <c r="ZE6" s="111"/>
      <c r="ZF6" s="111"/>
      <c r="ZG6" s="111"/>
      <c r="ZH6" s="111"/>
      <c r="ZI6" s="111"/>
      <c r="ZJ6" s="111"/>
      <c r="ZK6" s="111"/>
      <c r="ZL6" s="111"/>
      <c r="ZM6" s="111"/>
      <c r="ZN6" s="111"/>
      <c r="ZO6" s="111"/>
      <c r="ZP6" s="111"/>
      <c r="ZQ6" s="111"/>
      <c r="ZR6" s="111"/>
      <c r="ZS6" s="111"/>
      <c r="ZT6" s="111"/>
      <c r="ZU6" s="111"/>
      <c r="ZV6" s="111"/>
      <c r="ZW6" s="111"/>
      <c r="ZX6" s="111"/>
      <c r="ZY6" s="111"/>
      <c r="ZZ6" s="111"/>
      <c r="AAA6" s="111"/>
      <c r="AAB6" s="111"/>
      <c r="AAC6" s="111"/>
      <c r="AAD6" s="111"/>
      <c r="AAE6" s="111"/>
      <c r="AAF6" s="111"/>
      <c r="AAG6" s="111"/>
      <c r="AAH6" s="111"/>
      <c r="AAI6" s="111"/>
      <c r="AAJ6" s="111"/>
      <c r="AAK6" s="111"/>
      <c r="AAL6" s="111"/>
      <c r="AAM6" s="111"/>
      <c r="AAN6" s="111"/>
      <c r="AAO6" s="111"/>
      <c r="AAP6" s="111"/>
      <c r="AAQ6" s="111"/>
      <c r="AAR6" s="111"/>
      <c r="AAS6" s="111"/>
      <c r="AAT6" s="111"/>
      <c r="AAU6" s="111"/>
      <c r="AAV6" s="111"/>
      <c r="AAW6" s="111"/>
      <c r="AAX6" s="111"/>
      <c r="AAY6" s="111"/>
      <c r="AAZ6" s="111"/>
      <c r="ABA6" s="111"/>
      <c r="ABB6" s="111"/>
      <c r="ABC6" s="111"/>
      <c r="ABD6" s="111"/>
      <c r="ABE6" s="111"/>
      <c r="ABF6" s="111"/>
      <c r="ABG6" s="111"/>
      <c r="ABH6" s="111"/>
      <c r="ABI6" s="111"/>
      <c r="ABJ6" s="111"/>
      <c r="ABK6" s="111"/>
      <c r="ABL6" s="111"/>
      <c r="ABM6" s="111"/>
      <c r="ABN6" s="111"/>
      <c r="ABO6" s="111"/>
      <c r="ABP6" s="111"/>
      <c r="ABQ6" s="111"/>
      <c r="ABR6" s="111"/>
      <c r="ABS6" s="111"/>
      <c r="ABT6" s="111"/>
      <c r="ABU6" s="111"/>
      <c r="ABV6" s="111"/>
      <c r="ABW6" s="111"/>
      <c r="ABX6" s="111"/>
      <c r="ABY6" s="111"/>
      <c r="ABZ6" s="111"/>
      <c r="ACA6" s="111"/>
      <c r="ACB6" s="111"/>
      <c r="ACC6" s="111"/>
      <c r="ACD6" s="111"/>
      <c r="ACE6" s="111"/>
      <c r="ACF6" s="111"/>
      <c r="ACG6" s="111"/>
      <c r="ACH6" s="111"/>
      <c r="ACI6" s="111"/>
      <c r="ACJ6" s="111"/>
      <c r="ACK6" s="111"/>
      <c r="ACL6" s="111"/>
      <c r="ACM6" s="111"/>
      <c r="ACN6" s="111"/>
      <c r="ACO6" s="111"/>
      <c r="ACP6" s="111"/>
      <c r="ACQ6" s="111"/>
      <c r="ACR6" s="111"/>
      <c r="ACS6" s="111"/>
      <c r="ACT6" s="111"/>
      <c r="ACU6" s="111"/>
      <c r="ACV6" s="111"/>
      <c r="ACW6" s="111"/>
      <c r="ACX6" s="111"/>
      <c r="ACY6" s="111"/>
      <c r="ACZ6" s="111"/>
      <c r="ADA6" s="111"/>
      <c r="ADB6" s="111"/>
      <c r="ADC6" s="111"/>
      <c r="ADD6" s="111"/>
      <c r="ADE6" s="111"/>
      <c r="ADF6" s="111"/>
      <c r="ADG6" s="111"/>
      <c r="ADH6" s="111"/>
      <c r="ADI6" s="111"/>
      <c r="ADJ6" s="111"/>
      <c r="ADK6" s="111"/>
      <c r="ADL6" s="111"/>
      <c r="ADM6" s="111"/>
      <c r="ADN6" s="111"/>
      <c r="ADO6" s="111"/>
      <c r="ADP6" s="111"/>
      <c r="ADQ6" s="111"/>
      <c r="ADR6" s="111"/>
      <c r="ADS6" s="111"/>
      <c r="ADT6" s="111"/>
      <c r="ADU6" s="111"/>
      <c r="ADV6" s="111"/>
      <c r="ADW6" s="111"/>
      <c r="ADX6" s="111"/>
      <c r="ADY6" s="111"/>
      <c r="ADZ6" s="111"/>
      <c r="AEA6" s="111"/>
      <c r="AEB6" s="111"/>
      <c r="AEC6" s="111"/>
      <c r="AED6" s="111"/>
      <c r="AEE6" s="111"/>
      <c r="AEF6" s="111"/>
      <c r="AEG6" s="111"/>
      <c r="AEH6" s="111"/>
      <c r="AEI6" s="111"/>
      <c r="AEJ6" s="111"/>
      <c r="AEK6" s="111"/>
      <c r="AEL6" s="111"/>
      <c r="AEM6" s="111"/>
      <c r="AEN6" s="111"/>
      <c r="AEO6" s="111"/>
      <c r="AEP6" s="111"/>
      <c r="AEQ6" s="111"/>
      <c r="AER6" s="111"/>
      <c r="AES6" s="111"/>
      <c r="AET6" s="111"/>
      <c r="AEU6" s="111"/>
      <c r="AEV6" s="111"/>
      <c r="AEW6" s="111"/>
      <c r="AEX6" s="111"/>
      <c r="AEY6" s="111"/>
      <c r="AEZ6" s="111"/>
      <c r="AFA6" s="111"/>
      <c r="AFB6" s="111"/>
      <c r="AFC6" s="111"/>
      <c r="AFD6" s="111"/>
      <c r="AFE6" s="111"/>
      <c r="AFF6" s="111"/>
      <c r="AFG6" s="111"/>
      <c r="AFH6" s="111"/>
      <c r="AFI6" s="111"/>
      <c r="AFJ6" s="111"/>
      <c r="AFK6" s="111"/>
      <c r="AFL6" s="111"/>
      <c r="AFM6" s="111"/>
      <c r="AFN6" s="111"/>
      <c r="AFO6" s="111"/>
      <c r="AFP6" s="111"/>
      <c r="AFQ6" s="111"/>
      <c r="AFR6" s="111"/>
      <c r="AFS6" s="111"/>
      <c r="AFT6" s="111"/>
      <c r="AFU6" s="111"/>
      <c r="AFV6" s="111"/>
      <c r="AFW6" s="111"/>
      <c r="AFX6" s="111"/>
      <c r="AFY6" s="111"/>
      <c r="AFZ6" s="111"/>
      <c r="AGA6" s="111"/>
      <c r="AGB6" s="111"/>
      <c r="AGC6" s="111"/>
      <c r="AGD6" s="111"/>
      <c r="AGE6" s="111"/>
      <c r="AGF6" s="111"/>
      <c r="AGG6" s="111"/>
      <c r="AGH6" s="111"/>
      <c r="AGI6" s="111"/>
      <c r="AGJ6" s="111"/>
      <c r="AGK6" s="111"/>
      <c r="AGL6" s="111"/>
      <c r="AGM6" s="111"/>
      <c r="AGN6" s="111"/>
      <c r="AGO6" s="111"/>
      <c r="AGP6" s="111"/>
    </row>
    <row r="7" spans="2:874" ht="30" customHeight="1" outlineLevel="1" x14ac:dyDescent="0.2">
      <c r="K7" s="111" t="s">
        <v>406</v>
      </c>
      <c r="DB7" s="266" t="s">
        <v>412</v>
      </c>
    </row>
    <row r="8" spans="2:874" s="258" customFormat="1" ht="30" customHeight="1" x14ac:dyDescent="0.2">
      <c r="B8" s="261">
        <f>SUBTOTAL(3,B6:B6)</f>
        <v>1</v>
      </c>
      <c r="C8" s="262" t="s">
        <v>407</v>
      </c>
      <c r="D8" s="263">
        <f>SUBTOTAL(3,D6:D6)</f>
        <v>1</v>
      </c>
      <c r="E8" s="263">
        <f>SUBTOTAL(3,E6:E6)</f>
        <v>1</v>
      </c>
      <c r="G8" s="263">
        <f>SUBTOTAL(3,G6:G6)</f>
        <v>1</v>
      </c>
      <c r="H8" s="264"/>
      <c r="J8" s="265"/>
      <c r="K8" s="261">
        <f>SUBTOTAL(3,K6:K6)</f>
        <v>1</v>
      </c>
      <c r="L8" s="265"/>
      <c r="M8" s="265"/>
      <c r="O8" s="261">
        <f t="shared" ref="O8:AM8" si="29">SUBTOTAL(9,O6:O6)</f>
        <v>0</v>
      </c>
      <c r="P8" s="261">
        <f t="shared" si="29"/>
        <v>0</v>
      </c>
      <c r="Q8" s="261">
        <f t="shared" si="29"/>
        <v>0</v>
      </c>
      <c r="R8" s="261">
        <f t="shared" si="29"/>
        <v>0</v>
      </c>
      <c r="S8" s="261">
        <f t="shared" si="29"/>
        <v>0</v>
      </c>
      <c r="T8" s="261">
        <f t="shared" si="29"/>
        <v>0</v>
      </c>
      <c r="U8" s="261">
        <f t="shared" si="29"/>
        <v>0</v>
      </c>
      <c r="V8" s="261">
        <f t="shared" si="29"/>
        <v>0</v>
      </c>
      <c r="W8" s="261">
        <f t="shared" si="29"/>
        <v>0</v>
      </c>
      <c r="X8" s="261">
        <f t="shared" si="29"/>
        <v>0</v>
      </c>
      <c r="Y8" s="261">
        <f t="shared" si="29"/>
        <v>0</v>
      </c>
      <c r="Z8" s="261">
        <f t="shared" si="29"/>
        <v>0</v>
      </c>
      <c r="AA8" s="261">
        <f t="shared" si="29"/>
        <v>0</v>
      </c>
      <c r="AB8" s="261">
        <f t="shared" si="29"/>
        <v>0</v>
      </c>
      <c r="AC8" s="261">
        <f t="shared" si="29"/>
        <v>0</v>
      </c>
      <c r="AD8" s="261">
        <f t="shared" si="29"/>
        <v>0</v>
      </c>
      <c r="AE8" s="261">
        <f t="shared" si="29"/>
        <v>0</v>
      </c>
      <c r="AF8" s="261">
        <f t="shared" si="29"/>
        <v>0</v>
      </c>
      <c r="AG8" s="261">
        <f t="shared" si="29"/>
        <v>0</v>
      </c>
      <c r="AH8" s="261" t="e">
        <f t="shared" si="29"/>
        <v>#REF!</v>
      </c>
      <c r="AI8" s="261">
        <f t="shared" si="29"/>
        <v>0</v>
      </c>
      <c r="AJ8" s="261">
        <f t="shared" si="29"/>
        <v>0</v>
      </c>
      <c r="AK8" s="261">
        <f t="shared" si="29"/>
        <v>0</v>
      </c>
      <c r="AL8" s="261">
        <f t="shared" si="29"/>
        <v>0</v>
      </c>
      <c r="AM8" s="261">
        <f t="shared" si="29"/>
        <v>0</v>
      </c>
      <c r="AN8" s="261">
        <f t="shared" ref="AN8:AT8" si="30">SUBTOTAL(3,AN6:AN6)</f>
        <v>1</v>
      </c>
      <c r="AO8" s="261">
        <f t="shared" si="30"/>
        <v>1</v>
      </c>
      <c r="AP8" s="261">
        <f t="shared" si="30"/>
        <v>1</v>
      </c>
      <c r="AQ8" s="261">
        <f t="shared" si="30"/>
        <v>1</v>
      </c>
      <c r="AR8" s="261">
        <f t="shared" si="30"/>
        <v>1</v>
      </c>
      <c r="AS8" s="261">
        <f t="shared" si="30"/>
        <v>1</v>
      </c>
      <c r="AT8" s="261">
        <f t="shared" si="30"/>
        <v>1</v>
      </c>
      <c r="AU8" s="261">
        <f>SUBTOTAL(9,AU6:AU6)</f>
        <v>0</v>
      </c>
      <c r="AV8" s="261">
        <f>SUBTOTAL(9,AV6:AV6)</f>
        <v>0</v>
      </c>
      <c r="AW8" s="261">
        <f>SUBTOTAL(3,AW6:AW6)</f>
        <v>0</v>
      </c>
      <c r="AX8" s="261">
        <f>SUBTOTAL(3,AX6:AX6)</f>
        <v>0</v>
      </c>
      <c r="AY8" s="261" t="e">
        <f t="shared" ref="AY8:BM8" si="31">SUBTOTAL(9,AY6:AY6)</f>
        <v>#REF!</v>
      </c>
      <c r="AZ8" s="261">
        <f t="shared" si="31"/>
        <v>0</v>
      </c>
      <c r="BA8" s="261">
        <f t="shared" si="31"/>
        <v>0</v>
      </c>
      <c r="BB8" s="261">
        <f t="shared" si="31"/>
        <v>0</v>
      </c>
      <c r="BC8" s="261">
        <f t="shared" si="31"/>
        <v>0</v>
      </c>
      <c r="BD8" s="261">
        <f t="shared" si="31"/>
        <v>0</v>
      </c>
      <c r="BE8" s="261">
        <f t="shared" si="31"/>
        <v>0</v>
      </c>
      <c r="BF8" s="261">
        <f t="shared" si="31"/>
        <v>0</v>
      </c>
      <c r="BG8" s="261" t="e">
        <f t="shared" si="31"/>
        <v>#REF!</v>
      </c>
      <c r="BH8" s="261">
        <f t="shared" si="31"/>
        <v>0</v>
      </c>
      <c r="BI8" s="261">
        <f t="shared" si="31"/>
        <v>0</v>
      </c>
      <c r="BJ8" s="261">
        <f t="shared" si="31"/>
        <v>0</v>
      </c>
      <c r="BK8" s="261">
        <f t="shared" si="31"/>
        <v>0</v>
      </c>
      <c r="BL8" s="261">
        <f t="shared" si="31"/>
        <v>0</v>
      </c>
      <c r="BM8" s="261">
        <f t="shared" si="31"/>
        <v>0</v>
      </c>
      <c r="BN8" s="261">
        <f>SUBTOTAL(3,BN6:BN6)</f>
        <v>0</v>
      </c>
      <c r="BO8" s="261">
        <f>SUBTOTAL(3,BO6:BO6)</f>
        <v>0</v>
      </c>
      <c r="BP8" s="261">
        <f>SUBTOTAL(3,BP6:BP6)</f>
        <v>0</v>
      </c>
      <c r="BQ8" s="261">
        <f>SUBTOTAL(9,BQ6:BQ6)</f>
        <v>0</v>
      </c>
      <c r="BR8" s="261">
        <f>SUBTOTAL(3,BR6:BR6)</f>
        <v>0</v>
      </c>
      <c r="BS8" s="261">
        <f>SUBTOTAL(9,BS6:BS6)</f>
        <v>0</v>
      </c>
      <c r="BT8" s="264"/>
      <c r="BU8" s="264"/>
      <c r="BV8" s="264"/>
      <c r="BW8" s="264"/>
      <c r="BX8" s="264"/>
      <c r="BY8" s="264"/>
      <c r="BZ8" s="264"/>
      <c r="CA8" s="264"/>
      <c r="CB8" s="264"/>
      <c r="CC8" s="264"/>
      <c r="CD8" s="264"/>
      <c r="CE8" s="264"/>
      <c r="CF8" s="264"/>
      <c r="CG8" s="261" t="e">
        <f>SUBTOTAL(9,CG6:CG6)</f>
        <v>#REF!</v>
      </c>
      <c r="CH8" s="261">
        <f>SUBTOTAL(3,CH6:CH6)</f>
        <v>1</v>
      </c>
      <c r="CJ8" s="263">
        <f>SUBTOTAL(3,CJ6:CJ6)</f>
        <v>0</v>
      </c>
      <c r="CK8" s="261">
        <f>SUBTOTAL(9,CK6:CK6)</f>
        <v>0</v>
      </c>
      <c r="CL8" s="261">
        <f>SUBTOTAL(9,CL6:CL6)</f>
        <v>0</v>
      </c>
      <c r="CM8" s="265"/>
      <c r="CN8" s="264"/>
      <c r="CQ8" s="264"/>
      <c r="CR8" s="264"/>
      <c r="CU8" s="261">
        <f>SUBTOTAL(3,CU6:CU6)</f>
        <v>0</v>
      </c>
      <c r="DA8" s="263">
        <f>SUBTOTAL(3,DA6:DA6)</f>
        <v>0</v>
      </c>
      <c r="DB8" s="261">
        <f>SUBTOTAL(9,DB6:DB6)</f>
        <v>0</v>
      </c>
      <c r="DC8" s="261">
        <f>SUBTOTAL(9,DC6:DC6)</f>
        <v>0</v>
      </c>
      <c r="DD8" s="261">
        <f>SUBTOTAL(3,DD6:DD6)</f>
        <v>0</v>
      </c>
      <c r="DE8" s="261">
        <f>SUBTOTAL(9,DE6:DE6)</f>
        <v>0</v>
      </c>
      <c r="DF8" s="261">
        <f>SUBTOTAL(9,DF6:DF6)</f>
        <v>0</v>
      </c>
      <c r="DG8" s="261">
        <f>SUBTOTAL(9,DG6:DG6)</f>
        <v>0</v>
      </c>
      <c r="DH8" s="261">
        <f>SUBTOTAL(9,DH6:DH6)</f>
        <v>0</v>
      </c>
      <c r="DI8" s="261">
        <f>SUBTOTAL(3,DI6:DI6)</f>
        <v>0</v>
      </c>
      <c r="DJ8" s="261">
        <f>SUBTOTAL(9,DJ6:DJ6)</f>
        <v>0</v>
      </c>
      <c r="DK8" s="261">
        <f>SUBTOTAL(9,DK6:DK6)</f>
        <v>0</v>
      </c>
      <c r="DL8" s="261">
        <f>SUBTOTAL(9,DL6:DL6)</f>
        <v>0</v>
      </c>
      <c r="DM8" s="261">
        <f>SUBTOTAL(9,DM6:DM6)</f>
        <v>0</v>
      </c>
      <c r="DN8" s="261"/>
      <c r="DO8" s="261"/>
      <c r="DP8" s="261"/>
      <c r="DQ8" s="261"/>
      <c r="DR8" s="261"/>
      <c r="DS8" s="261">
        <f t="shared" ref="DS8:DY8" si="32">SUBTOTAL(9,DS6:DS6)</f>
        <v>0</v>
      </c>
      <c r="DT8" s="261">
        <f t="shared" si="32"/>
        <v>0</v>
      </c>
      <c r="DU8" s="261">
        <f t="shared" si="32"/>
        <v>0</v>
      </c>
      <c r="DV8" s="261">
        <f t="shared" si="32"/>
        <v>0</v>
      </c>
      <c r="DW8" s="261">
        <f t="shared" si="32"/>
        <v>0</v>
      </c>
      <c r="DX8" s="261">
        <f t="shared" si="32"/>
        <v>0</v>
      </c>
      <c r="DY8" s="261">
        <f t="shared" si="32"/>
        <v>0</v>
      </c>
      <c r="DZ8" s="261">
        <f>SUBTOTAL(3,DZ6:DZ6)</f>
        <v>0</v>
      </c>
      <c r="EA8" s="261">
        <f t="shared" ref="EA8:EN8" si="33">SUBTOTAL(9,EA6:EA6)</f>
        <v>0</v>
      </c>
      <c r="EB8" s="261">
        <f t="shared" si="33"/>
        <v>0</v>
      </c>
      <c r="EC8" s="261">
        <f t="shared" si="33"/>
        <v>0</v>
      </c>
      <c r="ED8" s="261">
        <f t="shared" si="33"/>
        <v>0</v>
      </c>
      <c r="EE8" s="261">
        <f t="shared" si="33"/>
        <v>0</v>
      </c>
      <c r="EF8" s="261">
        <f t="shared" si="33"/>
        <v>0</v>
      </c>
      <c r="EG8" s="261">
        <f t="shared" si="33"/>
        <v>0</v>
      </c>
      <c r="EH8" s="261">
        <f t="shared" si="33"/>
        <v>0</v>
      </c>
      <c r="EI8" s="261">
        <f t="shared" si="33"/>
        <v>0</v>
      </c>
      <c r="EJ8" s="261">
        <f t="shared" si="33"/>
        <v>0</v>
      </c>
      <c r="EK8" s="261">
        <f t="shared" si="33"/>
        <v>0</v>
      </c>
      <c r="EL8" s="261">
        <f t="shared" si="33"/>
        <v>0</v>
      </c>
      <c r="EM8" s="261">
        <f t="shared" si="33"/>
        <v>0</v>
      </c>
      <c r="EN8" s="261">
        <f t="shared" si="33"/>
        <v>0</v>
      </c>
      <c r="EO8" s="261">
        <f t="shared" ref="EO8:EU8" si="34">SUBTOTAL(3,EO6:EO6)</f>
        <v>1</v>
      </c>
      <c r="EP8" s="261">
        <f t="shared" si="34"/>
        <v>1</v>
      </c>
      <c r="EQ8" s="261">
        <f t="shared" si="34"/>
        <v>1</v>
      </c>
      <c r="ER8" s="261">
        <f t="shared" si="34"/>
        <v>1</v>
      </c>
      <c r="ES8" s="261">
        <f t="shared" si="34"/>
        <v>1</v>
      </c>
      <c r="ET8" s="261">
        <f t="shared" si="34"/>
        <v>1</v>
      </c>
      <c r="EU8" s="261">
        <f t="shared" si="34"/>
        <v>1</v>
      </c>
      <c r="EV8" s="261">
        <f>SUBTOTAL(9,EV6:EV6)</f>
        <v>0</v>
      </c>
      <c r="EW8" s="261">
        <f>SUBTOTAL(9,EW6:EW6)</f>
        <v>0</v>
      </c>
      <c r="EX8" s="261">
        <f>SUBTOTAL(9,EX6:EX6)</f>
        <v>0</v>
      </c>
      <c r="EY8" s="261">
        <f>SUBTOTAL(3,EY6:EY6)</f>
        <v>1</v>
      </c>
      <c r="EZ8" s="261">
        <f>SUBTOTAL(3,EZ6:EZ6)</f>
        <v>1</v>
      </c>
      <c r="FA8" s="261">
        <f>SUBTOTAL(3,FA6:FA6)</f>
        <v>1</v>
      </c>
      <c r="FB8" s="261">
        <f>SUBTOTAL(3,FB6:FB6)</f>
        <v>0</v>
      </c>
      <c r="FC8" s="261">
        <f>SUBTOTAL(3,FC6:FC6)</f>
        <v>0</v>
      </c>
      <c r="FD8" s="261">
        <f>SUBTOTAL(9,FD6:FD6)</f>
        <v>0</v>
      </c>
      <c r="FE8" s="261">
        <f>SUBTOTAL(9,FE6:FE6)</f>
        <v>0</v>
      </c>
      <c r="FF8" s="261">
        <f>SUBTOTAL(9,FF6:FF6)</f>
        <v>0</v>
      </c>
      <c r="FG8" s="261">
        <f>SUBTOTAL(9,FG6:FG6)</f>
        <v>0</v>
      </c>
      <c r="FH8" s="261">
        <f>SUBTOTAL(3,FH6:FH6)</f>
        <v>0</v>
      </c>
      <c r="FI8" s="261">
        <f>SUBTOTAL(9,FI6:FI6)</f>
        <v>0</v>
      </c>
      <c r="FJ8" s="261">
        <f>SUBTOTAL(3,FJ6:FJ6)</f>
        <v>0</v>
      </c>
      <c r="FK8" s="261">
        <f t="shared" ref="FK8:FX8" si="35">SUBTOTAL(9,FK6:FK6)</f>
        <v>0</v>
      </c>
      <c r="FL8" s="261">
        <f t="shared" si="35"/>
        <v>0</v>
      </c>
      <c r="FM8" s="261">
        <f t="shared" si="35"/>
        <v>0</v>
      </c>
      <c r="FN8" s="261">
        <f t="shared" si="35"/>
        <v>0</v>
      </c>
      <c r="FO8" s="261">
        <f t="shared" si="35"/>
        <v>0</v>
      </c>
      <c r="FP8" s="261">
        <f t="shared" si="35"/>
        <v>0</v>
      </c>
      <c r="FQ8" s="261">
        <f t="shared" si="35"/>
        <v>0</v>
      </c>
      <c r="FR8" s="261">
        <f t="shared" si="35"/>
        <v>0</v>
      </c>
      <c r="FS8" s="261">
        <f t="shared" si="35"/>
        <v>0</v>
      </c>
      <c r="FT8" s="261">
        <f t="shared" si="35"/>
        <v>0</v>
      </c>
      <c r="FU8" s="261">
        <f t="shared" si="35"/>
        <v>0</v>
      </c>
      <c r="FV8" s="261">
        <f t="shared" si="35"/>
        <v>0</v>
      </c>
      <c r="FW8" s="261">
        <f t="shared" si="35"/>
        <v>0</v>
      </c>
      <c r="FX8" s="261">
        <f t="shared" si="35"/>
        <v>0</v>
      </c>
      <c r="FY8" s="261">
        <f>SUBTOTAL(3,FY6:FY6)</f>
        <v>0</v>
      </c>
      <c r="FZ8" s="261">
        <f>SUBTOTAL(3,FZ6:FZ6)</f>
        <v>0</v>
      </c>
      <c r="GA8" s="261">
        <f>SUBTOTAL(3,GA6:GA6)</f>
        <v>0</v>
      </c>
      <c r="GB8" s="261">
        <f>SUBTOTAL(9,GB6:GB6)</f>
        <v>0</v>
      </c>
      <c r="GC8" s="261">
        <f>SUBTOTAL(9,GC6:GC6)</f>
        <v>0</v>
      </c>
      <c r="GD8" s="261">
        <f>SUBTOTAL(3,GD6:GD6)</f>
        <v>0</v>
      </c>
      <c r="GE8" s="261">
        <f>SUBTOTAL(3,GE6:GE6)</f>
        <v>0</v>
      </c>
      <c r="GF8" s="261">
        <f>SUBTOTAL(9,GF6:GF6)</f>
        <v>0</v>
      </c>
      <c r="GG8" s="261">
        <f>SUBTOTAL(9,GG6:GG6)</f>
        <v>0</v>
      </c>
      <c r="GI8" s="264"/>
      <c r="GJ8" s="264"/>
      <c r="GK8" s="264"/>
      <c r="GL8" s="261">
        <f>SUBTOTAL(9,GL6:GL6)</f>
        <v>0</v>
      </c>
      <c r="GM8" s="261">
        <f>SUBTOTAL(9,GM6:GM6)</f>
        <v>0</v>
      </c>
      <c r="GN8" s="261">
        <f>SUBTOTAL(9,GN6:GN6)</f>
        <v>0</v>
      </c>
    </row>
    <row r="9" spans="2:874" ht="30" customHeight="1" x14ac:dyDescent="0.2"/>
    <row r="10" spans="2:874" ht="30" customHeight="1" x14ac:dyDescent="0.2"/>
    <row r="11" spans="2:874" ht="30" customHeight="1" x14ac:dyDescent="0.2"/>
    <row r="12" spans="2:874" ht="30" customHeight="1" x14ac:dyDescent="0.2"/>
    <row r="13" spans="2:874" ht="30" customHeight="1" x14ac:dyDescent="0.2"/>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NGQaXVhSXXwK05030hm2Q2nBSpH6/dTAtN6o/MrH4+lf7TslpPu4/ZBKx4kiF5SVsm2FatzpM6aR+xBJIswNSA==" saltValue="NHOzLhlZoSe1840DOncxYQ=="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6">
    <cfRule type="expression" dxfId="2" priority="8">
      <formula>($D6="改修")</formula>
    </cfRule>
  </conditionalFormatting>
  <conditionalFormatting sqref="AZ6:BS6 FF6:GG6">
    <cfRule type="expression" dxfId="1" priority="7">
      <formula>OR($D6="新築",$D6="登録")</formula>
    </cfRule>
  </conditionalFormatting>
  <conditionalFormatting sqref="DB6:FE6">
    <cfRule type="expression" dxfId="0" priority="1">
      <formula>OR($D6="改修",$D6="登録")</formula>
    </cfRule>
  </conditionalFormatting>
  <dataValidations count="30">
    <dataValidation operator="greaterThanOrEqual" allowBlank="1" showInputMessage="1" showErrorMessage="1" error="数値以外は入力できません" sqref="CK6:CO6 CS6:CY6" xr:uid="{00000000-0002-0000-0500-000000000000}"/>
    <dataValidation operator="greaterThanOrEqual" allowBlank="1" showInputMessage="1" showErrorMessage="1" error="日付以外の内容は入力できません" sqref="BT6:CF6" xr:uid="{00000000-0002-0000-0500-000001000000}"/>
    <dataValidation operator="greaterThanOrEqual" allowBlank="1" showInputMessage="1" showErrorMessage="1" error="10以上の整数値を入力してください。" sqref="O6 DB6:DD6 DH6:DI6 EY6:FC6 DY6:DZ6 DV6 EE6:EF6 EJ6:EK6 EO6:EU6 DM6:DN6 DP6:DR6" xr:uid="{00000000-0002-0000-0500-000002000000}"/>
    <dataValidation allowBlank="1" showInputMessage="1" showErrorMessage="1" error="実木材使用量より大きな値は入力しないでください。補助対象は10m3以上です（整数値で入力）。" sqref="P6" xr:uid="{00000000-0002-0000-0500-000028000000}"/>
    <dataValidation operator="lessThanOrEqual" allowBlank="1" showInputMessage="1" showErrorMessage="1" error="県産材の実使用量より大きな値は入力しないでください（整数値入力）。" sqref="S6 V6 AC6 Y6 AF6:AG6 AJ6:AK6 AN6:AT6" xr:uid="{00000000-0002-0000-0500-000029000000}"/>
    <dataValidation type="list" allowBlank="1" showInputMessage="1" showErrorMessage="1" sqref="DA6 G6" xr:uid="{00000000-0002-0000-0500-000036000000}">
      <formula1>"〇"</formula1>
    </dataValidation>
    <dataValidation type="decimal" allowBlank="1" showInputMessage="1" showErrorMessage="1" error="0.3以上が補助対象、実木材使用量以下の数値を入力" sqref="FG6 BA6" xr:uid="{00000000-0002-0000-0500-000008000000}">
      <formula1>0.3</formula1>
      <formula2>AZ6</formula2>
    </dataValidation>
    <dataValidation imeMode="halfAlpha" allowBlank="1" showInputMessage="1" showErrorMessage="1" sqref="J1:J1048576 L1:L1048576" xr:uid="{00000000-0002-0000-0500-00000C000000}"/>
    <dataValidation type="decimal" operator="greaterThanOrEqual" allowBlank="1" showInputMessage="1" showErrorMessage="1" sqref="FF6 AZ6" xr:uid="{00000000-0002-0000-0500-00000D000000}">
      <formula1>0</formula1>
    </dataValidation>
    <dataValidation type="list" allowBlank="1" showInputMessage="1" showErrorMessage="1" sqref="FS6:FU6 BI6:BK6 BE6:BF6 FN6:FO6" xr:uid="{00000000-0002-0000-0500-00000E000000}">
      <formula1>"1"</formula1>
    </dataValidation>
    <dataValidation type="list" allowBlank="1" showInputMessage="1" showErrorMessage="1" sqref="CP6" xr:uid="{00000000-0002-0000-0500-00000F000000}">
      <formula1>"若年子育て,三世代近居,三世代同居"</formula1>
    </dataValidation>
    <dataValidation type="list" allowBlank="1" showInputMessage="1" showErrorMessage="1" sqref="GH6" xr:uid="{00000000-0002-0000-0500-000010000000}">
      <formula1>"実績,取下,取消"</formula1>
    </dataValidation>
    <dataValidation type="date" operator="greaterThanOrEqual" allowBlank="1" showInputMessage="1" showErrorMessage="1" error="日付以外の値は入力できません" sqref="H6" xr:uid="{00000000-0002-0000-0500-000011000000}">
      <formula1>1</formula1>
    </dataValidation>
    <dataValidation type="date" operator="greaterThanOrEqual" allowBlank="1" showInputMessage="1" showErrorMessage="1" error="日付以外は入力できません" sqref="GI6:GK6 CQ6:CR6" xr:uid="{00000000-0002-0000-0500-000012000000}">
      <formula1>1</formula1>
    </dataValidation>
    <dataValidation type="list" allowBlank="1" showInputMessage="1" showErrorMessage="1" sqref="F6" xr:uid="{00000000-0002-0000-0500-000016000000}">
      <formula1>"債,支→債,債→支"</formula1>
    </dataValidation>
    <dataValidation type="whole" operator="greaterThanOrEqual" allowBlank="1" showInputMessage="1" showErrorMessage="1" error="整数値で入力" sqref="FI6 BB6" xr:uid="{00000000-0002-0000-0500-00001D000000}">
      <formula1>0</formula1>
    </dataValidation>
    <dataValidation type="whole" operator="greaterThanOrEqual" allowBlank="1" showInputMessage="1" showErrorMessage="1" error="７未満の値は入力しないでください。（補助対象となるのは最低７平方メートル以上です）" sqref="FY6 BN6" xr:uid="{00000000-0002-0000-0500-00001E000000}">
      <formula1>7</formula1>
    </dataValidation>
    <dataValidation type="whole" operator="greaterThanOrEqual" allowBlank="1" showInputMessage="1" showErrorMessage="1" error="３未満の値は入力しないでください。_x000a_（建具は見付３㎡以上が補助対象です）" sqref="BP6" xr:uid="{00000000-0002-0000-0500-00001F000000}">
      <formula1>3</formula1>
    </dataValidation>
    <dataValidation type="list" allowBlank="1" showInputMessage="1" showErrorMessage="1" sqref="CJ6" xr:uid="{00000000-0002-0000-0500-000020000000}">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00000000-0002-0000-0500-000021000000}">
      <formula1>"新築,改修,登録"</formula1>
    </dataValidation>
    <dataValidation type="list" allowBlank="1" showInputMessage="1" showErrorMessage="1" sqref="AW6" xr:uid="{00000000-0002-0000-0500-000022000000}">
      <formula1>"平板瓦,和瓦,S瓦"</formula1>
    </dataValidation>
    <dataValidation type="list" allowBlank="1" showInputMessage="1" showErrorMessage="1" sqref="BR6 AX6" xr:uid="{00000000-0002-0000-0500-000023000000}">
      <formula1>"モルタル塗,漆喰塗,土壁塗,そとん壁,じゅらく塗,珪藻土塗,その他"</formula1>
    </dataValidation>
    <dataValidation allowBlank="1" showInputMessage="1" showErrorMessage="1" prompt="自動計算" sqref="EV6:EX6 DO6 E6 DW6:DX6 DS6:DU6 DJ6:DL6 W6:X6 Z6:AB6 AY6 AH6:AI6 CG6 BS6 BQ6 BL6:BM6 BC6:BD6 AL6:AM6 AU6:AV6 T6:U6 GL6:GN6 Q6:R6 BG6:BH6 B6 AD6:AE6 GB6:GC6 GF6:GG6 FD6:FE6 EA6:ED6 EG6:EI6 DE6:DG6 FK6:FM6 FP6:FR6 FV6:FX6 EL6:EN6" xr:uid="{00000000-0002-0000-0500-000024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 xr:uid="{00000000-0002-0000-0500-000027000000}">
      <formula1>7</formula1>
    </dataValidation>
    <dataValidation type="list" allowBlank="1" showErrorMessage="1" sqref="GD6" xr:uid="{00000000-0002-0000-0500-00002C000000}">
      <formula1>"モルタル塗,漆喰塗,土壁塗,そとん壁,じゅらく塗,珪藻土塗,その他"</formula1>
    </dataValidation>
    <dataValidation allowBlank="1" showInputMessage="1" showErrorMessage="1" error="0.3以上が補助対象、実木材使用量以下の数値を入力" sqref="FH6" xr:uid="{00000000-0002-0000-0500-000031000000}"/>
    <dataValidation operator="greaterThanOrEqual" allowBlank="1" showInputMessage="1" showErrorMessage="1" error="整数値で入力" sqref="FJ6" xr:uid="{00000000-0002-0000-0500-000032000000}"/>
    <dataValidation allowBlank="1" showErrorMessage="1" sqref="GE6" xr:uid="{00000000-0002-0000-0500-000033000000}"/>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 xr:uid="{00000000-0002-0000-0500-000034000000}">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 xr:uid="{00000000-0002-0000-0500-000035000000}">
      <formula1>3</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【様式第６号】（別紙）補助金併用一覧</vt:lpstr>
      <vt:lpstr>要入力　交付決定状況入力シート</vt:lpstr>
      <vt:lpstr>【規則様式第３号】実績報告書鑑（報告書連動）（住まいる）</vt:lpstr>
      <vt:lpstr>【規則様式第３号】実績報告書鑑（報告書連動） (未来型)</vt:lpstr>
      <vt:lpstr>(県用)住まいる台帳コピー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2026-03-17T15:23:47Z</cp:lastPrinted>
  <dcterms:created xsi:type="dcterms:W3CDTF">2017-01-19T07:37:02Z</dcterms:created>
  <dcterms:modified xsi:type="dcterms:W3CDTF">2026-04-05T12:38:08Z</dcterms:modified>
</cp:coreProperties>
</file>