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78E8D312-1B33-4319-AAE4-E1AD213461CD}" xr6:coauthVersionLast="47" xr6:coauthVersionMax="47" xr10:uidLastSave="{00000000-0000-0000-0000-000000000000}"/>
  <workbookProtection workbookAlgorithmName="SHA-512" workbookHashValue="32RwWiVcFd/expqMNDUFRD9XrZk5E5M5gfG0J8qu0UA8Ma/tkq0zqgiOY6aNxl1xQgtEuOOV3hz9i8+/7YYNUQ==" workbookSaltValue="tPI8jblFAP9I1zccyEXpAA==" workbookSpinCount="100000" lockStructure="1"/>
  <bookViews>
    <workbookView xWindow="28680" yWindow="-45" windowWidth="29040" windowHeight="15840" tabRatio="674" xr2:uid="{00000000-000D-0000-FFFF-FFFF00000000}"/>
  </bookViews>
  <sheets>
    <sheet name="【様式第２号の２】事業計画書兼チェックシート（改修）" sheetId="1" r:id="rId1"/>
    <sheet name="【様式第６号の３】補助基準額等算定表" sheetId="4" r:id="rId2"/>
    <sheet name="【様式第１号】登録申請書 (住まいる)" sheetId="2" r:id="rId3"/>
    <sheet name="【様式第１号】登録申請書 (健康省エネ)" sheetId="5" r:id="rId4"/>
    <sheet name="住まいる台帳" sheetId="3" r:id="rId5"/>
    <sheet name="健康省エネ台帳" sheetId="6" r:id="rId6"/>
  </sheets>
  <definedNames>
    <definedName name="_xlnm.Print_Area" localSheetId="3">'【様式第１号】登録申請書 (健康省エネ)'!$A$1:$Z$31</definedName>
    <definedName name="_xlnm.Print_Area" localSheetId="2">'【様式第１号】登録申請書 (住まいる)'!$A$1:$Z$31</definedName>
    <definedName name="_xlnm.Print_Area" localSheetId="0">'【様式第２号の２】事業計画書兼チェックシート（改修）'!$A$1:$AA$225</definedName>
    <definedName name="_xlnm.Print_Area" localSheetId="1">【様式第６号の３】補助基準額等算定表!$A$1:$K$67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 i="1" l="1"/>
  <c r="E2" i="6"/>
  <c r="D2" i="6"/>
  <c r="C2" i="6"/>
  <c r="B2" i="6"/>
  <c r="C209" i="1"/>
  <c r="H26" i="5" s="1"/>
  <c r="C208" i="1"/>
  <c r="H25" i="5" s="1"/>
  <c r="C207" i="1"/>
  <c r="H24" i="5" s="1"/>
  <c r="C206" i="1"/>
  <c r="H23" i="5" s="1"/>
  <c r="O12" i="5"/>
  <c r="O11" i="5"/>
  <c r="O10" i="5"/>
  <c r="O9" i="5"/>
  <c r="P8" i="5"/>
  <c r="W4" i="5"/>
  <c r="T4" i="5"/>
  <c r="Q4" i="5"/>
  <c r="I6" i="4"/>
  <c r="C6" i="4"/>
  <c r="M66" i="4" s="1"/>
  <c r="O66" i="4" s="1"/>
  <c r="AB192" i="1"/>
  <c r="D61" i="4"/>
  <c r="F2" i="6" s="1"/>
  <c r="K52" i="4"/>
  <c r="H52" i="4"/>
  <c r="K47" i="4"/>
  <c r="J47" i="4"/>
  <c r="H47" i="4"/>
  <c r="J46" i="4"/>
  <c r="H46" i="4"/>
  <c r="K46" i="4" s="1"/>
  <c r="J45" i="4"/>
  <c r="H45" i="4"/>
  <c r="K45" i="4" s="1"/>
  <c r="J44" i="4"/>
  <c r="H44" i="4"/>
  <c r="K44" i="4" s="1"/>
  <c r="J43" i="4"/>
  <c r="K43" i="4" s="1"/>
  <c r="H43" i="4"/>
  <c r="J42" i="4"/>
  <c r="K42" i="4" s="1"/>
  <c r="H42" i="4"/>
  <c r="J41" i="4"/>
  <c r="H41" i="4"/>
  <c r="K41" i="4" s="1"/>
  <c r="J40" i="4"/>
  <c r="H40" i="4"/>
  <c r="K40" i="4" s="1"/>
  <c r="J39" i="4"/>
  <c r="H39" i="4"/>
  <c r="K39" i="4" s="1"/>
  <c r="J38" i="4"/>
  <c r="H38" i="4"/>
  <c r="K38" i="4" s="1"/>
  <c r="J37" i="4"/>
  <c r="H37" i="4"/>
  <c r="K37" i="4" s="1"/>
  <c r="J36" i="4"/>
  <c r="H36" i="4"/>
  <c r="K36" i="4" s="1"/>
  <c r="J35" i="4"/>
  <c r="H35" i="4"/>
  <c r="K35" i="4" s="1"/>
  <c r="J34" i="4"/>
  <c r="H34" i="4"/>
  <c r="K34" i="4" s="1"/>
  <c r="J33" i="4"/>
  <c r="H33" i="4"/>
  <c r="K33" i="4" s="1"/>
  <c r="K32" i="4"/>
  <c r="J32" i="4"/>
  <c r="H32" i="4"/>
  <c r="K31" i="4"/>
  <c r="J31" i="4"/>
  <c r="H31" i="4"/>
  <c r="J30" i="4"/>
  <c r="H30" i="4"/>
  <c r="K30" i="4" s="1"/>
  <c r="J29" i="4"/>
  <c r="H29" i="4"/>
  <c r="K29" i="4" s="1"/>
  <c r="J28" i="4"/>
  <c r="H28" i="4"/>
  <c r="K28" i="4" s="1"/>
  <c r="J27" i="4"/>
  <c r="K27" i="4" s="1"/>
  <c r="H27" i="4"/>
  <c r="J26" i="4"/>
  <c r="K26" i="4" s="1"/>
  <c r="H26" i="4"/>
  <c r="J25" i="4"/>
  <c r="H25" i="4"/>
  <c r="K25" i="4" s="1"/>
  <c r="J24" i="4"/>
  <c r="H24" i="4"/>
  <c r="K24" i="4" s="1"/>
  <c r="J19" i="4"/>
  <c r="K19" i="4" s="1"/>
  <c r="G19" i="4"/>
  <c r="J18" i="4"/>
  <c r="K18" i="4" s="1"/>
  <c r="G18" i="4"/>
  <c r="J17" i="4"/>
  <c r="K17" i="4" s="1"/>
  <c r="G17" i="4"/>
  <c r="J16" i="4"/>
  <c r="K16" i="4" s="1"/>
  <c r="G16" i="4"/>
  <c r="J15" i="4"/>
  <c r="K15" i="4" s="1"/>
  <c r="G15" i="4"/>
  <c r="J14" i="4"/>
  <c r="K14" i="4" s="1"/>
  <c r="G14" i="4"/>
  <c r="J13" i="4"/>
  <c r="K13" i="4" s="1"/>
  <c r="G13" i="4"/>
  <c r="K12" i="4"/>
  <c r="J12" i="4"/>
  <c r="G12" i="4"/>
  <c r="K11" i="4"/>
  <c r="J11" i="4"/>
  <c r="G11" i="4"/>
  <c r="AB52" i="1"/>
  <c r="C54" i="1"/>
  <c r="C53" i="1"/>
  <c r="D54" i="4" l="1"/>
  <c r="D63" i="4" s="1"/>
  <c r="D66" i="4" l="1"/>
  <c r="M21" i="5" s="1"/>
  <c r="G2" i="6"/>
  <c r="M20" i="5"/>
  <c r="T192" i="1"/>
  <c r="O11" i="2"/>
  <c r="O12" i="2"/>
  <c r="BG27" i="1"/>
  <c r="B5" i="5" s="1"/>
  <c r="H2" i="6" l="1"/>
  <c r="CZ11" i="3"/>
  <c r="DA11" i="3"/>
  <c r="Q4" i="2" l="1"/>
  <c r="T4" i="2"/>
  <c r="Y90" i="1" l="1"/>
  <c r="Y91" i="1" l="1"/>
  <c r="BU11" i="3"/>
  <c r="BT11" i="3"/>
  <c r="BS11" i="3"/>
  <c r="BF11" i="3" l="1"/>
  <c r="BE11" i="3" l="1"/>
  <c r="BG11" i="3"/>
  <c r="FI13" i="3" l="1"/>
  <c r="BC13" i="3" l="1"/>
  <c r="D61" i="1" l="1"/>
  <c r="CO11" i="3" l="1"/>
  <c r="DK11" i="3" l="1"/>
  <c r="DJ11" i="3"/>
  <c r="DJ13" i="3" s="1"/>
  <c r="DI11" i="3"/>
  <c r="DH11" i="3"/>
  <c r="DH13" i="3" s="1"/>
  <c r="DG11" i="3"/>
  <c r="DF11" i="3"/>
  <c r="DF13" i="3" s="1"/>
  <c r="DE11" i="3"/>
  <c r="DD11" i="3"/>
  <c r="DD13" i="3" s="1"/>
  <c r="DC11" i="3"/>
  <c r="DB11" i="3"/>
  <c r="CR11" i="3" l="1"/>
  <c r="CQ11" i="3"/>
  <c r="CP11" i="3"/>
  <c r="CN11" i="3"/>
  <c r="CM11" i="3"/>
  <c r="CI11" i="3"/>
  <c r="CG11" i="3"/>
  <c r="CE11" i="3"/>
  <c r="CC11" i="3"/>
  <c r="CA11" i="3"/>
  <c r="BY11" i="3"/>
  <c r="BW11" i="3"/>
  <c r="BW13" i="3" s="1"/>
  <c r="BR11" i="3" l="1"/>
  <c r="BG13" i="3" l="1"/>
  <c r="BH11" i="3"/>
  <c r="BE13" i="3"/>
  <c r="N11" i="3"/>
  <c r="M11" i="3"/>
  <c r="L11" i="3"/>
  <c r="K11" i="3"/>
  <c r="K13" i="3" s="1"/>
  <c r="J11" i="3"/>
  <c r="I11" i="3"/>
  <c r="GM13" i="3"/>
  <c r="GL13" i="3"/>
  <c r="GI13" i="3"/>
  <c r="GH13" i="3"/>
  <c r="GG13" i="3"/>
  <c r="GC13" i="3"/>
  <c r="GB13" i="3"/>
  <c r="GA13" i="3"/>
  <c r="FW13" i="3"/>
  <c r="FV13" i="3"/>
  <c r="FR13" i="3"/>
  <c r="FQ13" i="3"/>
  <c r="FP13" i="3"/>
  <c r="FO13" i="3"/>
  <c r="FN13" i="3"/>
  <c r="FK13" i="3"/>
  <c r="FJ13" i="3"/>
  <c r="FH13" i="3"/>
  <c r="FG13" i="3"/>
  <c r="FC13" i="3"/>
  <c r="FB13" i="3"/>
  <c r="FA13" i="3"/>
  <c r="EZ13" i="3"/>
  <c r="EY13" i="3"/>
  <c r="EX13" i="3"/>
  <c r="EW13" i="3"/>
  <c r="ES13" i="3"/>
  <c r="ER13" i="3"/>
  <c r="EN13" i="3"/>
  <c r="EM13" i="3"/>
  <c r="EH13" i="3"/>
  <c r="EE13" i="3"/>
  <c r="ED13" i="3"/>
  <c r="DZ13" i="3"/>
  <c r="DY13" i="3"/>
  <c r="DU13" i="3"/>
  <c r="DT13" i="3"/>
  <c r="DP13" i="3"/>
  <c r="DO13" i="3"/>
  <c r="DN13" i="3"/>
  <c r="DB13" i="3"/>
  <c r="CO13" i="3"/>
  <c r="BU13" i="3"/>
  <c r="BT13" i="3"/>
  <c r="BS13" i="3"/>
  <c r="BR13" i="3"/>
  <c r="BB13" i="3"/>
  <c r="BA13" i="3"/>
  <c r="DM13" i="3"/>
  <c r="G13" i="3"/>
  <c r="D13" i="3"/>
  <c r="GF11" i="3"/>
  <c r="GF13" i="3" s="1"/>
  <c r="FZ11" i="3"/>
  <c r="FZ13" i="3" s="1"/>
  <c r="FU11" i="3"/>
  <c r="FU13" i="3" s="1"/>
  <c r="FS11" i="3"/>
  <c r="FD11" i="3"/>
  <c r="EV11" i="3" s="1"/>
  <c r="EV13" i="3" s="1"/>
  <c r="EQ11" i="3"/>
  <c r="EQ13" i="3" s="1"/>
  <c r="EL11" i="3"/>
  <c r="EL13" i="3" s="1"/>
  <c r="EG11" i="3"/>
  <c r="EG13" i="3" s="1"/>
  <c r="EC11" i="3"/>
  <c r="EC13" i="3" s="1"/>
  <c r="DX11" i="3"/>
  <c r="DX13" i="3" s="1"/>
  <c r="DS11" i="3"/>
  <c r="DS13" i="3" s="1"/>
  <c r="DQ11" i="3"/>
  <c r="DV11" i="3" s="1"/>
  <c r="DV13" i="3" s="1"/>
  <c r="CQ13" i="3"/>
  <c r="CP13" i="3"/>
  <c r="CM13" i="3"/>
  <c r="AX13" i="3"/>
  <c r="AW13" i="3"/>
  <c r="AV13" i="3"/>
  <c r="AU13" i="3"/>
  <c r="AT13" i="3"/>
  <c r="AS13" i="3"/>
  <c r="AR13" i="3"/>
  <c r="AP13" i="3"/>
  <c r="AO13" i="3"/>
  <c r="AN13" i="3"/>
  <c r="AE13" i="3"/>
  <c r="AD13" i="3"/>
  <c r="V13" i="3"/>
  <c r="S13" i="3"/>
  <c r="P13" i="3"/>
  <c r="O13" i="3"/>
  <c r="E11" i="3"/>
  <c r="E13" i="3" s="1"/>
  <c r="B11" i="3"/>
  <c r="B13" i="3" s="1"/>
  <c r="GU10" i="3"/>
  <c r="GT10" i="3"/>
  <c r="GN10" i="3"/>
  <c r="GF10" i="3"/>
  <c r="FZ10" i="3"/>
  <c r="FU10" i="3"/>
  <c r="FS10" i="3"/>
  <c r="FL10" i="3"/>
  <c r="FD10" i="3"/>
  <c r="FE10" i="3" s="1"/>
  <c r="EQ10" i="3"/>
  <c r="EL10" i="3"/>
  <c r="EG10" i="3"/>
  <c r="EC10" i="3"/>
  <c r="DX10" i="3"/>
  <c r="DS10" i="3"/>
  <c r="DQ10" i="3"/>
  <c r="EA10" i="3" s="1"/>
  <c r="BX10" i="3"/>
  <c r="BR10" i="3"/>
  <c r="BM10" i="3"/>
  <c r="BI10" i="3"/>
  <c r="BH10" i="3"/>
  <c r="FT10" i="3" s="1"/>
  <c r="BD10" i="3"/>
  <c r="AY10" i="3"/>
  <c r="AZ10" i="3" s="1"/>
  <c r="AM10" i="3"/>
  <c r="AI10" i="3"/>
  <c r="AE10" i="3"/>
  <c r="AD10" i="3"/>
  <c r="AB10" i="3"/>
  <c r="U10" i="3"/>
  <c r="R10" i="3"/>
  <c r="Q10" i="3"/>
  <c r="AA10" i="3" s="1"/>
  <c r="E10" i="3"/>
  <c r="B10" i="3"/>
  <c r="GN9" i="3"/>
  <c r="GF9" i="3"/>
  <c r="FZ9" i="3"/>
  <c r="FU9" i="3"/>
  <c r="FS9" i="3"/>
  <c r="FD9" i="3"/>
  <c r="FE9" i="3" s="1"/>
  <c r="EQ9" i="3"/>
  <c r="EL9" i="3"/>
  <c r="EG9" i="3"/>
  <c r="EC9" i="3"/>
  <c r="DX9" i="3"/>
  <c r="DS9" i="3"/>
  <c r="DQ9" i="3"/>
  <c r="BX9" i="3"/>
  <c r="BR9" i="3"/>
  <c r="BM9" i="3"/>
  <c r="BI9" i="3"/>
  <c r="BH9" i="3"/>
  <c r="AY9" i="3"/>
  <c r="AZ9" i="3" s="1"/>
  <c r="AM9" i="3"/>
  <c r="AI9" i="3"/>
  <c r="AE9" i="3"/>
  <c r="AD9" i="3"/>
  <c r="AB9" i="3"/>
  <c r="U9" i="3"/>
  <c r="R9" i="3"/>
  <c r="Q9" i="3"/>
  <c r="T9" i="3" s="1"/>
  <c r="E9" i="3"/>
  <c r="B9" i="3"/>
  <c r="GU8" i="3"/>
  <c r="GT8" i="3"/>
  <c r="GN8" i="3"/>
  <c r="GF8" i="3"/>
  <c r="FZ8" i="3"/>
  <c r="FU8" i="3"/>
  <c r="FS8" i="3"/>
  <c r="FL8" i="3"/>
  <c r="FD8" i="3"/>
  <c r="FE8" i="3" s="1"/>
  <c r="EQ8" i="3"/>
  <c r="EL8" i="3"/>
  <c r="EG8" i="3"/>
  <c r="EC8" i="3"/>
  <c r="DX8" i="3"/>
  <c r="DS8" i="3"/>
  <c r="DQ8" i="3"/>
  <c r="EA8" i="3" s="1"/>
  <c r="BX8" i="3"/>
  <c r="BR8" i="3"/>
  <c r="BM8" i="3"/>
  <c r="BI8" i="3"/>
  <c r="BH8" i="3"/>
  <c r="AY8" i="3"/>
  <c r="AQ8" i="3" s="1"/>
  <c r="AM8" i="3"/>
  <c r="AI8" i="3"/>
  <c r="AE8" i="3"/>
  <c r="AD8" i="3"/>
  <c r="AB8" i="3"/>
  <c r="U8" i="3"/>
  <c r="R8" i="3"/>
  <c r="Q8" i="3"/>
  <c r="T8" i="3" s="1"/>
  <c r="E8" i="3"/>
  <c r="B8" i="3"/>
  <c r="GF7" i="3"/>
  <c r="FZ7" i="3"/>
  <c r="FU7" i="3"/>
  <c r="FS7" i="3"/>
  <c r="FL7" i="3"/>
  <c r="FD7" i="3"/>
  <c r="EV7" i="3" s="1"/>
  <c r="EQ7" i="3"/>
  <c r="EL7" i="3"/>
  <c r="EG7" i="3"/>
  <c r="EC7" i="3"/>
  <c r="DX7" i="3"/>
  <c r="DS7" i="3"/>
  <c r="DQ7" i="3"/>
  <c r="EF7" i="3" s="1"/>
  <c r="BR7" i="3"/>
  <c r="BM7" i="3"/>
  <c r="BI7" i="3"/>
  <c r="BH7" i="3"/>
  <c r="BD7" i="3"/>
  <c r="AY7" i="3"/>
  <c r="AZ7" i="3" s="1"/>
  <c r="AM7" i="3"/>
  <c r="AI7" i="3"/>
  <c r="AE7" i="3"/>
  <c r="AD7" i="3"/>
  <c r="AB7" i="3"/>
  <c r="U7" i="3"/>
  <c r="R7" i="3"/>
  <c r="Q7" i="3"/>
  <c r="T7" i="3" s="1"/>
  <c r="E7" i="3"/>
  <c r="B7" i="3"/>
  <c r="GN6" i="3"/>
  <c r="GF6" i="3"/>
  <c r="FZ6" i="3"/>
  <c r="FU6" i="3"/>
  <c r="FS6" i="3"/>
  <c r="FD6" i="3"/>
  <c r="EV6" i="3" s="1"/>
  <c r="EQ6" i="3"/>
  <c r="EL6" i="3"/>
  <c r="EG6" i="3"/>
  <c r="EC6" i="3"/>
  <c r="DX6" i="3"/>
  <c r="DS6" i="3"/>
  <c r="DQ6" i="3"/>
  <c r="EI6" i="3" s="1"/>
  <c r="BX6" i="3"/>
  <c r="BR6" i="3"/>
  <c r="BM6" i="3"/>
  <c r="BI6" i="3"/>
  <c r="BH6" i="3"/>
  <c r="AY6" i="3"/>
  <c r="AZ6" i="3" s="1"/>
  <c r="AQ6" i="3"/>
  <c r="AM6" i="3"/>
  <c r="AI6" i="3"/>
  <c r="AE6" i="3"/>
  <c r="AD6" i="3"/>
  <c r="AB6" i="3"/>
  <c r="U6" i="3"/>
  <c r="R6" i="3"/>
  <c r="Q6" i="3"/>
  <c r="AA6" i="3" s="1"/>
  <c r="E6" i="3"/>
  <c r="B6" i="3"/>
  <c r="EV10" i="3" l="1"/>
  <c r="GJ7" i="3"/>
  <c r="FT9" i="3"/>
  <c r="DV7" i="3"/>
  <c r="BV6" i="3"/>
  <c r="AA9" i="3"/>
  <c r="AQ9" i="3"/>
  <c r="GD6" i="3"/>
  <c r="ET7" i="3"/>
  <c r="DR7" i="3"/>
  <c r="EA7" i="3"/>
  <c r="GD11" i="3"/>
  <c r="GD13" i="3" s="1"/>
  <c r="DW7" i="3"/>
  <c r="FX9" i="3"/>
  <c r="GD10" i="3"/>
  <c r="FS13" i="3"/>
  <c r="FX11" i="3"/>
  <c r="BH13" i="3"/>
  <c r="ET8" i="3"/>
  <c r="FT6" i="3"/>
  <c r="FX6" i="3"/>
  <c r="FE7" i="3"/>
  <c r="FF7" i="3" s="1"/>
  <c r="DV8" i="3"/>
  <c r="DW8" i="3" s="1"/>
  <c r="BQ9" i="3"/>
  <c r="CL10" i="3"/>
  <c r="BL6" i="3"/>
  <c r="FY6" i="3" s="1"/>
  <c r="BV9" i="3"/>
  <c r="GD9" i="3"/>
  <c r="BQ6" i="3"/>
  <c r="GJ6" i="3"/>
  <c r="GK6" i="3" s="1"/>
  <c r="EV9" i="3"/>
  <c r="GJ9" i="3"/>
  <c r="GK9" i="3" s="1"/>
  <c r="EO9" i="3"/>
  <c r="BL9" i="3"/>
  <c r="FY9" i="3" s="1"/>
  <c r="EI7" i="3"/>
  <c r="EJ7" i="3" s="1"/>
  <c r="EI8" i="3"/>
  <c r="FF9" i="3"/>
  <c r="BV10" i="3"/>
  <c r="R13" i="3"/>
  <c r="AF13" i="3"/>
  <c r="BF13" i="3"/>
  <c r="AZ8" i="3"/>
  <c r="FF8" i="3" s="1"/>
  <c r="DR10" i="3"/>
  <c r="FM10" i="3"/>
  <c r="AA7" i="3"/>
  <c r="FT7" i="3"/>
  <c r="BQ8" i="3"/>
  <c r="DV9" i="3"/>
  <c r="DW9" i="3" s="1"/>
  <c r="FX10" i="3"/>
  <c r="GJ11" i="3"/>
  <c r="GJ13" i="3" s="1"/>
  <c r="EO11" i="3"/>
  <c r="EO13" i="3" s="1"/>
  <c r="BL10" i="3"/>
  <c r="FY10" i="3" s="1"/>
  <c r="DV10" i="3"/>
  <c r="EO10" i="3"/>
  <c r="FE11" i="3"/>
  <c r="FE13" i="3" s="1"/>
  <c r="EI10" i="3"/>
  <c r="BL7" i="3"/>
  <c r="FY7" i="3" s="1"/>
  <c r="AL8" i="3"/>
  <c r="FX8" i="3"/>
  <c r="AG9" i="3"/>
  <c r="AH9" i="3" s="1"/>
  <c r="ET10" i="3"/>
  <c r="EA11" i="3"/>
  <c r="EA13" i="3" s="1"/>
  <c r="AG7" i="3"/>
  <c r="AH7" i="3" s="1"/>
  <c r="AL7" i="3"/>
  <c r="BV7" i="3"/>
  <c r="AP8" i="3"/>
  <c r="AL9" i="3"/>
  <c r="EI9" i="3"/>
  <c r="AL10" i="3"/>
  <c r="GO10" i="3"/>
  <c r="EF10" i="3"/>
  <c r="AP7" i="3"/>
  <c r="FX7" i="3"/>
  <c r="EO8" i="3"/>
  <c r="GJ8" i="3"/>
  <c r="GV10" i="3"/>
  <c r="EI11" i="3"/>
  <c r="EI13" i="3" s="1"/>
  <c r="GO6" i="3"/>
  <c r="GV8" i="3"/>
  <c r="GO8" i="3"/>
  <c r="GO9" i="3"/>
  <c r="FM7" i="3"/>
  <c r="T13" i="3"/>
  <c r="DW11" i="3"/>
  <c r="DW13" i="3" s="1"/>
  <c r="FF10" i="3"/>
  <c r="EB10" i="3"/>
  <c r="EA6" i="3"/>
  <c r="EB6" i="3" s="1"/>
  <c r="FE6" i="3"/>
  <c r="FF6" i="3" s="1"/>
  <c r="GD8" i="3"/>
  <c r="DR9" i="3"/>
  <c r="EF9" i="3"/>
  <c r="EJ9" i="3" s="1"/>
  <c r="AP10" i="3"/>
  <c r="DR11" i="3"/>
  <c r="EF11" i="3"/>
  <c r="FD13" i="3"/>
  <c r="AG6" i="3"/>
  <c r="AH6" i="3" s="1"/>
  <c r="EO7" i="3"/>
  <c r="T6" i="3"/>
  <c r="EO6" i="3"/>
  <c r="GD7" i="3"/>
  <c r="AA8" i="3"/>
  <c r="EB8" i="3" s="1"/>
  <c r="BL8" i="3"/>
  <c r="FY8" i="3" s="1"/>
  <c r="DR8" i="3"/>
  <c r="EF8" i="3"/>
  <c r="AP9" i="3"/>
  <c r="ET9" i="3"/>
  <c r="AQ10" i="3"/>
  <c r="BQ10" i="3"/>
  <c r="GJ10" i="3"/>
  <c r="AB13" i="3"/>
  <c r="ET11" i="3"/>
  <c r="ET13" i="3" s="1"/>
  <c r="Q13" i="3"/>
  <c r="AC13" i="3"/>
  <c r="DQ13" i="3"/>
  <c r="DR6" i="3"/>
  <c r="EF6" i="3"/>
  <c r="EJ6" i="3" s="1"/>
  <c r="FT8" i="3"/>
  <c r="AP6" i="3"/>
  <c r="ET6" i="3"/>
  <c r="AQ7" i="3"/>
  <c r="BQ7" i="3"/>
  <c r="GE7" i="3" s="1"/>
  <c r="EV8" i="3"/>
  <c r="AG10" i="3"/>
  <c r="AH10" i="3" s="1"/>
  <c r="AM13" i="3"/>
  <c r="DV6" i="3"/>
  <c r="BV8" i="3"/>
  <c r="GK8" i="3" s="1"/>
  <c r="EA9" i="3"/>
  <c r="EB9" i="3" s="1"/>
  <c r="T10" i="3"/>
  <c r="AL6" i="3"/>
  <c r="AG8" i="3"/>
  <c r="AH8" i="3" s="1"/>
  <c r="U13" i="3"/>
  <c r="GK7" i="3" l="1"/>
  <c r="GE6" i="3"/>
  <c r="EU7" i="3"/>
  <c r="EP9" i="3"/>
  <c r="EK7" i="3"/>
  <c r="GE9" i="3"/>
  <c r="EU6" i="3"/>
  <c r="EJ10" i="3"/>
  <c r="EK10" i="3" s="1"/>
  <c r="EU8" i="3"/>
  <c r="GE10" i="3"/>
  <c r="EB7" i="3"/>
  <c r="GN7" i="3"/>
  <c r="GU7" i="3" s="1"/>
  <c r="EJ8" i="3"/>
  <c r="EK8" i="3" s="1"/>
  <c r="EP7" i="3"/>
  <c r="GK10" i="3"/>
  <c r="EP6" i="3"/>
  <c r="FT11" i="3"/>
  <c r="FT13" i="3" s="1"/>
  <c r="EK9" i="3"/>
  <c r="BD9" i="3"/>
  <c r="CL9" i="3" s="1"/>
  <c r="EU10" i="3"/>
  <c r="BX7" i="3"/>
  <c r="CL7" i="3" s="1"/>
  <c r="DW10" i="3"/>
  <c r="EP8" i="3"/>
  <c r="GE8" i="3"/>
  <c r="EP10" i="3"/>
  <c r="EU9" i="3"/>
  <c r="EU11" i="3"/>
  <c r="EU13" i="3" s="1"/>
  <c r="EK6" i="3"/>
  <c r="DW6" i="3"/>
  <c r="EJ11" i="3"/>
  <c r="EJ13" i="3" s="1"/>
  <c r="EF13" i="3"/>
  <c r="DR13" i="3"/>
  <c r="FX13" i="3"/>
  <c r="AY13" i="3"/>
  <c r="AQ13" i="3"/>
  <c r="BD6" i="3"/>
  <c r="AG13" i="3"/>
  <c r="AA13" i="3"/>
  <c r="EB11" i="3"/>
  <c r="EB13" i="3" s="1"/>
  <c r="BD8" i="3"/>
  <c r="GT9" i="3" l="1"/>
  <c r="FL9" i="3"/>
  <c r="GU9" i="3" s="1"/>
  <c r="GV9" i="3" s="1"/>
  <c r="FL6" i="3"/>
  <c r="GU6" i="3" s="1"/>
  <c r="GO7" i="3"/>
  <c r="GT7" i="3"/>
  <c r="GV7" i="3" s="1"/>
  <c r="FM8" i="3"/>
  <c r="CL8" i="3"/>
  <c r="EK11" i="3"/>
  <c r="AH13" i="3"/>
  <c r="FF11" i="3"/>
  <c r="FF13" i="3" s="1"/>
  <c r="AZ13" i="3"/>
  <c r="GT6" i="3"/>
  <c r="CL6" i="3"/>
  <c r="FM6" i="3" l="1"/>
  <c r="FM9" i="3"/>
  <c r="GV6" i="3"/>
  <c r="BD13" i="3"/>
  <c r="EK13" i="3"/>
  <c r="FL11" i="3"/>
  <c r="FL13" i="3" l="1"/>
  <c r="FM11" i="3"/>
  <c r="FM13" i="3" s="1"/>
  <c r="AK13" i="3" l="1"/>
  <c r="AL13" i="3" l="1"/>
  <c r="EP11" i="3"/>
  <c r="EP13" i="3" s="1"/>
  <c r="AJ13" i="3"/>
  <c r="AI13" i="3"/>
  <c r="W4" i="2" l="1"/>
  <c r="P8" i="2"/>
  <c r="O9" i="2"/>
  <c r="O10" i="2"/>
  <c r="AB9" i="1"/>
  <c r="AB11" i="1"/>
  <c r="AB12" i="1"/>
  <c r="AB13" i="1"/>
  <c r="AB15" i="1"/>
  <c r="AB31" i="1"/>
  <c r="B5" i="2"/>
  <c r="AB32" i="1"/>
  <c r="AB33" i="1"/>
  <c r="AB34" i="1"/>
  <c r="AB35" i="1"/>
  <c r="AB36" i="1"/>
  <c r="AB37" i="1"/>
  <c r="AB38" i="1"/>
  <c r="D39" i="1"/>
  <c r="Y39" i="1"/>
  <c r="AB41" i="1"/>
  <c r="AB42" i="1"/>
  <c r="AB43" i="1"/>
  <c r="AB46" i="1"/>
  <c r="AB47" i="1"/>
  <c r="AB48" i="1"/>
  <c r="E49" i="1"/>
  <c r="E74" i="1"/>
  <c r="AB80" i="1"/>
  <c r="B84" i="1"/>
  <c r="U88" i="1"/>
  <c r="AC158" i="1"/>
  <c r="AB163" i="1"/>
  <c r="Y164" i="1"/>
  <c r="AC166" i="1"/>
  <c r="AB169" i="1"/>
  <c r="AB170" i="1"/>
  <c r="Y174" i="1"/>
  <c r="AC175" i="1"/>
  <c r="Y181" i="1"/>
  <c r="AB181" i="1"/>
  <c r="C204" i="1"/>
  <c r="H24" i="2" s="1"/>
  <c r="AB219" i="1"/>
  <c r="AB220" i="1"/>
  <c r="AB221" i="1"/>
  <c r="AB222" i="1"/>
  <c r="AB223" i="1"/>
  <c r="AB84" i="1" l="1"/>
  <c r="Y92" i="1"/>
  <c r="Y104" i="1" l="1"/>
  <c r="BL11" i="3" s="1"/>
  <c r="Y121" i="1"/>
  <c r="BP11" i="3" s="1"/>
  <c r="Y151" i="1"/>
  <c r="AB92" i="1"/>
  <c r="T191" i="1" l="1"/>
  <c r="K187" i="1" s="1"/>
  <c r="M21" i="2" s="1"/>
  <c r="BV11" i="3"/>
  <c r="BV13" i="3" s="1"/>
  <c r="AB141" i="1"/>
  <c r="BQ11" i="3"/>
  <c r="BQ13" i="3" s="1"/>
  <c r="BJ11" i="3"/>
  <c r="BJ13" i="3" s="1"/>
  <c r="BK11" i="3"/>
  <c r="BK13" i="3" s="1"/>
  <c r="AB142" i="1"/>
  <c r="AB144" i="1"/>
  <c r="BP13" i="3"/>
  <c r="AB143" i="1"/>
  <c r="BO11" i="3"/>
  <c r="BO13" i="3" s="1"/>
  <c r="AB140" i="1"/>
  <c r="BN11" i="3"/>
  <c r="AB187" i="1"/>
  <c r="BN13" i="3" l="1"/>
  <c r="BM11" i="3"/>
  <c r="BM13" i="3" s="1"/>
  <c r="GK11" i="3"/>
  <c r="GK13" i="3" s="1"/>
  <c r="BX11" i="3"/>
  <c r="GT11" i="3" s="1"/>
  <c r="GE11" i="3"/>
  <c r="GE13" i="3" s="1"/>
  <c r="BL13" i="3"/>
  <c r="FY11" i="3"/>
  <c r="BI11" i="3"/>
  <c r="BI13" i="3" s="1"/>
  <c r="M20" i="2"/>
  <c r="GN11" i="3" l="1"/>
  <c r="GU11" i="3" s="1"/>
  <c r="GU13" i="3" s="1"/>
  <c r="BX13" i="3"/>
  <c r="CL11" i="3"/>
  <c r="CL13" i="3" s="1"/>
  <c r="FY13" i="3"/>
  <c r="GT13" i="3"/>
  <c r="GO11" i="3" l="1"/>
  <c r="GO13" i="3" s="1"/>
  <c r="GN13" i="3"/>
  <c r="GV11" i="3"/>
  <c r="GV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J219" authorId="0" shapeId="0" xr:uid="{00000000-0006-0000-0000-000001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<sst xmlns="http://schemas.openxmlformats.org/spreadsheetml/2006/main" count="792" uniqueCount="476">
  <si>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</si>
  <si>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</si>
  <si>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</si>
  <si>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</si>
  <si>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</si>
  <si>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</si>
  <si>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</si>
  <si>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</si>
  <si>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</si>
  <si>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とっとり住まいる支援事業建設等計画（報告）書【改修用】</t>
    <rPh sb="12" eb="14">
      <t>ケンセツ</t>
    </rPh>
    <rPh sb="14" eb="15">
      <t>ナド</t>
    </rPh>
    <rPh sb="18" eb="20">
      <t>ホウコク</t>
    </rPh>
    <rPh sb="23" eb="25">
      <t>カイシュウ</t>
    </rPh>
    <phoneticPr fontId="2"/>
  </si>
  <si>
    <t>とっとり住まいる支援事業補助金　交付申請書</t>
    <rPh sb="4" eb="5">
      <t>ス</t>
    </rPh>
    <rPh sb="8" eb="15">
      <t>シエンジギョウホジョキン</t>
    </rPh>
    <rPh sb="16" eb="18">
      <t>コウフ</t>
    </rPh>
    <rPh sb="18" eb="21">
      <t>シンセイショ</t>
    </rPh>
    <phoneticPr fontId="2"/>
  </si>
  <si>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2"/>
  </si>
  <si>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</si>
  <si>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</si>
  <si>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</si>
  <si>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</si>
  <si>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</si>
  <si>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</si>
  <si>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</si>
  <si>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</si>
  <si>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</si>
  <si>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</si>
  <si>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</si>
  <si>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</si>
  <si>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</si>
  <si>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</si>
  <si>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</si>
  <si>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</si>
  <si>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</si>
  <si>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</si>
  <si>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</si>
  <si>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</si>
  <si>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</si>
  <si>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</si>
  <si>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</si>
  <si>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</si>
  <si>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</si>
  <si>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</si>
  <si>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</si>
  <si>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</si>
  <si>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</si>
  <si>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</si>
  <si>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</si>
  <si>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</si>
  <si>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</si>
  <si>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</si>
  <si>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</si>
  <si>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</si>
  <si>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</si>
  <si>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</si>
  <si>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</si>
  <si>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</si>
  <si>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</si>
  <si>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</si>
  <si>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</si>
  <si>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</si>
  <si>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</si>
  <si>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</si>
  <si>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</si>
  <si>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</si>
  <si>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</si>
  <si>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</si>
  <si>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</si>
  <si>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</si>
  <si>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</si>
  <si>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</si>
  <si>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</si>
  <si>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</si>
  <si>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</si>
  <si>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</si>
  <si>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</si>
  <si>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t>見付面積の算出過程及び結果並びに使用場所がわかる立面図、展開図等の書類</t>
  </si>
  <si>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</si>
  <si>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</si>
  <si>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</si>
  <si>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</si>
  <si>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</si>
  <si>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</si>
  <si>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</si>
  <si>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</si>
  <si>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</si>
  <si>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</si>
  <si>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</si>
  <si>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</si>
  <si>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</si>
  <si>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</si>
  <si>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</si>
  <si>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</si>
  <si>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</si>
  <si>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</si>
  <si>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</si>
  <si>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</si>
  <si>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</si>
  <si>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</si>
  <si>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</si>
  <si>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</si>
  <si>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</si>
  <si>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</si>
  <si>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</si>
  <si>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</si>
  <si>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</si>
  <si>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</si>
  <si>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</si>
  <si>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</si>
  <si>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</si>
  <si>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</si>
  <si>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</si>
  <si>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</si>
  <si>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</si>
  <si>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</si>
  <si>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</si>
  <si>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</si>
  <si>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</si>
  <si>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</si>
  <si>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</si>
  <si>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</si>
  <si>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</si>
  <si>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</si>
  <si>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</si>
  <si>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</si>
  <si>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</si>
  <si>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</si>
  <si>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</si>
  <si>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</si>
  <si>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</si>
  <si>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琴浦町</t>
    <rPh sb="0" eb="3">
      <t>コトウラチョウ</t>
    </rPh>
    <phoneticPr fontId="2"/>
  </si>
  <si>
    <t>湯梨浜町</t>
    <rPh sb="0" eb="3">
      <t>ユリハマ</t>
    </rPh>
    <rPh sb="3" eb="4">
      <t>チョウ</t>
    </rPh>
    <phoneticPr fontId="2"/>
  </si>
  <si>
    <t>〒</t>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</si>
  <si>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</si>
  <si>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</si>
  <si>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</si>
  <si>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</si>
  <si>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</si>
  <si>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</si>
  <si>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　私は、とっとり住まいる支援事業補助金交付要綱を熟読し、交付申請（実績報告）内容について下記のとおり確認しました。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4" eb="26">
      <t>ジュクドク</t>
    </rPh>
    <rPh sb="28" eb="30">
      <t>コウフ</t>
    </rPh>
    <rPh sb="30" eb="32">
      <t>シンセイ</t>
    </rPh>
    <rPh sb="33" eb="35">
      <t>ジッセキ</t>
    </rPh>
    <rPh sb="35" eb="37">
      <t>ホウコク</t>
    </rPh>
    <rPh sb="38" eb="40">
      <t>ナイヨウ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</si>
  <si>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</si>
  <si>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</si>
  <si>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</si>
  <si>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</si>
  <si>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</si>
  <si>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</si>
  <si>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</si>
  <si>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←添付書類はチェックシートに連動して表示します。</t>
    <rPh sb="1" eb="3">
      <t>テンプ</t>
    </rPh>
    <rPh sb="3" eb="5">
      <t>ショルイ</t>
    </rPh>
    <rPh sb="14" eb="16">
      <t>レンドウ</t>
    </rPh>
    <rPh sb="18" eb="20">
      <t>ヒョウジ</t>
    </rPh>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</si>
  <si>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</si>
  <si>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</si>
  <si>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</si>
  <si>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</si>
  <si>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</si>
  <si>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</si>
  <si>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</si>
  <si>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</si>
  <si>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</si>
  <si>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</si>
  <si>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</si>
  <si>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</si>
  <si>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</si>
  <si>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</si>
  <si>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様式第１号（第５条関係）</t>
    <rPh sb="0" eb="2">
      <t>ヨウシキ</t>
    </rPh>
    <rPh sb="2" eb="3">
      <t>ダイ</t>
    </rPh>
    <rPh sb="4" eb="5">
      <t>ゴウ</t>
    </rPh>
    <rPh sb="6" eb="7">
      <t>ダイ</t>
    </rPh>
    <rPh sb="8" eb="9">
      <t>ジョウ</t>
    </rPh>
    <rPh sb="9" eb="11">
      <t>カンケイ</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</si>
  <si>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</si>
  <si>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</si>
  <si>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</si>
  <si>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</si>
  <si>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27"/>
  </si>
  <si>
    <t>区分</t>
    <rPh sb="0" eb="2">
      <t>クブン</t>
    </rPh>
    <phoneticPr fontId="27"/>
  </si>
  <si>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</si>
  <si>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</si>
  <si>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</si>
  <si>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</si>
  <si>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27"/>
  </si>
  <si>
    <t>建設地</t>
    <rPh sb="0" eb="3">
      <t>ケンセツチ</t>
    </rPh>
    <phoneticPr fontId="27"/>
  </si>
  <si>
    <t>新築助成（予定）</t>
    <rPh sb="0" eb="2">
      <t>シンチク</t>
    </rPh>
    <rPh sb="2" eb="4">
      <t>ジョセイ</t>
    </rPh>
    <rPh sb="5" eb="7">
      <t>ヨテイ</t>
    </rPh>
    <phoneticPr fontId="27"/>
  </si>
  <si>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</si>
  <si>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</si>
  <si>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27"/>
  </si>
  <si>
    <t>交付（登録）決定</t>
    <rPh sb="0" eb="2">
      <t>コウフ</t>
    </rPh>
    <rPh sb="3" eb="5">
      <t>トウロク</t>
    </rPh>
    <rPh sb="6" eb="8">
      <t>ケッテイ</t>
    </rPh>
    <phoneticPr fontId="27"/>
  </si>
  <si>
    <t>業者名</t>
    <rPh sb="0" eb="2">
      <t>ギョウシャ</t>
    </rPh>
    <rPh sb="2" eb="3">
      <t>メイ</t>
    </rPh>
    <phoneticPr fontId="27"/>
  </si>
  <si>
    <t>プレカット事業者名</t>
    <rPh sb="5" eb="8">
      <t>ジギョウシャ</t>
    </rPh>
    <rPh sb="8" eb="9">
      <t>メイ</t>
    </rPh>
    <phoneticPr fontId="2"/>
  </si>
  <si>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</si>
  <si>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</si>
  <si>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</si>
  <si>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</si>
  <si>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</si>
  <si>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</si>
  <si>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新築助成（実績）</t>
    <rPh sb="0" eb="2">
      <t>シンチク</t>
    </rPh>
    <rPh sb="2" eb="4">
      <t>ジョセイ</t>
    </rPh>
    <rPh sb="5" eb="7">
      <t>ジッセキ</t>
    </rPh>
    <phoneticPr fontId="27"/>
  </si>
  <si>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</si>
  <si>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</si>
  <si>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27"/>
  </si>
  <si>
    <t>郵便番号</t>
    <rPh sb="0" eb="4">
      <t>ユウビンバンゴウ</t>
    </rPh>
    <phoneticPr fontId="31"/>
  </si>
  <si>
    <t>住所</t>
    <rPh sb="0" eb="2">
      <t>ジュウショ</t>
    </rPh>
    <phoneticPr fontId="31"/>
  </si>
  <si>
    <t>電話</t>
    <rPh sb="0" eb="2">
      <t>デンワ</t>
    </rPh>
    <phoneticPr fontId="27"/>
  </si>
  <si>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</si>
  <si>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27"/>
  </si>
  <si>
    <t>機械等級区分構造材</t>
    <rPh sb="0" eb="2">
      <t>キカイ</t>
    </rPh>
    <rPh sb="2" eb="4">
      <t>トウキュウ</t>
    </rPh>
    <rPh sb="4" eb="6">
      <t>クブン</t>
    </rPh>
    <rPh sb="6" eb="9">
      <t>コウゾウザイ</t>
    </rPh>
    <phoneticPr fontId="27"/>
  </si>
  <si>
    <t>県産ＣＬＴ材</t>
    <rPh sb="0" eb="2">
      <t>ケンサン</t>
    </rPh>
    <rPh sb="5" eb="6">
      <t>ザイ</t>
    </rPh>
    <phoneticPr fontId="27"/>
  </si>
  <si>
    <t>県産内外装材</t>
    <rPh sb="0" eb="2">
      <t>ケンサン</t>
    </rPh>
    <rPh sb="2" eb="5">
      <t>ナイガイソウ</t>
    </rPh>
    <rPh sb="5" eb="6">
      <t>ザイ</t>
    </rPh>
    <phoneticPr fontId="27"/>
  </si>
  <si>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</si>
  <si>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</si>
  <si>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27"/>
  </si>
  <si>
    <t>県産材</t>
    <rPh sb="0" eb="3">
      <t>ケンサンザイ</t>
    </rPh>
    <phoneticPr fontId="31"/>
  </si>
  <si>
    <t>伝統</t>
    <rPh sb="0" eb="2">
      <t>デントウ</t>
    </rPh>
    <phoneticPr fontId="2"/>
  </si>
  <si>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</si>
  <si>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27"/>
  </si>
  <si>
    <t>確定額
(千円)</t>
    <rPh sb="0" eb="2">
      <t>カクテイ</t>
    </rPh>
    <rPh sb="2" eb="3">
      <t>ガク</t>
    </rPh>
    <rPh sb="3" eb="4">
      <t>キンガク</t>
    </rPh>
    <rPh sb="5" eb="7">
      <t>センエン</t>
    </rPh>
    <phoneticPr fontId="31"/>
  </si>
  <si>
    <t>実績減</t>
    <rPh sb="0" eb="2">
      <t>ジッセキ</t>
    </rPh>
    <rPh sb="2" eb="3">
      <t>ゲン</t>
    </rPh>
    <phoneticPr fontId="2"/>
  </si>
  <si>
    <t>交付確定額
（改修）</t>
    <rPh sb="0" eb="2">
      <t>コウフ</t>
    </rPh>
    <rPh sb="2" eb="4">
      <t>カクテイ</t>
    </rPh>
    <rPh sb="4" eb="5">
      <t>ガク</t>
    </rPh>
    <rPh sb="7" eb="9">
      <t>カイシュウ</t>
    </rPh>
    <phoneticPr fontId="31"/>
  </si>
  <si>
    <t>自動表示</t>
    <rPh sb="0" eb="2">
      <t>ジドウ</t>
    </rPh>
    <rPh sb="2" eb="4">
      <t>ヒョウジ</t>
    </rPh>
    <phoneticPr fontId="2"/>
  </si>
  <si>
    <t>自動表示</t>
    <rPh sb="0" eb="2">
      <t>ジドウ</t>
    </rPh>
    <rPh sb="2" eb="4">
      <t>ヒョウジ</t>
    </rPh>
    <phoneticPr fontId="27"/>
  </si>
  <si>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</si>
  <si>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</si>
  <si>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</si>
  <si>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</si>
  <si>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</si>
  <si>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</si>
  <si>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</si>
  <si>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</si>
  <si>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</si>
  <si>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</si>
  <si>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</si>
  <si>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2"/>
  </si>
  <si>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</si>
  <si>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</si>
  <si>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</si>
  <si>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</si>
  <si>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</si>
  <si>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</si>
  <si>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</si>
  <si>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</si>
  <si>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</si>
  <si>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</si>
  <si>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</si>
  <si>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</si>
  <si>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</si>
  <si>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</si>
  <si>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</si>
  <si>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</si>
  <si>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</si>
  <si>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</si>
  <si>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</si>
  <si>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</si>
  <si>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游ゴシック"/>
        <family val="3"/>
        <charset val="128"/>
        <scheme val="minor"/>
      </rPr>
      <t>（選択式）</t>
    </r>
    <rPh sb="2" eb="3">
      <t>サイ</t>
    </rPh>
    <rPh sb="3" eb="5">
      <t>イカ</t>
    </rPh>
    <phoneticPr fontId="31"/>
  </si>
  <si>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1"/>
  </si>
  <si>
    <r>
      <t>近居（子育て世帯）</t>
    </r>
    <r>
      <rPr>
        <sz val="10"/>
        <color rgb="FFFF0000"/>
        <rFont val="游ゴシック"/>
        <family val="3"/>
        <charset val="128"/>
        <scheme val="minor"/>
      </rPr>
      <t>（選択式）</t>
    </r>
    <rPh sb="0" eb="2">
      <t>キンキョ</t>
    </rPh>
    <phoneticPr fontId="31"/>
  </si>
  <si>
    <r>
      <t>同居（子育て世帯）</t>
    </r>
    <r>
      <rPr>
        <sz val="10"/>
        <color rgb="FFFF0000"/>
        <rFont val="游ゴシック"/>
        <family val="3"/>
        <charset val="128"/>
        <scheme val="minor"/>
      </rPr>
      <t>（選択式）</t>
    </r>
    <rPh sb="0" eb="2">
      <t>ドウキョ</t>
    </rPh>
    <rPh sb="3" eb="5">
      <t>コソダ</t>
    </rPh>
    <rPh sb="6" eb="8">
      <t>セタイ</t>
    </rPh>
    <phoneticPr fontId="31"/>
  </si>
  <si>
    <r>
      <t>同居（親世帯）</t>
    </r>
    <r>
      <rPr>
        <sz val="10"/>
        <color rgb="FFFF0000"/>
        <rFont val="游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</si>
  <si>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</si>
  <si>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</si>
  <si>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</si>
  <si>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</si>
  <si>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27"/>
  </si>
  <si>
    <t>着工</t>
    <rPh sb="0" eb="2">
      <t>チャッコウ</t>
    </rPh>
    <phoneticPr fontId="27"/>
  </si>
  <si>
    <t>完成</t>
    <rPh sb="0" eb="2">
      <t>カンセイ</t>
    </rPh>
    <phoneticPr fontId="27"/>
  </si>
  <si>
    <t>日付</t>
    <rPh sb="0" eb="2">
      <t>ヒヅケ</t>
    </rPh>
    <phoneticPr fontId="27"/>
  </si>
  <si>
    <t>金額</t>
    <rPh sb="0" eb="2">
      <t>キンガク</t>
    </rPh>
    <phoneticPr fontId="27"/>
  </si>
  <si>
    <t>社名等</t>
    <rPh sb="0" eb="2">
      <t>シャメイ</t>
    </rPh>
    <rPh sb="2" eb="3">
      <t>トウ</t>
    </rPh>
    <phoneticPr fontId="31"/>
  </si>
  <si>
    <t>所在地</t>
    <rPh sb="0" eb="3">
      <t>ショザイチ</t>
    </rPh>
    <phoneticPr fontId="31"/>
  </si>
  <si>
    <t>（m2）</t>
  </si>
  <si>
    <t>（万円）</t>
    <rPh sb="1" eb="2">
      <t>マン</t>
    </rPh>
    <rPh sb="2" eb="3">
      <t>エン</t>
    </rPh>
    <phoneticPr fontId="31"/>
  </si>
  <si>
    <r>
      <t xml:space="preserve">要・不要
</t>
    </r>
    <r>
      <rPr>
        <sz val="10"/>
        <color rgb="FFFF0000"/>
        <rFont val="游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</si>
  <si>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</si>
  <si>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</si>
  <si>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</si>
  <si>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</si>
  <si>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</si>
  <si>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</si>
  <si>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</si>
  <si>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</si>
  <si>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</si>
  <si>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</si>
  <si>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</si>
  <si>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</si>
  <si>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</si>
  <si>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</si>
  <si>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</si>
  <si>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1"/>
  </si>
  <si>
    <r>
      <t>同居</t>
    </r>
    <r>
      <rPr>
        <sz val="10"/>
        <color rgb="FFFF0000"/>
        <rFont val="游ゴシック"/>
        <family val="3"/>
        <charset val="128"/>
        <scheme val="minor"/>
      </rPr>
      <t>（選択式）</t>
    </r>
    <rPh sb="0" eb="2">
      <t>ドウキョ</t>
    </rPh>
    <phoneticPr fontId="31"/>
  </si>
  <si>
    <r>
      <t>手刻み</t>
    </r>
    <r>
      <rPr>
        <sz val="10"/>
        <color rgb="FFFF0000"/>
        <rFont val="游ゴシック"/>
        <family val="3"/>
        <charset val="128"/>
        <scheme val="minor"/>
      </rPr>
      <t>（選択式）</t>
    </r>
    <rPh sb="0" eb="1">
      <t>テ</t>
    </rPh>
    <rPh sb="1" eb="2">
      <t>キザ</t>
    </rPh>
    <phoneticPr fontId="31"/>
  </si>
  <si>
    <r>
      <t>下見板張り</t>
    </r>
    <r>
      <rPr>
        <sz val="10"/>
        <color rgb="FFFF0000"/>
        <rFont val="游ゴシック"/>
        <family val="3"/>
        <charset val="128"/>
        <scheme val="minor"/>
      </rPr>
      <t>（選択式）</t>
    </r>
    <rPh sb="0" eb="2">
      <t>シタミ</t>
    </rPh>
    <rPh sb="2" eb="3">
      <t>イタ</t>
    </rPh>
    <rPh sb="3" eb="4">
      <t>バ</t>
    </rPh>
    <phoneticPr fontId="31"/>
  </si>
  <si>
    <r>
      <t>左官仕上げ</t>
    </r>
    <r>
      <rPr>
        <sz val="10"/>
        <color rgb="FFFF0000"/>
        <rFont val="游ゴシック"/>
        <family val="3"/>
        <charset val="128"/>
        <scheme val="minor"/>
      </rPr>
      <t>（選択式）</t>
    </r>
    <rPh sb="0" eb="2">
      <t>サカン</t>
    </rPh>
    <rPh sb="2" eb="4">
      <t>シア</t>
    </rPh>
    <phoneticPr fontId="31"/>
  </si>
  <si>
    <r>
      <t>国産瓦</t>
    </r>
    <r>
      <rPr>
        <sz val="10"/>
        <color rgb="FFFF0000"/>
        <rFont val="游ゴシック"/>
        <family val="3"/>
        <charset val="128"/>
        <scheme val="minor"/>
      </rPr>
      <t>（選択式）</t>
    </r>
    <rPh sb="0" eb="2">
      <t>コクサン</t>
    </rPh>
    <rPh sb="2" eb="3">
      <t>ガワラ</t>
    </rPh>
    <phoneticPr fontId="31"/>
  </si>
  <si>
    <r>
      <t>木製建具</t>
    </r>
    <r>
      <rPr>
        <sz val="10"/>
        <color rgb="FFFF0000"/>
        <rFont val="游ゴシック"/>
        <family val="3"/>
        <charset val="128"/>
        <scheme val="minor"/>
      </rPr>
      <t>（選択式）</t>
    </r>
    <rPh sb="0" eb="2">
      <t>モクセイ</t>
    </rPh>
    <rPh sb="2" eb="4">
      <t>タテグ</t>
    </rPh>
    <phoneticPr fontId="31"/>
  </si>
  <si>
    <r>
      <t>畳</t>
    </r>
    <r>
      <rPr>
        <sz val="10"/>
        <color rgb="FFFF0000"/>
        <rFont val="游ゴシック"/>
        <family val="3"/>
        <charset val="128"/>
        <scheme val="minor"/>
      </rPr>
      <t>（選択式）</t>
    </r>
    <rPh sb="0" eb="1">
      <t>タタミ</t>
    </rPh>
    <phoneticPr fontId="31"/>
  </si>
  <si>
    <r>
      <t>構造材現し</t>
    </r>
    <r>
      <rPr>
        <sz val="10"/>
        <color rgb="FFFF0000"/>
        <rFont val="游ゴシック"/>
        <family val="3"/>
        <charset val="128"/>
        <scheme val="minor"/>
      </rPr>
      <t>（選択式）</t>
    </r>
    <rPh sb="0" eb="2">
      <t>コウゾウ</t>
    </rPh>
    <rPh sb="2" eb="3">
      <t>ザイ</t>
    </rPh>
    <rPh sb="3" eb="4">
      <t>アラワ</t>
    </rPh>
    <phoneticPr fontId="31"/>
  </si>
  <si>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</si>
  <si>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</si>
  <si>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</si>
  <si>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</si>
  <si>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</si>
  <si>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</si>
  <si>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</si>
  <si>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</si>
  <si>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</si>
  <si>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</si>
  <si>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</si>
  <si>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27"/>
  </si>
  <si>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</si>
  <si>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</si>
  <si>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27"/>
  </si>
  <si>
    <t>実績減
（千円）</t>
    <rPh sb="0" eb="2">
      <t>ジッセキ</t>
    </rPh>
    <rPh sb="2" eb="3">
      <t>ゲン</t>
    </rPh>
    <rPh sb="5" eb="7">
      <t>センエン</t>
    </rPh>
    <phoneticPr fontId="27"/>
  </si>
  <si>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</si>
  <si>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</si>
  <si>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</si>
  <si>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</si>
  <si>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</si>
  <si>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</si>
  <si>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</si>
  <si>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</si>
  <si>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</si>
  <si>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</si>
  <si>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</si>
  <si>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</si>
  <si>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</si>
  <si>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</si>
  <si>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</si>
  <si>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</si>
  <si>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</si>
  <si>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</si>
  <si>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</si>
  <si>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</si>
  <si>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</si>
  <si>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</si>
  <si>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</si>
  <si>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</si>
  <si>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</si>
  <si>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</si>
  <si>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</si>
  <si>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</si>
  <si>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</si>
  <si>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</si>
  <si>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</si>
  <si>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</si>
  <si>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</si>
  <si>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</si>
  <si>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</si>
  <si>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</si>
  <si>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</si>
  <si>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</si>
  <si>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</si>
  <si>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</si>
  <si>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</si>
  <si>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</si>
  <si>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</si>
  <si>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</si>
  <si>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</si>
  <si>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</si>
  <si>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</si>
  <si>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</si>
  <si>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</si>
  <si>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事業者名称</t>
    <rPh sb="0" eb="3">
      <t>ジギョウシャ</t>
    </rPh>
    <rPh sb="3" eb="5">
      <t>メイショウ</t>
    </rPh>
    <phoneticPr fontId="2"/>
  </si>
  <si>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</si>
  <si>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</si>
  <si>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</si>
  <si>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</si>
  <si>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</si>
  <si>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</si>
  <si>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</si>
  <si>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</si>
  <si>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</si>
  <si>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2"/>
  </si>
  <si>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</si>
  <si>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国の子育て世帯等支援補助金利用者である</t>
    <rPh sb="0" eb="1">
      <t>クニ</t>
    </rPh>
    <rPh sb="2" eb="4">
      <t>コソダ</t>
    </rPh>
    <rPh sb="5" eb="8">
      <t>セタイトウ</t>
    </rPh>
    <rPh sb="8" eb="10">
      <t>シエン</t>
    </rPh>
    <rPh sb="10" eb="13">
      <t>ホジョキン</t>
    </rPh>
    <rPh sb="13" eb="16">
      <t>リヨウシャ</t>
    </rPh>
    <phoneticPr fontId="2"/>
  </si>
  <si>
    <r>
      <t xml:space="preserve">               </t>
    </r>
    <r>
      <rPr>
        <sz val="9"/>
        <color rgb="FF0066FF"/>
        <rFont val="ＭＳ Ｐ明朝"/>
        <family val="1"/>
        <charset val="128"/>
      </rPr>
      <t xml:space="preserve"> （別途提出する鳥取県産材活用協議会が発行する県産材の産地証明書で証明できる場合を除く。）</t>
    </r>
    <rPh sb="17" eb="19">
      <t>ベット</t>
    </rPh>
    <rPh sb="19" eb="21">
      <t>テイシュツ</t>
    </rPh>
    <rPh sb="38" eb="41">
      <t>ケンサンザイ</t>
    </rPh>
    <rPh sb="42" eb="44">
      <t>サンチ</t>
    </rPh>
    <rPh sb="44" eb="47">
      <t>ショウメイショ</t>
    </rPh>
    <rPh sb="48" eb="50">
      <t>ショウメイ</t>
    </rPh>
    <rPh sb="53" eb="55">
      <t>バアイ</t>
    </rPh>
    <rPh sb="56" eb="57">
      <t>ノゾ</t>
    </rPh>
    <phoneticPr fontId="2"/>
  </si>
  <si>
    <r>
      <rPr>
        <sz val="9"/>
        <color rgb="FFFF0000"/>
        <rFont val="ＭＳ 明朝"/>
        <family val="1"/>
        <charset val="128"/>
      </rPr>
      <t>含水率の測定結果写真</t>
    </r>
    <r>
      <rPr>
        <sz val="9"/>
        <color rgb="FF0066FF"/>
        <rFont val="ＭＳ 明朝"/>
        <family val="1"/>
        <charset val="128"/>
      </rPr>
      <t>又は鳥取県木材協同組合連合会が発行する</t>
    </r>
    <r>
      <rPr>
        <sz val="9"/>
        <color rgb="FFFF0000"/>
        <rFont val="ＭＳ 明朝"/>
        <family val="1"/>
        <charset val="128"/>
      </rPr>
      <t>日本農林規格県産材　　　　　　　　　　（ＪＡＳ格付及び含水率20%以下）であることを証明する書類</t>
    </r>
    <rPh sb="10" eb="11">
      <t>マタ</t>
    </rPh>
    <phoneticPr fontId="2"/>
  </si>
  <si>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</si>
  <si>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游ゴシック"/>
        <family val="2"/>
        <charset val="128"/>
        <scheme val="minor"/>
      </rPr>
      <t/>
    </r>
    <rPh sb="0" eb="5">
      <t>オウカザイイガイ</t>
    </rPh>
    <rPh sb="6" eb="9">
      <t>シヨウリョウ</t>
    </rPh>
    <phoneticPr fontId="3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</si>
  <si>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</si>
  <si>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t>・とっとり住まいる支援事業建設等計画書（様式第６号の２）</t>
    <phoneticPr fontId="2"/>
  </si>
  <si>
    <t>令和7年4月1日改正</t>
    <rPh sb="0" eb="2">
      <t>レイワ</t>
    </rPh>
    <rPh sb="3" eb="4">
      <t>ネン</t>
    </rPh>
    <rPh sb="5" eb="6">
      <t>ガツ</t>
    </rPh>
    <rPh sb="7" eb="8">
      <t>ニチ</t>
    </rPh>
    <rPh sb="8" eb="10">
      <t>カイセイ</t>
    </rPh>
    <phoneticPr fontId="2"/>
  </si>
  <si>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2"/>
  </si>
  <si>
    <t>県産ヤング係数確認構造材</t>
    <rPh sb="0" eb="2">
      <t>ケンサン</t>
    </rPh>
    <rPh sb="5" eb="7">
      <t>ケイスウ</t>
    </rPh>
    <rPh sb="7" eb="9">
      <t>カクニン</t>
    </rPh>
    <rPh sb="9" eb="12">
      <t>コウゾウザイ</t>
    </rPh>
    <phoneticPr fontId="27"/>
  </si>
  <si>
    <t>地域建築技能活用（４ポイント以上該当）</t>
    <rPh sb="0" eb="2">
      <t>チイキ</t>
    </rPh>
    <rPh sb="2" eb="4">
      <t>ケンチク</t>
    </rPh>
    <rPh sb="4" eb="6">
      <t>ギノウ</t>
    </rPh>
    <rPh sb="6" eb="8">
      <t>カツヨウ</t>
    </rPh>
    <rPh sb="14" eb="16">
      <t>イジョウ</t>
    </rPh>
    <rPh sb="16" eb="18">
      <t>ガイトウ</t>
    </rPh>
    <phoneticPr fontId="27"/>
  </si>
  <si>
    <t>地域建築技能活用</t>
    <rPh sb="0" eb="8">
      <t>チイキケンチクギノウカツヨウ</t>
    </rPh>
    <phoneticPr fontId="2"/>
  </si>
  <si>
    <t>様式第２号の２（第５条関係）</t>
    <rPh sb="0" eb="2">
      <t>ヨウシキ</t>
    </rPh>
    <rPh sb="2" eb="3">
      <t>ダイ</t>
    </rPh>
    <rPh sb="4" eb="5">
      <t>ゴウ</t>
    </rPh>
    <rPh sb="8" eb="9">
      <t>ダイ</t>
    </rPh>
    <rPh sb="10" eb="11">
      <t>ジョウ</t>
    </rPh>
    <rPh sb="11" eb="13">
      <t>カンケイ</t>
    </rPh>
    <phoneticPr fontId="2"/>
  </si>
  <si>
    <t>とっとり住まいる支援事業補助対象住宅登録申請書</t>
    <phoneticPr fontId="2"/>
  </si>
  <si>
    <t>代表者職氏名</t>
    <rPh sb="0" eb="2">
      <t>ダイヒョウ</t>
    </rPh>
    <rPh sb="2" eb="3">
      <t>シャ</t>
    </rPh>
    <rPh sb="3" eb="4">
      <t>ショク</t>
    </rPh>
    <rPh sb="4" eb="6">
      <t>シメイ</t>
    </rPh>
    <phoneticPr fontId="2"/>
  </si>
  <si>
    <t>代表者職氏名</t>
    <rPh sb="0" eb="3">
      <t>ダイヒョウシャ</t>
    </rPh>
    <rPh sb="3" eb="4">
      <t>ショク</t>
    </rPh>
    <rPh sb="4" eb="6">
      <t>シメイ</t>
    </rPh>
    <phoneticPr fontId="2"/>
  </si>
  <si>
    <r>
      <rPr>
        <sz val="10.5"/>
        <rFont val="ＭＳ 明朝"/>
        <family val="1"/>
        <charset val="128"/>
      </rPr>
      <t>建設</t>
    </r>
    <r>
      <rPr>
        <sz val="10.5"/>
        <color theme="1"/>
        <rFont val="ＭＳ 明朝"/>
        <family val="1"/>
        <charset val="128"/>
      </rPr>
      <t>事業者名</t>
    </r>
    <rPh sb="0" eb="2">
      <t>ケンセツ</t>
    </rPh>
    <rPh sb="2" eb="4">
      <t>ジギョウ</t>
    </rPh>
    <rPh sb="4" eb="5">
      <t>シャ</t>
    </rPh>
    <rPh sb="5" eb="6">
      <t>メイ</t>
    </rPh>
    <phoneticPr fontId="2"/>
  </si>
  <si>
    <r>
      <t>　とっとり住まいる支援事業補助金交付要綱第５条第１項に基づく補助の対象となる</t>
    </r>
    <r>
      <rPr>
        <sz val="11"/>
        <rFont val="ＭＳ 明朝"/>
        <family val="1"/>
        <charset val="128"/>
      </rPr>
      <t>販売</t>
    </r>
    <r>
      <rPr>
        <sz val="11"/>
        <color theme="1"/>
        <rFont val="ＭＳ 明朝"/>
        <family val="1"/>
        <charset val="128"/>
      </rPr>
      <t>住宅の登録をしたいので、下記のとおり申請します。</t>
    </r>
    <rPh sb="38" eb="40">
      <t>ハンバイ</t>
    </rPh>
    <phoneticPr fontId="2"/>
  </si>
  <si>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2"/>
  </si>
  <si>
    <t>性能区分</t>
    <rPh sb="0" eb="2">
      <t>セイノウ</t>
    </rPh>
    <rPh sb="2" eb="4">
      <t>クブン</t>
    </rPh>
    <phoneticPr fontId="2"/>
  </si>
  <si>
    <t>様式第６号の３</t>
    <rPh sb="0" eb="2">
      <t>ヨウシキ</t>
    </rPh>
    <rPh sb="2" eb="3">
      <t>ダイ</t>
    </rPh>
    <rPh sb="4" eb="5">
      <t>ゴウ</t>
    </rPh>
    <phoneticPr fontId="2"/>
  </si>
  <si>
    <t>令和7年4月1日改正様式</t>
    <rPh sb="0" eb="2">
      <t>レイワ</t>
    </rPh>
    <rPh sb="3" eb="4">
      <t>ネン</t>
    </rPh>
    <rPh sb="5" eb="6">
      <t>ガツ</t>
    </rPh>
    <rPh sb="7" eb="8">
      <t>ニチ</t>
    </rPh>
    <rPh sb="8" eb="10">
      <t>カイセイ</t>
    </rPh>
    <rPh sb="10" eb="12">
      <t>ヨウシキ</t>
    </rPh>
    <phoneticPr fontId="2"/>
  </si>
  <si>
    <t>申請区分</t>
    <rPh sb="0" eb="2">
      <t>シンセイ</t>
    </rPh>
    <rPh sb="2" eb="4">
      <t>クブン</t>
    </rPh>
    <phoneticPr fontId="2"/>
  </si>
  <si>
    <t>交付申請時</t>
    <rPh sb="0" eb="5">
      <t>コウフシンセイジ</t>
    </rPh>
    <phoneticPr fontId="2"/>
  </si>
  <si>
    <t>Re NE-ST</t>
    <phoneticPr fontId="2"/>
  </si>
  <si>
    <t>改修区分</t>
    <rPh sb="0" eb="2">
      <t>カイシュウ</t>
    </rPh>
    <rPh sb="2" eb="4">
      <t>クブン</t>
    </rPh>
    <phoneticPr fontId="2"/>
  </si>
  <si>
    <t>申請者氏名</t>
    <rPh sb="0" eb="3">
      <t>シンセイシャ</t>
    </rPh>
    <rPh sb="3" eb="5">
      <t>シメイ</t>
    </rPh>
    <phoneticPr fontId="2"/>
  </si>
  <si>
    <t>実績報告時</t>
    <rPh sb="0" eb="5">
      <t>ジッセキホウコクジ</t>
    </rPh>
    <phoneticPr fontId="2"/>
  </si>
  <si>
    <t>ゾーン改修</t>
    <rPh sb="3" eb="5">
      <t>カイシュウ</t>
    </rPh>
    <phoneticPr fontId="2"/>
  </si>
  <si>
    <t>国省エネ基準改修</t>
    <rPh sb="0" eb="2">
      <t>クニショウ</t>
    </rPh>
    <rPh sb="4" eb="8">
      <t>キジュンカイシュウ</t>
    </rPh>
    <phoneticPr fontId="2"/>
  </si>
  <si>
    <t>＜補助対象経費の算出＞</t>
    <rPh sb="1" eb="5">
      <t>ホジョタイショウ</t>
    </rPh>
    <rPh sb="5" eb="7">
      <t>ケイヒ</t>
    </rPh>
    <rPh sb="8" eb="10">
      <t>サンシュツ</t>
    </rPh>
    <phoneticPr fontId="2"/>
  </si>
  <si>
    <t>①断熱材</t>
    <rPh sb="1" eb="4">
      <t>ダンネツザイ</t>
    </rPh>
    <phoneticPr fontId="2"/>
  </si>
  <si>
    <t>部位</t>
    <rPh sb="0" eb="2">
      <t>ブイ</t>
    </rPh>
    <phoneticPr fontId="2"/>
  </si>
  <si>
    <t>断熱材区分</t>
    <rPh sb="0" eb="3">
      <t>ダンネツザイ</t>
    </rPh>
    <rPh sb="3" eb="5">
      <t>クブン</t>
    </rPh>
    <phoneticPr fontId="2"/>
  </si>
  <si>
    <t>熱伝導率(W/m･K)</t>
    <rPh sb="0" eb="4">
      <t>ネツデンドウリツ</t>
    </rPh>
    <phoneticPr fontId="2"/>
  </si>
  <si>
    <t>厚さ（mm)</t>
    <rPh sb="0" eb="1">
      <t>アツ</t>
    </rPh>
    <phoneticPr fontId="2"/>
  </si>
  <si>
    <t>熱抵抗(㎡･K/W)</t>
    <rPh sb="0" eb="3">
      <t>ネツテイコウ</t>
    </rPh>
    <phoneticPr fontId="2"/>
  </si>
  <si>
    <t>施工面積(㎡)</t>
    <rPh sb="0" eb="4">
      <t>セコウメンセキ</t>
    </rPh>
    <phoneticPr fontId="2"/>
  </si>
  <si>
    <t>×</t>
    <phoneticPr fontId="2"/>
  </si>
  <si>
    <t>補助基準単価</t>
    <rPh sb="0" eb="4">
      <t>ホジョキジュン</t>
    </rPh>
    <rPh sb="4" eb="6">
      <t>タンカ</t>
    </rPh>
    <phoneticPr fontId="2"/>
  </si>
  <si>
    <t>補助対象経費</t>
    <rPh sb="0" eb="4">
      <t>ホジョタイショウ</t>
    </rPh>
    <rPh sb="4" eb="6">
      <t>ケイヒ</t>
    </rPh>
    <phoneticPr fontId="2"/>
  </si>
  <si>
    <t>天井</t>
    <rPh sb="0" eb="2">
      <t>テンジョウ</t>
    </rPh>
    <phoneticPr fontId="2"/>
  </si>
  <si>
    <t>1.0～2.0</t>
    <phoneticPr fontId="2"/>
  </si>
  <si>
    <t>2.0～3.0</t>
    <phoneticPr fontId="2"/>
  </si>
  <si>
    <t>3.0～4.0</t>
    <phoneticPr fontId="2"/>
  </si>
  <si>
    <t>4.0～5.0</t>
    <phoneticPr fontId="2"/>
  </si>
  <si>
    <t>5.0～</t>
    <phoneticPr fontId="2"/>
  </si>
  <si>
    <t>ボード系断熱材</t>
    <rPh sb="3" eb="4">
      <t>ケイ</t>
    </rPh>
    <rPh sb="4" eb="7">
      <t>ダンネツザイ</t>
    </rPh>
    <phoneticPr fontId="2"/>
  </si>
  <si>
    <t>繊維系断熱材</t>
    <rPh sb="0" eb="3">
      <t>センイケイ</t>
    </rPh>
    <rPh sb="3" eb="6">
      <t>ダンネツザイ</t>
    </rPh>
    <phoneticPr fontId="2"/>
  </si>
  <si>
    <t>外壁</t>
    <rPh sb="0" eb="2">
      <t>ガイヘキ</t>
    </rPh>
    <phoneticPr fontId="2"/>
  </si>
  <si>
    <t>吹付断熱材</t>
    <rPh sb="0" eb="2">
      <t>フキツケ</t>
    </rPh>
    <rPh sb="2" eb="5">
      <t>ダンネツザイ</t>
    </rPh>
    <phoneticPr fontId="2"/>
  </si>
  <si>
    <t>床</t>
    <rPh sb="0" eb="1">
      <t>ユカ</t>
    </rPh>
    <phoneticPr fontId="2"/>
  </si>
  <si>
    <t>②窓</t>
    <rPh sb="1" eb="2">
      <t>マド</t>
    </rPh>
    <phoneticPr fontId="2"/>
  </si>
  <si>
    <t>平面図の
窓番号</t>
    <rPh sb="0" eb="3">
      <t>ヘイメンズ</t>
    </rPh>
    <rPh sb="5" eb="8">
      <t>マドバンゴウ</t>
    </rPh>
    <phoneticPr fontId="2"/>
  </si>
  <si>
    <t>窓改修区分</t>
    <rPh sb="0" eb="1">
      <t>マド</t>
    </rPh>
    <rPh sb="1" eb="3">
      <t>カイシュウ</t>
    </rPh>
    <rPh sb="3" eb="5">
      <t>クブン</t>
    </rPh>
    <phoneticPr fontId="2"/>
  </si>
  <si>
    <t>窓サイズ(mm)</t>
    <rPh sb="0" eb="1">
      <t>マド</t>
    </rPh>
    <phoneticPr fontId="2"/>
  </si>
  <si>
    <t>熱貫流率(W/㎡･K)</t>
    <rPh sb="0" eb="1">
      <t>ネツ</t>
    </rPh>
    <rPh sb="1" eb="3">
      <t>カンリュウ</t>
    </rPh>
    <rPh sb="3" eb="4">
      <t>リツ</t>
    </rPh>
    <phoneticPr fontId="2"/>
  </si>
  <si>
    <t>窓面積(㎡)</t>
    <rPh sb="0" eb="1">
      <t>マド</t>
    </rPh>
    <rPh sb="1" eb="3">
      <t>メンセキ</t>
    </rPh>
    <phoneticPr fontId="2"/>
  </si>
  <si>
    <t>補助対象経費</t>
    <rPh sb="0" eb="2">
      <t>ホジョ</t>
    </rPh>
    <rPh sb="2" eb="6">
      <t>タイショウケイヒ</t>
    </rPh>
    <phoneticPr fontId="2"/>
  </si>
  <si>
    <t>幅</t>
    <rPh sb="0" eb="1">
      <t>ハバ</t>
    </rPh>
    <phoneticPr fontId="2"/>
  </si>
  <si>
    <t>高さ</t>
    <rPh sb="0" eb="1">
      <t>タカ</t>
    </rPh>
    <phoneticPr fontId="2"/>
  </si>
  <si>
    <t>2.33～1.91</t>
    <phoneticPr fontId="2"/>
  </si>
  <si>
    <t>1.90～1.61</t>
    <phoneticPr fontId="2"/>
  </si>
  <si>
    <t>1.60～1.31</t>
    <phoneticPr fontId="2"/>
  </si>
  <si>
    <t>1.30～</t>
    <phoneticPr fontId="2"/>
  </si>
  <si>
    <t>窓取替</t>
    <rPh sb="0" eb="1">
      <t>マド</t>
    </rPh>
    <rPh sb="1" eb="3">
      <t>トリカエ</t>
    </rPh>
    <phoneticPr fontId="2"/>
  </si>
  <si>
    <t>樹脂製内窓取付</t>
    <rPh sb="0" eb="3">
      <t>ジュシセイ</t>
    </rPh>
    <rPh sb="3" eb="5">
      <t>ウチマド</t>
    </rPh>
    <rPh sb="5" eb="7">
      <t>トリツケ</t>
    </rPh>
    <phoneticPr fontId="2"/>
  </si>
  <si>
    <t>県産材木製内窓取付</t>
    <rPh sb="0" eb="3">
      <t>ケンサンザイ</t>
    </rPh>
    <rPh sb="3" eb="5">
      <t>モクセイ</t>
    </rPh>
    <rPh sb="5" eb="7">
      <t>ウチマド</t>
    </rPh>
    <rPh sb="7" eb="9">
      <t>トリツケ</t>
    </rPh>
    <phoneticPr fontId="2"/>
  </si>
  <si>
    <t>③玄関ドア（勝手口等を除く）</t>
    <rPh sb="1" eb="3">
      <t>ゲンカン</t>
    </rPh>
    <rPh sb="6" eb="10">
      <t>カッテグチトウ</t>
    </rPh>
    <rPh sb="11" eb="12">
      <t>ノゾ</t>
    </rPh>
    <phoneticPr fontId="2"/>
  </si>
  <si>
    <t>平面図の
番号</t>
    <rPh sb="0" eb="3">
      <t>ヘイメンズ</t>
    </rPh>
    <rPh sb="5" eb="7">
      <t>バンゴウ</t>
    </rPh>
    <phoneticPr fontId="2"/>
  </si>
  <si>
    <t>ドア工事費(円)</t>
    <rPh sb="2" eb="5">
      <t>コウジヒ</t>
    </rPh>
    <rPh sb="6" eb="7">
      <t>エン</t>
    </rPh>
    <phoneticPr fontId="2"/>
  </si>
  <si>
    <t>取替</t>
    <rPh sb="0" eb="2">
      <t>トリカエ</t>
    </rPh>
    <phoneticPr fontId="2"/>
  </si>
  <si>
    <t>カバー工法</t>
    <rPh sb="3" eb="5">
      <t>コウホウ</t>
    </rPh>
    <phoneticPr fontId="2"/>
  </si>
  <si>
    <t>補助基準額による対象経費
（自動計算）</t>
    <rPh sb="0" eb="2">
      <t>ホジョ</t>
    </rPh>
    <rPh sb="2" eb="4">
      <t>キジュン</t>
    </rPh>
    <rPh sb="4" eb="5">
      <t>ガク</t>
    </rPh>
    <rPh sb="8" eb="10">
      <t>タイショウ</t>
    </rPh>
    <rPh sb="10" eb="12">
      <t>ケイヒ</t>
    </rPh>
    <rPh sb="14" eb="18">
      <t>ジドウケイサン</t>
    </rPh>
    <phoneticPr fontId="2"/>
  </si>
  <si>
    <t>　　　　　　　　いずれか低い額が補助対象経費となります。</t>
    <rPh sb="12" eb="13">
      <t>ヒク</t>
    </rPh>
    <rPh sb="14" eb="15">
      <t>ガク</t>
    </rPh>
    <rPh sb="16" eb="20">
      <t>ホジョタイショウ</t>
    </rPh>
    <rPh sb="20" eb="22">
      <t>ケイヒ</t>
    </rPh>
    <phoneticPr fontId="2"/>
  </si>
  <si>
    <t>工事請負契約金額
（購入契約金額）</t>
    <rPh sb="0" eb="4">
      <t>コウジウケオイ</t>
    </rPh>
    <rPh sb="4" eb="6">
      <t>ケイヤク</t>
    </rPh>
    <rPh sb="6" eb="8">
      <t>キンガク</t>
    </rPh>
    <rPh sb="10" eb="12">
      <t>コウニュウ</t>
    </rPh>
    <rPh sb="12" eb="14">
      <t>ケイヤク</t>
    </rPh>
    <rPh sb="14" eb="16">
      <t>キンガク</t>
    </rPh>
    <phoneticPr fontId="2"/>
  </si>
  <si>
    <t>うち断熱工事費</t>
    <rPh sb="2" eb="4">
      <t>ダンネツ</t>
    </rPh>
    <rPh sb="4" eb="7">
      <t>コウジヒ</t>
    </rPh>
    <phoneticPr fontId="2"/>
  </si>
  <si>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2"/>
  </si>
  <si>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2"/>
  </si>
  <si>
    <t>登録申請時</t>
    <rPh sb="0" eb="2">
      <t>トウロク</t>
    </rPh>
    <rPh sb="2" eb="5">
      <t>シンセイジ</t>
    </rPh>
    <phoneticPr fontId="2"/>
  </si>
  <si>
    <t>※国の子育て世帯等支援補助金利用者にあっては０円となります</t>
    <phoneticPr fontId="2"/>
  </si>
  <si>
    <r>
      <rPr>
        <sz val="11"/>
        <rFont val="ＭＳ Ｐ明朝"/>
        <family val="1"/>
        <charset val="128"/>
      </rPr>
      <t>販売</t>
    </r>
    <r>
      <rPr>
        <sz val="11"/>
        <color theme="1"/>
        <rFont val="ＭＳ Ｐ明朝"/>
        <family val="1"/>
        <charset val="128"/>
      </rPr>
      <t>事業者名</t>
    </r>
  </si>
  <si>
    <r>
      <t>５　</t>
    </r>
    <r>
      <rPr>
        <sz val="11"/>
        <rFont val="ＭＳ Ｐ明朝"/>
        <family val="1"/>
        <charset val="128"/>
      </rPr>
      <t>地域建築技能</t>
    </r>
    <r>
      <rPr>
        <sz val="11"/>
        <color theme="1"/>
        <rFont val="ＭＳ Ｐ明朝"/>
        <family val="1"/>
        <charset val="128"/>
      </rPr>
      <t>活用改修　（補助金額：上限15万円）</t>
    </r>
    <rPh sb="2" eb="4">
      <t>チイキ</t>
    </rPh>
    <rPh sb="4" eb="6">
      <t>ケンチク</t>
    </rPh>
    <rPh sb="6" eb="8">
      <t>ギノウ</t>
    </rPh>
    <rPh sb="8" eb="10">
      <t>カツヨウ</t>
    </rPh>
    <rPh sb="10" eb="12">
      <t>カイシュウ</t>
    </rPh>
    <rPh sb="19" eb="21">
      <t>ジョウゲン</t>
    </rPh>
    <phoneticPr fontId="2"/>
  </si>
  <si>
    <r>
      <t>次の①～③に掲げる</t>
    </r>
    <r>
      <rPr>
        <sz val="11"/>
        <rFont val="ＭＳ Ｐ明朝"/>
        <family val="1"/>
        <charset val="128"/>
      </rPr>
      <t>地域建築技能</t>
    </r>
    <r>
      <rPr>
        <sz val="11"/>
        <color theme="1"/>
        <rFont val="ＭＳ Ｐ明朝"/>
        <family val="1"/>
        <charset val="128"/>
      </rPr>
      <t>のうち、いずれか２以上が使用された場合に最大15万円を支援する。</t>
    </r>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2"/>
  </si>
  <si>
    <r>
      <t>＜実績報告時の提出書類＞各</t>
    </r>
    <r>
      <rPr>
        <sz val="11"/>
        <color rgb="FF3333FF"/>
        <rFont val="ＭＳ Ｐ明朝"/>
        <family val="1"/>
        <charset val="128"/>
      </rPr>
      <t>地域建築技能</t>
    </r>
    <r>
      <rPr>
        <sz val="11"/>
        <color rgb="FF0066FF"/>
        <rFont val="ＭＳ Ｐ明朝"/>
        <family val="1"/>
        <charset val="128"/>
      </rPr>
      <t>に係る面積等の算出過程及び結果並びに使用場所がわかる立面図、展開図等の書類</t>
    </r>
    <rPh sb="13" eb="15">
      <t>チイキ</t>
    </rPh>
    <rPh sb="15" eb="17">
      <t>ケンチク</t>
    </rPh>
    <phoneticPr fontId="2"/>
  </si>
  <si>
    <t>《補助金の内訳》</t>
    <rPh sb="1" eb="4">
      <t>ホジョキン</t>
    </rPh>
    <rPh sb="5" eb="7">
      <t>ウチワケ</t>
    </rPh>
    <phoneticPr fontId="2"/>
  </si>
  <si>
    <t>とっとり住まいる支援事業補助金</t>
    <rPh sb="4" eb="5">
      <t>ス</t>
    </rPh>
    <rPh sb="8" eb="10">
      <t>シエン</t>
    </rPh>
    <rPh sb="10" eb="12">
      <t>ジギョウ</t>
    </rPh>
    <rPh sb="12" eb="15">
      <t>ホジョキン</t>
    </rPh>
    <phoneticPr fontId="2"/>
  </si>
  <si>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2"/>
  </si>
  <si>
    <t>　　とっとり健康省エネ住宅改修支援事業登録住宅建設等計画書（登録申請時チェックシート）</t>
    <rPh sb="6" eb="9">
      <t>ケンコウショウ</t>
    </rPh>
    <rPh sb="11" eb="13">
      <t>ジュウタク</t>
    </rPh>
    <rPh sb="13" eb="15">
      <t>カイシュウ</t>
    </rPh>
    <rPh sb="15" eb="19">
      <t>シエンジギョウ</t>
    </rPh>
    <rPh sb="19" eb="21">
      <t>トウロク</t>
    </rPh>
    <rPh sb="21" eb="23">
      <t>ジュウタク</t>
    </rPh>
    <rPh sb="23" eb="25">
      <t>ケンセツ</t>
    </rPh>
    <rPh sb="25" eb="26">
      <t>トウ</t>
    </rPh>
    <rPh sb="26" eb="28">
      <t>ケイカク</t>
    </rPh>
    <rPh sb="28" eb="29">
      <t>ショ</t>
    </rPh>
    <rPh sb="30" eb="32">
      <t>トウロク</t>
    </rPh>
    <rPh sb="32" eb="35">
      <t>シンセイジ</t>
    </rPh>
    <phoneticPr fontId="2"/>
  </si>
  <si>
    <t>　　とっとり住まいる支援事業兼</t>
    <phoneticPr fontId="2"/>
  </si>
  <si>
    <t>とっとり健康省エネ住宅改修支援事業補助対象住宅登録申請書</t>
    <phoneticPr fontId="2"/>
  </si>
  <si>
    <r>
      <t>　とっとり健康省エネ住宅改修支援事業補助金交付要綱第５条第１項に基づく補助の対象となる</t>
    </r>
    <r>
      <rPr>
        <sz val="11"/>
        <rFont val="ＭＳ 明朝"/>
        <family val="1"/>
        <charset val="128"/>
      </rPr>
      <t>販売</t>
    </r>
    <r>
      <rPr>
        <sz val="11"/>
        <color theme="1"/>
        <rFont val="ＭＳ 明朝"/>
        <family val="1"/>
        <charset val="128"/>
      </rPr>
      <t>住宅の登録をしたいので、下記のとおり申請します。</t>
    </r>
    <rPh sb="43" eb="45">
      <t>ハンバイ</t>
    </rPh>
    <phoneticPr fontId="2"/>
  </si>
  <si>
    <t>とっとり健康省エネ住宅改修支援事業補助金</t>
    <rPh sb="17" eb="20">
      <t>ホジョキン</t>
    </rPh>
    <phoneticPr fontId="2"/>
  </si>
  <si>
    <t>整理番号</t>
    <rPh sb="0" eb="4">
      <t>セイリバンゴウ</t>
    </rPh>
    <phoneticPr fontId="54"/>
  </si>
  <si>
    <t>申請者</t>
    <rPh sb="0" eb="3">
      <t>シンセイシャ</t>
    </rPh>
    <phoneticPr fontId="54"/>
  </si>
  <si>
    <t>住所</t>
    <rPh sb="0" eb="2">
      <t>ジュウショ</t>
    </rPh>
    <phoneticPr fontId="54"/>
  </si>
  <si>
    <t>改修区分</t>
    <rPh sb="0" eb="4">
      <t>カイシュウクブン</t>
    </rPh>
    <phoneticPr fontId="54"/>
  </si>
  <si>
    <t>工事費</t>
    <rPh sb="0" eb="3">
      <t>コウジヒ</t>
    </rPh>
    <phoneticPr fontId="54"/>
  </si>
  <si>
    <t>（内、断熱工事費）</t>
    <rPh sb="1" eb="2">
      <t>ウチ</t>
    </rPh>
    <rPh sb="3" eb="8">
      <t>ダンネツコウジヒ</t>
    </rPh>
    <phoneticPr fontId="54"/>
  </si>
  <si>
    <t>算定基準額</t>
    <rPh sb="0" eb="5">
      <t>サンテイキジュンガク</t>
    </rPh>
    <phoneticPr fontId="54"/>
  </si>
  <si>
    <t>交付決定額</t>
    <rPh sb="0" eb="5">
      <t>コウフケッテイガク</t>
    </rPh>
    <phoneticPr fontId="54"/>
  </si>
  <si>
    <t>交付決定日</t>
    <rPh sb="0" eb="5">
      <t>コウフケッテイビ</t>
    </rPh>
    <phoneticPr fontId="54"/>
  </si>
  <si>
    <t>実績報告額</t>
    <rPh sb="0" eb="5">
      <t>ジッセキホウコクガク</t>
    </rPh>
    <phoneticPr fontId="54"/>
  </si>
  <si>
    <t>実績報告日</t>
    <rPh sb="0" eb="5">
      <t>ジッセキホウコクビ</t>
    </rPh>
    <phoneticPr fontId="54"/>
  </si>
  <si>
    <t>支払日</t>
    <rPh sb="0" eb="3">
      <t>シハライビ</t>
    </rPh>
    <phoneticPr fontId="54"/>
  </si>
  <si>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2"/>
  </si>
  <si>
    <t>国子育て支援補助金</t>
    <rPh sb="0" eb="1">
      <t>クニ</t>
    </rPh>
    <rPh sb="1" eb="3">
      <t>コソダ</t>
    </rPh>
    <rPh sb="4" eb="6">
      <t>シエン</t>
    </rPh>
    <rPh sb="6" eb="9">
      <t>ホジョキン</t>
    </rPh>
    <phoneticPr fontId="2"/>
  </si>
  <si>
    <t>販売事業者名</t>
    <rPh sb="0" eb="2">
      <t>ハンバイ</t>
    </rPh>
    <rPh sb="2" eb="4">
      <t>ジギョウ</t>
    </rPh>
    <rPh sb="4" eb="5">
      <t>シャ</t>
    </rPh>
    <rPh sb="5" eb="6">
      <t>メイ</t>
    </rPh>
    <phoneticPr fontId="2"/>
  </si>
  <si>
    <t>次のア、イ、ウのいずれかに該当すること。</t>
    <rPh sb="0" eb="1">
      <t>ツギ</t>
    </rPh>
    <rPh sb="13" eb="15">
      <t>ガイトウ</t>
    </rPh>
    <phoneticPr fontId="2"/>
  </si>
  <si>
    <t>ア　 ①②③④の全てに該当　（直系尊属と新たに近居）</t>
    <rPh sb="8" eb="9">
      <t>スベ</t>
    </rPh>
    <rPh sb="11" eb="13">
      <t>ガイトウ</t>
    </rPh>
    <rPh sb="15" eb="17">
      <t>チョッケイ</t>
    </rPh>
    <rPh sb="17" eb="19">
      <t>ソンゾク</t>
    </rPh>
    <rPh sb="20" eb="21">
      <t>アラ</t>
    </rPh>
    <rPh sb="23" eb="25">
      <t>キンキョ</t>
    </rPh>
    <phoneticPr fontId="2"/>
  </si>
  <si>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2"/>
  </si>
  <si>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2"/>
  </si>
  <si>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2"/>
  </si>
  <si>
    <t>②交付申請日時点では、三世代の同居ではないこと。</t>
    <rPh sb="1" eb="5">
      <t>コウフシンセイ</t>
    </rPh>
    <rPh sb="5" eb="6">
      <t>ビ</t>
    </rPh>
    <rPh sb="6" eb="8">
      <t>ジテン</t>
    </rPh>
    <rPh sb="11" eb="14">
      <t>サンセダイ</t>
    </rPh>
    <rPh sb="15" eb="17">
      <t>ドウキョ</t>
    </rPh>
    <phoneticPr fontId="2"/>
  </si>
  <si>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2"/>
  </si>
  <si>
    <t>とっとり健康省エネ住宅改修支援事業補助基準額等算定表</t>
    <phoneticPr fontId="2"/>
  </si>
  <si>
    <t>Ver.1.0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</si>
</sst>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 numFmtId="190" formatCode="&quot;¥&quot;#,##0_);[Red]\(&quot;¥&quot;#,##0\)"/>
    <numFmt numFmtId="191" formatCode="0.0"/>
  </numFmts>
  <fonts count="56"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sz val="9"/>
      <color rgb="FFFF0000"/>
      <name val="ＭＳ 明朝"/>
      <family val="1"/>
      <charset val="128"/>
    </font>
    <font>
      <u/>
      <sz val="10"/>
      <color rgb="FF0066FF"/>
      <name val="ＭＳ 明朝"/>
      <family val="1"/>
      <charset val="128"/>
    </font>
    <font>
      <b/>
      <sz val="16"/>
      <color theme="1"/>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11"/>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
      <sz val="10"/>
      <color theme="1"/>
      <name val="ＭＳ Ｐゴシック"/>
      <family val="3"/>
      <charset val="128"/>
    </font>
    <font>
      <sz val="10.5"/>
      <name val="ＭＳ 明朝"/>
      <family val="1"/>
      <charset val="128"/>
    </font>
    <font>
      <sz val="11"/>
      <name val="ＭＳ 明朝"/>
      <family val="1"/>
      <charset val="128"/>
    </font>
    <font>
      <sz val="9"/>
      <color theme="1"/>
      <name val="ＭＳ Ｐゴシック"/>
      <family val="3"/>
      <charset val="128"/>
    </font>
    <font>
      <sz val="11"/>
      <color rgb="FF3333FF"/>
      <name val="ＭＳ Ｐ明朝"/>
      <family val="1"/>
      <charset val="128"/>
    </font>
    <font>
      <sz val="12"/>
      <color theme="1"/>
      <name val="ＭＳ Ｐ明朝"/>
      <family val="1"/>
      <charset val="128"/>
    </font>
    <font>
      <sz val="6"/>
      <name val="游ゴシック"/>
      <family val="3"/>
      <charset val="128"/>
      <scheme val="minor"/>
    </font>
    <font>
      <sz val="14"/>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2CC"/>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64">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Alignment="1">
      <alignment horizontal="right" vertical="center"/>
    </xf>
    <xf numFmtId="0" fontId="6" fillId="0" borderId="0" xfId="0" applyFont="1" applyAlignment="1">
      <alignment vertical="center" wrapText="1"/>
    </xf>
    <xf numFmtId="0" fontId="7" fillId="0" borderId="1" xfId="0" applyFont="1" applyBorder="1">
      <alignment vertical="center"/>
    </xf>
    <xf numFmtId="0" fontId="1" fillId="0" borderId="12" xfId="0" applyFont="1" applyBorder="1" applyProtection="1">
      <alignment vertical="center"/>
      <protection locked="0"/>
    </xf>
    <xf numFmtId="0" fontId="1"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0" xfId="0"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lignment vertical="center"/>
    </xf>
    <xf numFmtId="0" fontId="1" fillId="0" borderId="8" xfId="0" applyFont="1" applyBorder="1">
      <alignment vertical="center"/>
    </xf>
    <xf numFmtId="0" fontId="1" fillId="0" borderId="0" xfId="0" applyFont="1" applyAlignment="1">
      <alignment horizontal="left" vertical="center"/>
    </xf>
    <xf numFmtId="0" fontId="17"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2"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8" fillId="0" borderId="0" xfId="0" applyFont="1">
      <alignment vertical="center"/>
    </xf>
    <xf numFmtId="0" fontId="5" fillId="0" borderId="0" xfId="0" applyFont="1" applyAlignment="1">
      <alignment horizontal="center" vertical="center"/>
    </xf>
    <xf numFmtId="0" fontId="1" fillId="0" borderId="11" xfId="0" applyFont="1" applyBorder="1">
      <alignment vertical="center"/>
    </xf>
    <xf numFmtId="0" fontId="18"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4" xfId="0" applyFont="1" applyBorder="1">
      <alignment vertical="center"/>
    </xf>
    <xf numFmtId="0" fontId="24" fillId="0" borderId="5" xfId="0" applyFont="1" applyBorder="1">
      <alignment vertical="center"/>
    </xf>
    <xf numFmtId="0" fontId="25" fillId="0" borderId="5" xfId="0" applyFont="1" applyBorder="1">
      <alignment vertical="center"/>
    </xf>
    <xf numFmtId="0" fontId="25" fillId="0" borderId="6" xfId="0" applyFont="1" applyBorder="1">
      <alignment vertical="center"/>
    </xf>
    <xf numFmtId="0" fontId="24" fillId="0" borderId="6" xfId="0" applyFont="1" applyBorder="1">
      <alignment vertical="center"/>
    </xf>
    <xf numFmtId="0" fontId="24" fillId="0" borderId="7" xfId="0" applyFont="1" applyBorder="1">
      <alignment vertical="center"/>
    </xf>
    <xf numFmtId="0" fontId="25" fillId="0" borderId="0" xfId="0" applyFont="1">
      <alignment vertical="center"/>
    </xf>
    <xf numFmtId="0" fontId="25" fillId="0" borderId="8" xfId="0" applyFont="1" applyBorder="1">
      <alignment vertical="center"/>
    </xf>
    <xf numFmtId="0" fontId="24" fillId="0" borderId="8" xfId="0" applyFont="1" applyBorder="1">
      <alignment vertical="center"/>
    </xf>
    <xf numFmtId="0" fontId="24" fillId="0" borderId="9" xfId="0" applyFont="1" applyBorder="1">
      <alignment vertical="center"/>
    </xf>
    <xf numFmtId="0" fontId="24" fillId="0" borderId="10" xfId="0" applyFont="1" applyBorder="1">
      <alignment vertical="center"/>
    </xf>
    <xf numFmtId="0" fontId="25" fillId="0" borderId="10" xfId="0" applyFont="1" applyBorder="1">
      <alignment vertical="center"/>
    </xf>
    <xf numFmtId="0" fontId="25" fillId="0" borderId="11" xfId="0" applyFont="1" applyBorder="1">
      <alignment vertical="center"/>
    </xf>
    <xf numFmtId="0" fontId="24" fillId="0" borderId="11" xfId="0" applyFont="1" applyBorder="1">
      <alignment vertical="center"/>
    </xf>
    <xf numFmtId="184" fontId="24" fillId="0" borderId="4" xfId="0" applyNumberFormat="1" applyFont="1" applyBorder="1">
      <alignment vertical="center"/>
    </xf>
    <xf numFmtId="184" fontId="24" fillId="0" borderId="5" xfId="0" applyNumberFormat="1" applyFont="1" applyBorder="1">
      <alignment vertical="center"/>
    </xf>
    <xf numFmtId="184" fontId="24" fillId="0" borderId="2" xfId="0" applyNumberFormat="1" applyFont="1" applyBorder="1">
      <alignment vertical="center"/>
    </xf>
    <xf numFmtId="184" fontId="24" fillId="0" borderId="5" xfId="0" applyNumberFormat="1" applyFont="1" applyBorder="1" applyAlignment="1">
      <alignment horizontal="right" vertical="center"/>
    </xf>
    <xf numFmtId="184" fontId="24" fillId="0" borderId="6" xfId="0" applyNumberFormat="1" applyFont="1" applyBorder="1">
      <alignment vertical="center"/>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184" fontId="24" fillId="0" borderId="1" xfId="0" applyNumberFormat="1" applyFont="1" applyBorder="1">
      <alignment vertical="center"/>
    </xf>
    <xf numFmtId="184" fontId="24" fillId="0" borderId="2" xfId="0" applyNumberFormat="1" applyFont="1" applyBorder="1" applyAlignment="1">
      <alignment horizontal="right" vertical="center"/>
    </xf>
    <xf numFmtId="184" fontId="24" fillId="0" borderId="3" xfId="0" applyNumberFormat="1" applyFont="1" applyBorder="1">
      <alignment vertical="center"/>
    </xf>
    <xf numFmtId="0" fontId="26" fillId="0" borderId="0" xfId="0" applyFont="1">
      <alignment vertical="center"/>
    </xf>
    <xf numFmtId="49" fontId="20" fillId="0" borderId="0" xfId="0" applyNumberFormat="1" applyFont="1" applyProtection="1">
      <alignment vertical="center"/>
      <protection locked="0"/>
    </xf>
    <xf numFmtId="0" fontId="20" fillId="0" borderId="0" xfId="0" applyFont="1" applyProtection="1">
      <alignment vertical="center"/>
      <protection locked="0"/>
    </xf>
    <xf numFmtId="49" fontId="24" fillId="0" borderId="0" xfId="0" applyNumberFormat="1" applyFont="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5" fontId="29" fillId="0" borderId="0" xfId="0" applyNumberFormat="1" applyFont="1">
      <alignment vertical="center"/>
    </xf>
    <xf numFmtId="0" fontId="30" fillId="0" borderId="0" xfId="0" applyFont="1">
      <alignment vertical="center"/>
    </xf>
    <xf numFmtId="186" fontId="29" fillId="0" borderId="0" xfId="0" applyNumberFormat="1" applyFont="1">
      <alignment vertical="center"/>
    </xf>
    <xf numFmtId="187" fontId="29" fillId="0" borderId="0" xfId="0" applyNumberFormat="1" applyFont="1">
      <alignment vertical="center"/>
    </xf>
    <xf numFmtId="185" fontId="29" fillId="5" borderId="0" xfId="0" applyNumberFormat="1" applyFont="1" applyFill="1">
      <alignment vertical="center"/>
    </xf>
    <xf numFmtId="0" fontId="29" fillId="5" borderId="0" xfId="0" applyFont="1" applyFill="1">
      <alignment vertical="center"/>
    </xf>
    <xf numFmtId="0" fontId="29" fillId="5" borderId="0" xfId="0" applyFont="1" applyFill="1" applyAlignment="1">
      <alignment horizontal="center" vertical="center"/>
    </xf>
    <xf numFmtId="186" fontId="29" fillId="5" borderId="0" xfId="0" applyNumberFormat="1" applyFont="1" applyFill="1">
      <alignment vertical="center"/>
    </xf>
    <xf numFmtId="187" fontId="29" fillId="5" borderId="0" xfId="0" applyNumberFormat="1" applyFont="1" applyFill="1">
      <alignment vertical="center"/>
    </xf>
    <xf numFmtId="186" fontId="29" fillId="6" borderId="5"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5" fontId="29" fillId="0" borderId="13" xfId="0" applyNumberFormat="1" applyFont="1" applyBorder="1" applyAlignment="1">
      <alignment vertical="top" wrapText="1"/>
    </xf>
    <xf numFmtId="0" fontId="29" fillId="0" borderId="3"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1" xfId="0" applyFont="1" applyBorder="1" applyAlignment="1">
      <alignment horizontal="center" vertical="top" wrapText="1"/>
    </xf>
    <xf numFmtId="0" fontId="29" fillId="0" borderId="3" xfId="0" applyFont="1" applyBorder="1" applyAlignment="1">
      <alignment horizontal="center" vertical="top" wrapText="1"/>
    </xf>
    <xf numFmtId="0" fontId="29" fillId="0" borderId="1" xfId="0" applyFont="1" applyBorder="1" applyAlignment="1">
      <alignment vertical="top"/>
    </xf>
    <xf numFmtId="186" fontId="29" fillId="7" borderId="0" xfId="0" applyNumberFormat="1" applyFont="1" applyFill="1" applyAlignment="1">
      <alignment vertical="top"/>
    </xf>
    <xf numFmtId="186" fontId="29" fillId="7" borderId="0" xfId="0" applyNumberFormat="1" applyFont="1" applyFill="1" applyAlignment="1">
      <alignment vertical="top" wrapText="1"/>
    </xf>
    <xf numFmtId="186" fontId="29" fillId="8" borderId="0" xfId="0" applyNumberFormat="1" applyFont="1" applyFill="1" applyAlignment="1">
      <alignment vertical="top" wrapText="1"/>
    </xf>
    <xf numFmtId="185" fontId="29" fillId="0" borderId="11" xfId="0" applyNumberFormat="1" applyFont="1" applyBorder="1" applyAlignment="1">
      <alignment vertical="top" wrapText="1"/>
    </xf>
    <xf numFmtId="185" fontId="29" fillId="0" borderId="10" xfId="0" applyNumberFormat="1" applyFont="1" applyBorder="1" applyAlignment="1">
      <alignment vertical="top" wrapText="1"/>
    </xf>
    <xf numFmtId="185" fontId="29" fillId="0" borderId="11" xfId="0" applyNumberFormat="1" applyFont="1" applyBorder="1" applyAlignment="1">
      <alignment vertical="top"/>
    </xf>
    <xf numFmtId="187" fontId="29" fillId="0" borderId="9" xfId="0" applyNumberFormat="1" applyFont="1" applyBorder="1" applyAlignment="1">
      <alignment vertical="top"/>
    </xf>
    <xf numFmtId="0" fontId="29" fillId="0" borderId="11" xfId="0" applyFont="1" applyBorder="1" applyAlignment="1">
      <alignment vertical="top" wrapText="1"/>
    </xf>
    <xf numFmtId="0" fontId="29" fillId="0" borderId="9" xfId="0" applyFont="1" applyBorder="1" applyAlignment="1">
      <alignment vertical="top" wrapText="1"/>
    </xf>
    <xf numFmtId="0" fontId="29" fillId="0" borderId="9" xfId="0" applyFont="1" applyBorder="1" applyAlignment="1">
      <alignment horizontal="center" vertical="top" wrapText="1"/>
    </xf>
    <xf numFmtId="0" fontId="29" fillId="0" borderId="11" xfId="0" applyFont="1" applyBorder="1" applyAlignment="1">
      <alignment vertical="top"/>
    </xf>
    <xf numFmtId="0" fontId="29" fillId="0" borderId="10" xfId="0" applyFont="1" applyBorder="1" applyAlignment="1">
      <alignment vertical="top" wrapText="1"/>
    </xf>
    <xf numFmtId="0" fontId="29" fillId="0" borderId="0" xfId="0" applyFont="1" applyAlignment="1">
      <alignment vertical="top" wrapText="1"/>
    </xf>
    <xf numFmtId="186" fontId="29" fillId="7" borderId="0" xfId="0" applyNumberFormat="1" applyFont="1" applyFill="1" applyAlignment="1">
      <alignment horizontal="center" vertical="top" wrapText="1"/>
    </xf>
    <xf numFmtId="186" fontId="29" fillId="8" borderId="3" xfId="0" applyNumberFormat="1" applyFont="1" applyFill="1" applyBorder="1" applyAlignment="1">
      <alignment vertical="top" wrapText="1"/>
    </xf>
    <xf numFmtId="186" fontId="29" fillId="8" borderId="2" xfId="0" applyNumberFormat="1" applyFont="1" applyFill="1" applyBorder="1" applyAlignment="1">
      <alignment vertical="top" wrapText="1"/>
    </xf>
    <xf numFmtId="185" fontId="29" fillId="0" borderId="10" xfId="0" applyNumberFormat="1" applyFont="1" applyBorder="1" applyAlignment="1">
      <alignment vertical="top"/>
    </xf>
    <xf numFmtId="187" fontId="29" fillId="0" borderId="10" xfId="0" applyNumberFormat="1" applyFont="1" applyBorder="1" applyAlignment="1">
      <alignment vertical="top"/>
    </xf>
    <xf numFmtId="0" fontId="35" fillId="0" borderId="18" xfId="0" applyFont="1" applyBorder="1">
      <alignment vertical="center"/>
    </xf>
    <xf numFmtId="0" fontId="32" fillId="0" borderId="18" xfId="0" applyFont="1" applyBorder="1">
      <alignment vertical="center"/>
    </xf>
    <xf numFmtId="0" fontId="29" fillId="0" borderId="18" xfId="0" applyFont="1" applyBorder="1" applyAlignment="1">
      <alignment horizontal="center" vertical="center"/>
    </xf>
    <xf numFmtId="0" fontId="29" fillId="0" borderId="18" xfId="0" applyFont="1" applyBorder="1">
      <alignment vertical="center"/>
    </xf>
    <xf numFmtId="185" fontId="29" fillId="0" borderId="18"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3" xfId="0" applyFont="1" applyBorder="1">
      <alignment vertical="center"/>
    </xf>
    <xf numFmtId="186" fontId="29" fillId="0" borderId="13" xfId="0" applyNumberFormat="1" applyFont="1" applyBorder="1">
      <alignment vertical="center"/>
    </xf>
    <xf numFmtId="186" fontId="29" fillId="4" borderId="3" xfId="0" applyNumberFormat="1" applyFont="1" applyFill="1" applyBorder="1">
      <alignment vertical="center"/>
    </xf>
    <xf numFmtId="186" fontId="29" fillId="4" borderId="1" xfId="0" applyNumberFormat="1" applyFont="1" applyFill="1" applyBorder="1">
      <alignment vertical="center"/>
    </xf>
    <xf numFmtId="186" fontId="29" fillId="3" borderId="3" xfId="0" applyNumberFormat="1" applyFont="1" applyFill="1" applyBorder="1">
      <alignment vertical="center"/>
    </xf>
    <xf numFmtId="186" fontId="29" fillId="3" borderId="2" xfId="0" applyNumberFormat="1" applyFont="1" applyFill="1" applyBorder="1">
      <alignment vertical="center"/>
    </xf>
    <xf numFmtId="186" fontId="29" fillId="3" borderId="1" xfId="0" applyNumberFormat="1" applyFont="1" applyFill="1" applyBorder="1">
      <alignment vertical="center"/>
    </xf>
    <xf numFmtId="186" fontId="29" fillId="9" borderId="3" xfId="0" applyNumberFormat="1" applyFont="1" applyFill="1" applyBorder="1">
      <alignment vertical="center"/>
    </xf>
    <xf numFmtId="186" fontId="29" fillId="9" borderId="2" xfId="0" applyNumberFormat="1" applyFont="1" applyFill="1" applyBorder="1">
      <alignment vertical="center"/>
    </xf>
    <xf numFmtId="186" fontId="29" fillId="9" borderId="1" xfId="0" applyNumberFormat="1" applyFont="1" applyFill="1" applyBorder="1">
      <alignment vertical="center"/>
    </xf>
    <xf numFmtId="186" fontId="36" fillId="5" borderId="1" xfId="0" applyNumberFormat="1" applyFont="1" applyFill="1" applyBorder="1">
      <alignment vertical="center"/>
    </xf>
    <xf numFmtId="186" fontId="29" fillId="6" borderId="3" xfId="0" applyNumberFormat="1" applyFont="1" applyFill="1" applyBorder="1">
      <alignment vertical="center"/>
    </xf>
    <xf numFmtId="186" fontId="29" fillId="6" borderId="2" xfId="0" applyNumberFormat="1" applyFont="1" applyFill="1" applyBorder="1">
      <alignment vertical="center"/>
    </xf>
    <xf numFmtId="186" fontId="29" fillId="6" borderId="1" xfId="0" applyNumberFormat="1" applyFont="1" applyFill="1" applyBorder="1">
      <alignment vertical="center"/>
    </xf>
    <xf numFmtId="186" fontId="29" fillId="10" borderId="3" xfId="0" applyNumberFormat="1" applyFont="1" applyFill="1" applyBorder="1">
      <alignment vertical="center"/>
    </xf>
    <xf numFmtId="186" fontId="29" fillId="10" borderId="2" xfId="0" applyNumberFormat="1" applyFont="1" applyFill="1" applyBorder="1">
      <alignment vertical="center"/>
    </xf>
    <xf numFmtId="186" fontId="29" fillId="10" borderId="1" xfId="0" applyNumberFormat="1" applyFont="1" applyFill="1" applyBorder="1">
      <alignment vertical="center"/>
    </xf>
    <xf numFmtId="186" fontId="29" fillId="2" borderId="3" xfId="0" applyNumberFormat="1" applyFont="1" applyFill="1" applyBorder="1">
      <alignment vertical="center"/>
    </xf>
    <xf numFmtId="186" fontId="29" fillId="2" borderId="2" xfId="0" applyNumberFormat="1" applyFont="1" applyFill="1" applyBorder="1">
      <alignment vertical="center"/>
    </xf>
    <xf numFmtId="186" fontId="29" fillId="2" borderId="1" xfId="0" applyNumberFormat="1" applyFont="1" applyFill="1" applyBorder="1">
      <alignment vertical="center"/>
    </xf>
    <xf numFmtId="186" fontId="29" fillId="4" borderId="2" xfId="0" applyNumberFormat="1" applyFont="1" applyFill="1" applyBorder="1" applyAlignment="1">
      <alignment vertical="center" wrapText="1"/>
    </xf>
    <xf numFmtId="186" fontId="29" fillId="4" borderId="1" xfId="0" applyNumberFormat="1" applyFont="1" applyFill="1" applyBorder="1" applyAlignment="1">
      <alignment vertical="center" wrapText="1"/>
    </xf>
    <xf numFmtId="186" fontId="29" fillId="8" borderId="0" xfId="0" applyNumberFormat="1" applyFont="1" applyFill="1" applyAlignment="1">
      <alignment vertical="center" wrapText="1"/>
    </xf>
    <xf numFmtId="185" fontId="29" fillId="0" borderId="6" xfId="0" applyNumberFormat="1" applyFont="1" applyBorder="1" applyAlignment="1">
      <alignment vertical="top" wrapText="1"/>
    </xf>
    <xf numFmtId="185" fontId="29" fillId="0" borderId="5" xfId="0" applyNumberFormat="1" applyFont="1" applyBorder="1" applyAlignment="1">
      <alignment vertical="top" wrapText="1"/>
    </xf>
    <xf numFmtId="185" fontId="29" fillId="0" borderId="0" xfId="0" applyNumberFormat="1" applyFont="1" applyAlignment="1">
      <alignment horizontal="center" vertical="top" wrapText="1"/>
    </xf>
    <xf numFmtId="185" fontId="29" fillId="0" borderId="8" xfId="0" applyNumberFormat="1" applyFont="1" applyBorder="1" applyAlignment="1">
      <alignment vertical="top"/>
    </xf>
    <xf numFmtId="187" fontId="29" fillId="0" borderId="7" xfId="0" applyNumberFormat="1" applyFont="1" applyBorder="1" applyAlignment="1">
      <alignment vertical="top"/>
    </xf>
    <xf numFmtId="0" fontId="29" fillId="0" borderId="8" xfId="0" applyFont="1" applyBorder="1">
      <alignment vertical="center"/>
    </xf>
    <xf numFmtId="0" fontId="29" fillId="0" borderId="7" xfId="0" applyFont="1" applyBorder="1">
      <alignment vertical="center"/>
    </xf>
    <xf numFmtId="0" fontId="29" fillId="0" borderId="7" xfId="0" applyFont="1" applyBorder="1" applyAlignment="1">
      <alignment horizontal="center" vertical="center"/>
    </xf>
    <xf numFmtId="188" fontId="29" fillId="0" borderId="18" xfId="0" applyNumberFormat="1" applyFont="1" applyBorder="1">
      <alignment vertical="center"/>
    </xf>
    <xf numFmtId="185" fontId="29" fillId="0" borderId="8" xfId="0" applyNumberFormat="1" applyFont="1" applyBorder="1" applyAlignment="1">
      <alignment vertical="top" wrapText="1"/>
    </xf>
    <xf numFmtId="0" fontId="29" fillId="0" borderId="7" xfId="0" applyFont="1" applyBorder="1" applyAlignment="1">
      <alignment vertical="top" wrapText="1"/>
    </xf>
    <xf numFmtId="186" fontId="29" fillId="4" borderId="2" xfId="0" applyNumberFormat="1" applyFont="1" applyFill="1" applyBorder="1">
      <alignment vertical="center"/>
    </xf>
    <xf numFmtId="186" fontId="36" fillId="5" borderId="3" xfId="0" applyNumberFormat="1" applyFont="1" applyFill="1" applyBorder="1">
      <alignment vertical="center"/>
    </xf>
    <xf numFmtId="186" fontId="29" fillId="7" borderId="13" xfId="0" applyNumberFormat="1" applyFont="1" applyFill="1" applyBorder="1" applyAlignment="1">
      <alignment vertical="center" wrapText="1"/>
    </xf>
    <xf numFmtId="186" fontId="29" fillId="4" borderId="3" xfId="0" applyNumberFormat="1" applyFont="1" applyFill="1" applyBorder="1" applyAlignment="1">
      <alignment vertical="center" wrapText="1"/>
    </xf>
    <xf numFmtId="186" fontId="29" fillId="2" borderId="10" xfId="0" applyNumberFormat="1" applyFont="1" applyFill="1" applyBorder="1">
      <alignment vertical="center"/>
    </xf>
    <xf numFmtId="186" fontId="29" fillId="4" borderId="13" xfId="0" applyNumberFormat="1" applyFont="1" applyFill="1" applyBorder="1" applyAlignment="1">
      <alignment vertical="center" wrapText="1"/>
    </xf>
    <xf numFmtId="0" fontId="29" fillId="0" borderId="6" xfId="0" applyFont="1" applyBorder="1" applyAlignment="1">
      <alignment vertical="top"/>
    </xf>
    <xf numFmtId="185" fontId="29" fillId="0" borderId="5" xfId="0" applyNumberFormat="1" applyFont="1" applyBorder="1" applyAlignment="1">
      <alignment vertical="top"/>
    </xf>
    <xf numFmtId="187" fontId="29" fillId="0" borderId="5" xfId="0" applyNumberFormat="1" applyFont="1" applyBorder="1" applyAlignment="1"/>
    <xf numFmtId="187" fontId="29" fillId="0" borderId="4" xfId="0" applyNumberFormat="1" applyFont="1" applyBorder="1" applyAlignment="1"/>
    <xf numFmtId="0" fontId="35" fillId="11" borderId="14" xfId="0" applyFont="1" applyFill="1" applyBorder="1" applyAlignment="1">
      <alignment vertical="center" wrapText="1"/>
    </xf>
    <xf numFmtId="0" fontId="32" fillId="0" borderId="18" xfId="0" applyFont="1" applyBorder="1" applyAlignment="1">
      <alignment vertical="center" wrapText="1"/>
    </xf>
    <xf numFmtId="0" fontId="30" fillId="0" borderId="18" xfId="0" applyFont="1" applyBorder="1" applyAlignment="1">
      <alignment horizontal="center" vertical="center" wrapText="1"/>
    </xf>
    <xf numFmtId="0" fontId="29" fillId="11" borderId="18" xfId="0" applyFont="1" applyFill="1" applyBorder="1" applyAlignment="1">
      <alignment horizontal="center" vertical="center" wrapText="1"/>
    </xf>
    <xf numFmtId="0" fontId="36" fillId="0" borderId="18" xfId="0" applyFont="1" applyBorder="1" applyAlignment="1">
      <alignment vertical="center" wrapText="1"/>
    </xf>
    <xf numFmtId="185" fontId="29" fillId="0" borderId="18" xfId="0" applyNumberFormat="1" applyFont="1" applyBorder="1" applyAlignment="1">
      <alignment vertical="center" wrapText="1"/>
    </xf>
    <xf numFmtId="0" fontId="29" fillId="0" borderId="18" xfId="0" applyFont="1" applyBorder="1" applyAlignment="1">
      <alignment vertical="center" wrapText="1"/>
    </xf>
    <xf numFmtId="0" fontId="29" fillId="0" borderId="18" xfId="0" applyFont="1" applyBorder="1" applyAlignment="1">
      <alignment horizontal="center" vertical="center" wrapText="1"/>
    </xf>
    <xf numFmtId="186" fontId="29" fillId="0" borderId="18" xfId="0" applyNumberFormat="1" applyFont="1" applyBorder="1" applyAlignment="1">
      <alignment vertical="center" wrapText="1"/>
    </xf>
    <xf numFmtId="186" fontId="29" fillId="0" borderId="13" xfId="0" applyNumberFormat="1" applyFont="1" applyBorder="1" applyAlignment="1">
      <alignment vertical="center" wrapText="1"/>
    </xf>
    <xf numFmtId="186" fontId="29" fillId="11" borderId="13" xfId="0" applyNumberFormat="1" applyFont="1" applyFill="1" applyBorder="1" applyAlignment="1">
      <alignment vertical="center" wrapText="1"/>
    </xf>
    <xf numFmtId="186" fontId="29" fillId="11" borderId="18" xfId="0" applyNumberFormat="1" applyFont="1" applyFill="1" applyBorder="1" applyAlignment="1">
      <alignment vertical="center" wrapText="1"/>
    </xf>
    <xf numFmtId="186" fontId="39" fillId="0" borderId="18" xfId="0" applyNumberFormat="1" applyFont="1" applyBorder="1" applyAlignment="1">
      <alignment vertical="center" wrapText="1"/>
    </xf>
    <xf numFmtId="186" fontId="29" fillId="4" borderId="18" xfId="0" applyNumberFormat="1" applyFont="1" applyFill="1" applyBorder="1" applyAlignment="1">
      <alignment vertical="center" wrapText="1"/>
    </xf>
    <xf numFmtId="186" fontId="40" fillId="0" borderId="13" xfId="0" applyNumberFormat="1" applyFont="1" applyBorder="1" applyAlignment="1">
      <alignment vertical="center" wrapText="1"/>
    </xf>
    <xf numFmtId="186" fontId="29" fillId="0" borderId="14" xfId="0" applyNumberFormat="1" applyFont="1" applyBorder="1" applyAlignment="1">
      <alignment vertical="center" wrapText="1"/>
    </xf>
    <xf numFmtId="186" fontId="41" fillId="7" borderId="0" xfId="0" applyNumberFormat="1" applyFont="1" applyFill="1" applyAlignment="1">
      <alignment vertical="center" wrapText="1"/>
    </xf>
    <xf numFmtId="186" fontId="41" fillId="12" borderId="0" xfId="0" applyNumberFormat="1" applyFont="1" applyFill="1" applyAlignment="1">
      <alignment vertical="center" wrapText="1"/>
    </xf>
    <xf numFmtId="186" fontId="29" fillId="8" borderId="13" xfId="0" applyNumberFormat="1" applyFont="1" applyFill="1" applyBorder="1" applyAlignment="1">
      <alignment vertical="center" wrapText="1"/>
    </xf>
    <xf numFmtId="185" fontId="29" fillId="0" borderId="13" xfId="0" applyNumberFormat="1" applyFont="1" applyBorder="1">
      <alignment vertical="center"/>
    </xf>
    <xf numFmtId="187"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5" fontId="29" fillId="0" borderId="13" xfId="0" applyNumberFormat="1" applyFont="1" applyBorder="1" applyAlignment="1">
      <alignment vertical="center" wrapText="1"/>
    </xf>
    <xf numFmtId="0" fontId="29" fillId="0" borderId="0" xfId="0" applyFont="1" applyAlignment="1">
      <alignment vertical="center" wrapText="1"/>
    </xf>
    <xf numFmtId="186" fontId="29" fillId="4" borderId="12" xfId="0" applyNumberFormat="1" applyFont="1" applyFill="1" applyBorder="1" applyAlignment="1">
      <alignment vertical="center" wrapText="1"/>
    </xf>
    <xf numFmtId="186" fontId="29" fillId="4" borderId="14" xfId="0" applyNumberFormat="1" applyFont="1" applyFill="1" applyBorder="1" applyAlignment="1">
      <alignment vertical="center" wrapText="1"/>
    </xf>
    <xf numFmtId="186" fontId="43" fillId="0" borderId="18" xfId="0" applyNumberFormat="1" applyFont="1" applyBorder="1" applyAlignment="1">
      <alignment vertical="center" wrapText="1"/>
    </xf>
    <xf numFmtId="186" fontId="29" fillId="7" borderId="14" xfId="0" applyNumberFormat="1" applyFont="1" applyFill="1" applyBorder="1" applyAlignment="1">
      <alignment vertical="center" wrapText="1"/>
    </xf>
    <xf numFmtId="186" fontId="29" fillId="0" borderId="0" xfId="0" applyNumberFormat="1" applyFont="1" applyAlignment="1">
      <alignment vertical="center" wrapText="1"/>
    </xf>
    <xf numFmtId="186" fontId="41" fillId="7" borderId="6" xfId="0" applyNumberFormat="1" applyFont="1" applyFill="1" applyBorder="1" applyAlignment="1">
      <alignment vertical="center" wrapText="1"/>
    </xf>
    <xf numFmtId="186" fontId="41" fillId="7" borderId="5" xfId="0" applyNumberFormat="1" applyFont="1" applyFill="1" applyBorder="1" applyAlignment="1">
      <alignment vertical="center" wrapText="1"/>
    </xf>
    <xf numFmtId="186" fontId="41" fillId="12" borderId="5" xfId="0" applyNumberFormat="1" applyFont="1" applyFill="1" applyBorder="1" applyAlignment="1">
      <alignment vertical="center" wrapText="1"/>
    </xf>
    <xf numFmtId="186" fontId="29" fillId="0" borderId="12" xfId="0" applyNumberFormat="1" applyFont="1" applyBorder="1" applyAlignment="1">
      <alignment vertical="center" wrapText="1"/>
    </xf>
    <xf numFmtId="0" fontId="29" fillId="0" borderId="12" xfId="0" applyFont="1" applyBorder="1" applyAlignment="1">
      <alignment vertical="center" wrapText="1"/>
    </xf>
    <xf numFmtId="185" fontId="29" fillId="0" borderId="12" xfId="0" applyNumberFormat="1" applyFont="1" applyBorder="1" applyAlignment="1">
      <alignment vertical="center" wrapText="1"/>
    </xf>
    <xf numFmtId="187" fontId="29" fillId="4" borderId="12" xfId="0" applyNumberFormat="1" applyFont="1" applyFill="1" applyBorder="1" applyAlignment="1">
      <alignment vertical="center" wrapText="1"/>
    </xf>
    <xf numFmtId="0" fontId="35" fillId="11"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11"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11" borderId="12" xfId="0" applyFill="1" applyBorder="1">
      <alignment vertical="center"/>
    </xf>
    <xf numFmtId="0" fontId="0" fillId="11" borderId="12" xfId="0" applyFill="1" applyBorder="1" applyAlignment="1">
      <alignment horizontal="center" vertical="center"/>
    </xf>
    <xf numFmtId="186" fontId="0" fillId="11" borderId="12" xfId="0" applyNumberFormat="1" applyFill="1" applyBorder="1">
      <alignment vertical="center"/>
    </xf>
    <xf numFmtId="186" fontId="0" fillId="4" borderId="12" xfId="0" applyNumberFormat="1" applyFill="1" applyBorder="1">
      <alignment vertical="center"/>
    </xf>
    <xf numFmtId="186" fontId="32" fillId="4" borderId="12" xfId="0" applyNumberFormat="1" applyFont="1" applyFill="1" applyBorder="1">
      <alignment vertical="center"/>
    </xf>
    <xf numFmtId="186" fontId="0" fillId="0" borderId="12" xfId="0" applyNumberFormat="1" applyBorder="1">
      <alignment vertical="center"/>
    </xf>
    <xf numFmtId="183" fontId="0" fillId="0" borderId="12" xfId="0" applyNumberFormat="1" applyBorder="1">
      <alignment vertical="center"/>
    </xf>
    <xf numFmtId="185" fontId="0" fillId="11" borderId="3" xfId="0" applyNumberFormat="1" applyFill="1" applyBorder="1">
      <alignment vertical="center"/>
    </xf>
    <xf numFmtId="0" fontId="0" fillId="11" borderId="2" xfId="0" applyFill="1" applyBorder="1">
      <alignment vertical="center"/>
    </xf>
    <xf numFmtId="185" fontId="0" fillId="11" borderId="2" xfId="0" applyNumberFormat="1" applyFill="1" applyBorder="1">
      <alignment vertical="center"/>
    </xf>
    <xf numFmtId="0" fontId="0" fillId="11" borderId="1" xfId="0" applyFill="1" applyBorder="1">
      <alignment vertical="center"/>
    </xf>
    <xf numFmtId="187" fontId="0" fillId="4" borderId="12" xfId="0" applyNumberFormat="1" applyFill="1" applyBorder="1">
      <alignment vertical="center"/>
    </xf>
    <xf numFmtId="38" fontId="0" fillId="11" borderId="12" xfId="1" applyFont="1" applyFill="1" applyBorder="1">
      <alignment vertical="center"/>
    </xf>
    <xf numFmtId="176"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86" fontId="0" fillId="14" borderId="12" xfId="0" applyNumberFormat="1" applyFill="1" applyBorder="1">
      <alignment vertical="center"/>
    </xf>
    <xf numFmtId="186" fontId="32" fillId="14" borderId="12" xfId="0" applyNumberFormat="1" applyFont="1" applyFill="1" applyBorder="1">
      <alignment vertical="center"/>
    </xf>
    <xf numFmtId="183" fontId="0" fillId="14" borderId="12" xfId="0" applyNumberFormat="1" applyFill="1" applyBorder="1">
      <alignment vertical="center"/>
    </xf>
    <xf numFmtId="185" fontId="0" fillId="14" borderId="3" xfId="0" applyNumberFormat="1" applyFill="1" applyBorder="1">
      <alignment vertical="center"/>
    </xf>
    <xf numFmtId="185" fontId="0" fillId="14" borderId="2" xfId="0" applyNumberFormat="1" applyFill="1" applyBorder="1">
      <alignment vertical="center"/>
    </xf>
    <xf numFmtId="185" fontId="0" fillId="14" borderId="1" xfId="0" applyNumberFormat="1" applyFill="1" applyBorder="1">
      <alignment vertical="center"/>
    </xf>
    <xf numFmtId="187"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76" fontId="0" fillId="14" borderId="12" xfId="0" applyNumberFormat="1" applyFill="1" applyBorder="1">
      <alignment vertical="center"/>
    </xf>
    <xf numFmtId="0" fontId="45" fillId="0" borderId="12" xfId="0" applyFont="1" applyBorder="1">
      <alignment vertical="center"/>
    </xf>
    <xf numFmtId="189" fontId="46" fillId="11" borderId="12" xfId="0" applyNumberFormat="1" applyFont="1" applyFill="1" applyBorder="1">
      <alignment vertical="center"/>
    </xf>
    <xf numFmtId="176" fontId="0" fillId="4" borderId="12" xfId="0" applyNumberFormat="1" applyFill="1" applyBorder="1" applyAlignment="1">
      <alignment horizontal="right" vertical="center"/>
    </xf>
    <xf numFmtId="186" fontId="0" fillId="4" borderId="12" xfId="0" applyNumberFormat="1" applyFill="1" applyBorder="1" applyAlignment="1">
      <alignment horizontal="right" vertical="center"/>
    </xf>
    <xf numFmtId="182" fontId="0" fillId="11" borderId="3" xfId="0" applyNumberFormat="1" applyFill="1" applyBorder="1">
      <alignment vertical="center"/>
    </xf>
    <xf numFmtId="186" fontId="29" fillId="13" borderId="0" xfId="0" applyNumberFormat="1" applyFont="1" applyFill="1">
      <alignment vertical="center"/>
    </xf>
    <xf numFmtId="0" fontId="32" fillId="13" borderId="0" xfId="0" applyFont="1" applyFill="1">
      <alignment vertical="center"/>
    </xf>
    <xf numFmtId="186" fontId="29" fillId="13" borderId="0" xfId="0" applyNumberFormat="1" applyFont="1" applyFill="1" applyAlignment="1">
      <alignment horizontal="center" vertical="center"/>
    </xf>
    <xf numFmtId="185" fontId="29" fillId="13" borderId="0" xfId="0" applyNumberFormat="1" applyFont="1" applyFill="1">
      <alignment vertical="center"/>
    </xf>
    <xf numFmtId="0" fontId="29" fillId="13" borderId="0" xfId="0" applyFont="1" applyFill="1" applyAlignment="1">
      <alignment horizontal="center" vertical="center"/>
    </xf>
    <xf numFmtId="186" fontId="47"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11" borderId="3" xfId="0" applyFill="1" applyBorder="1">
      <alignment vertical="center"/>
    </xf>
    <xf numFmtId="0" fontId="0" fillId="11" borderId="12" xfId="0" applyFill="1" applyBorder="1" applyAlignment="1">
      <alignment vertical="center" wrapText="1"/>
    </xf>
    <xf numFmtId="0" fontId="29" fillId="0" borderId="13" xfId="0" applyFont="1" applyBorder="1" applyAlignment="1">
      <alignment horizontal="left" vertical="top" wrapText="1"/>
    </xf>
    <xf numFmtId="0" fontId="29" fillId="0" borderId="14" xfId="0" applyFont="1" applyBorder="1">
      <alignment vertical="center"/>
    </xf>
    <xf numFmtId="186" fontId="29" fillId="15" borderId="3" xfId="0" applyNumberFormat="1" applyFont="1" applyFill="1" applyBorder="1">
      <alignment vertical="center"/>
    </xf>
    <xf numFmtId="186" fontId="29" fillId="15" borderId="2" xfId="0" applyNumberFormat="1" applyFont="1" applyFill="1" applyBorder="1">
      <alignment vertical="center"/>
    </xf>
    <xf numFmtId="186" fontId="29" fillId="15" borderId="1" xfId="0" applyNumberFormat="1" applyFont="1" applyFill="1" applyBorder="1">
      <alignment vertical="center"/>
    </xf>
    <xf numFmtId="186" fontId="48" fillId="11" borderId="13" xfId="0" applyNumberFormat="1" applyFont="1" applyFill="1" applyBorder="1" applyAlignment="1">
      <alignment vertical="center" wrapText="1"/>
    </xf>
    <xf numFmtId="186" fontId="37" fillId="0" borderId="13" xfId="0" applyNumberFormat="1" applyFont="1" applyBorder="1" applyAlignment="1">
      <alignment vertical="center" wrapText="1"/>
    </xf>
    <xf numFmtId="186" fontId="48" fillId="11" borderId="18" xfId="0" applyNumberFormat="1" applyFont="1" applyFill="1" applyBorder="1" applyAlignment="1">
      <alignment vertical="center" wrapText="1"/>
    </xf>
    <xf numFmtId="186" fontId="48" fillId="0" borderId="13" xfId="0" applyNumberFormat="1" applyFont="1" applyBorder="1" applyAlignment="1">
      <alignment vertical="center" wrapText="1"/>
    </xf>
    <xf numFmtId="186" fontId="48" fillId="4" borderId="13" xfId="0" applyNumberFormat="1" applyFont="1" applyFill="1" applyBorder="1" applyAlignment="1">
      <alignment vertical="center" wrapText="1"/>
    </xf>
    <xf numFmtId="0" fontId="29" fillId="0" borderId="12" xfId="0" applyFont="1" applyBorder="1" applyAlignment="1">
      <alignment horizontal="left" vertical="top" wrapText="1"/>
    </xf>
    <xf numFmtId="0" fontId="25" fillId="0" borderId="0" xfId="0" applyFont="1" applyAlignment="1">
      <alignment horizontal="center" vertical="center"/>
    </xf>
    <xf numFmtId="0" fontId="9" fillId="0" borderId="0" xfId="0" applyFont="1">
      <alignment vertical="center"/>
    </xf>
    <xf numFmtId="0" fontId="48" fillId="0" borderId="0" xfId="0" applyFont="1">
      <alignment vertical="center"/>
    </xf>
    <xf numFmtId="0" fontId="48" fillId="0" borderId="0" xfId="0" applyFont="1" applyAlignment="1">
      <alignment horizontal="right" vertical="center"/>
    </xf>
    <xf numFmtId="0" fontId="48" fillId="0" borderId="0" xfId="0" applyFont="1" applyProtection="1">
      <alignment vertical="center"/>
      <protection locked="0"/>
    </xf>
    <xf numFmtId="0" fontId="48" fillId="0" borderId="12" xfId="0" applyFont="1" applyBorder="1">
      <alignment vertical="center"/>
    </xf>
    <xf numFmtId="0" fontId="48" fillId="0" borderId="12" xfId="0" applyFont="1" applyBorder="1" applyAlignment="1">
      <alignment horizontal="center" vertical="center"/>
    </xf>
    <xf numFmtId="0" fontId="48" fillId="16" borderId="12" xfId="0" applyFont="1" applyFill="1" applyBorder="1" applyProtection="1">
      <alignment vertical="center"/>
      <protection locked="0"/>
    </xf>
    <xf numFmtId="2" fontId="48" fillId="0" borderId="12" xfId="0" applyNumberFormat="1" applyFont="1" applyBorder="1">
      <alignment vertical="center"/>
    </xf>
    <xf numFmtId="190" fontId="48" fillId="0" borderId="12" xfId="0" applyNumberFormat="1" applyFont="1" applyBorder="1">
      <alignment vertical="center"/>
    </xf>
    <xf numFmtId="190" fontId="48" fillId="0" borderId="12" xfId="1" applyNumberFormat="1" applyFont="1" applyBorder="1" applyAlignment="1" applyProtection="1">
      <alignment vertical="center"/>
    </xf>
    <xf numFmtId="0" fontId="43" fillId="0" borderId="0" xfId="0" applyFont="1">
      <alignment vertical="center"/>
    </xf>
    <xf numFmtId="0" fontId="43" fillId="0" borderId="12" xfId="0" applyFont="1" applyBorder="1" applyAlignment="1">
      <alignment horizontal="center" vertical="center"/>
    </xf>
    <xf numFmtId="0" fontId="48" fillId="17" borderId="12" xfId="0" applyFont="1" applyFill="1" applyBorder="1" applyProtection="1">
      <alignment vertical="center"/>
      <protection locked="0"/>
    </xf>
    <xf numFmtId="190" fontId="48" fillId="17" borderId="12" xfId="0" applyNumberFormat="1" applyFont="1" applyFill="1" applyBorder="1" applyProtection="1">
      <alignment vertical="center"/>
      <protection locked="0"/>
    </xf>
    <xf numFmtId="0" fontId="48" fillId="0" borderId="0" xfId="0" applyFont="1" applyAlignment="1">
      <alignment vertical="center" wrapText="1"/>
    </xf>
    <xf numFmtId="38" fontId="48" fillId="0" borderId="0" xfId="1" applyFont="1" applyProtection="1">
      <alignment vertical="center"/>
    </xf>
    <xf numFmtId="0" fontId="9" fillId="0" borderId="0" xfId="0" applyFont="1" applyAlignment="1">
      <alignment horizontal="right" vertical="center"/>
    </xf>
    <xf numFmtId="0" fontId="1" fillId="0" borderId="3" xfId="0" applyFont="1" applyBorder="1">
      <alignment vertical="center"/>
    </xf>
    <xf numFmtId="191" fontId="1" fillId="0" borderId="0" xfId="0" applyNumberFormat="1" applyFont="1" applyAlignment="1">
      <alignment horizontal="right" vertical="center"/>
    </xf>
    <xf numFmtId="0" fontId="0" fillId="0" borderId="12" xfId="0" applyBorder="1" applyAlignment="1"/>
    <xf numFmtId="38" fontId="0" fillId="0" borderId="12" xfId="1" applyFont="1" applyBorder="1">
      <alignment vertical="center"/>
    </xf>
    <xf numFmtId="38" fontId="0" fillId="0" borderId="12" xfId="0" applyNumberFormat="1" applyBorder="1">
      <alignment vertical="center"/>
    </xf>
    <xf numFmtId="49" fontId="9" fillId="0" borderId="0" xfId="0" applyNumberFormat="1" applyFont="1">
      <alignment vertical="center"/>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wrapText="1"/>
    </xf>
    <xf numFmtId="0" fontId="8" fillId="0" borderId="0" xfId="0" applyFont="1" applyAlignment="1">
      <alignment horizontal="left" vertical="center" wrapText="1"/>
    </xf>
    <xf numFmtId="0" fontId="53" fillId="0" borderId="0" xfId="0" applyFont="1" applyAlignment="1">
      <alignment horizontal="left" vertical="center"/>
    </xf>
    <xf numFmtId="182" fontId="1" fillId="0" borderId="0" xfId="0" applyNumberFormat="1" applyFont="1" applyAlignment="1" applyProtection="1">
      <alignment horizontal="right" vertical="center"/>
      <protection locked="0"/>
    </xf>
    <xf numFmtId="181" fontId="1" fillId="0" borderId="0" xfId="0" applyNumberFormat="1" applyFont="1" applyAlignment="1" applyProtection="1">
      <alignment horizontal="center"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12" xfId="0" applyFont="1" applyBorder="1" applyAlignment="1" applyProtection="1">
      <alignment horizontal="left" vertical="center"/>
      <protection locked="0"/>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2" fillId="0" borderId="0" xfId="0" applyFont="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9" xfId="0" applyFont="1" applyBorder="1" applyAlignment="1">
      <alignment horizontal="center" vertical="center" shrinkToFi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3" xfId="0" applyNumberFormat="1" applyFon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1" fontId="1" fillId="0" borderId="2"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5" fillId="0" borderId="14" xfId="0" applyFont="1" applyBorder="1" applyAlignment="1">
      <alignment horizontal="center" vertical="center" wrapText="1"/>
    </xf>
    <xf numFmtId="0" fontId="1" fillId="0" borderId="12"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6" fillId="0" borderId="0" xfId="0" applyFont="1" applyAlignment="1">
      <alignment horizontal="left" vertical="center" wrapText="1"/>
    </xf>
    <xf numFmtId="0" fontId="3" fillId="0" borderId="7"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0" fontId="1" fillId="0" borderId="0" xfId="0" applyFont="1" applyAlignment="1">
      <alignment horizontal="left" vertical="center"/>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191" fontId="1" fillId="3" borderId="3" xfId="0" applyNumberFormat="1" applyFont="1" applyFill="1" applyBorder="1" applyAlignment="1">
      <alignment horizontal="right" vertical="center"/>
    </xf>
    <xf numFmtId="191" fontId="1" fillId="3" borderId="2" xfId="0" applyNumberFormat="1" applyFont="1" applyFill="1" applyBorder="1" applyAlignment="1">
      <alignment horizontal="righ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center" vertical="center"/>
    </xf>
    <xf numFmtId="0" fontId="15" fillId="0" borderId="0" xfId="0" applyFont="1" applyAlignment="1">
      <alignment horizontal="left" vertical="center" wrapText="1"/>
    </xf>
    <xf numFmtId="179" fontId="1" fillId="0" borderId="0" xfId="0" applyNumberFormat="1" applyFont="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Alignment="1">
      <alignment horizontal="center" vertical="center"/>
    </xf>
    <xf numFmtId="0" fontId="48" fillId="0" borderId="12" xfId="0" applyFont="1" applyBorder="1" applyAlignment="1">
      <alignment horizontal="left" vertical="center" wrapText="1"/>
    </xf>
    <xf numFmtId="0" fontId="48" fillId="0" borderId="12" xfId="0" applyFont="1" applyBorder="1" applyAlignment="1">
      <alignment horizontal="left" vertical="center"/>
    </xf>
    <xf numFmtId="38" fontId="48" fillId="0" borderId="12" xfId="1" applyFont="1" applyFill="1" applyBorder="1" applyAlignment="1" applyProtection="1">
      <alignment horizontal="right" vertical="center"/>
    </xf>
    <xf numFmtId="38" fontId="48" fillId="16" borderId="12" xfId="1" applyFont="1" applyFill="1" applyBorder="1" applyAlignment="1" applyProtection="1">
      <alignment horizontal="right" vertical="center"/>
      <protection locked="0"/>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12" xfId="0" applyFont="1" applyBorder="1" applyAlignment="1">
      <alignment horizontal="center" vertical="center"/>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3" xfId="0"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3" fillId="0" borderId="12" xfId="0" applyFont="1" applyBorder="1" applyAlignment="1">
      <alignment horizontal="center" vertical="center"/>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3" xfId="0" applyFont="1" applyBorder="1" applyAlignment="1">
      <alignment horizontal="center" vertical="center"/>
    </xf>
    <xf numFmtId="0" fontId="48" fillId="0" borderId="2" xfId="0" applyFont="1" applyBorder="1" applyAlignment="1">
      <alignment horizontal="center" vertical="center"/>
    </xf>
    <xf numFmtId="0" fontId="48" fillId="0" borderId="1" xfId="0" applyFont="1" applyBorder="1" applyAlignment="1">
      <alignment horizontal="center" vertical="center"/>
    </xf>
    <xf numFmtId="188" fontId="48" fillId="16" borderId="12" xfId="0" applyNumberFormat="1" applyFont="1" applyFill="1" applyBorder="1" applyAlignment="1" applyProtection="1">
      <alignment horizontal="center" vertical="center"/>
      <protection locked="0"/>
    </xf>
    <xf numFmtId="0" fontId="55" fillId="0" borderId="0" xfId="0" applyFont="1" applyAlignment="1">
      <alignment horizontal="center" vertical="center"/>
    </xf>
    <xf numFmtId="0" fontId="25" fillId="0" borderId="0" xfId="0" applyFont="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184" fontId="24" fillId="0" borderId="2" xfId="0" applyNumberFormat="1" applyFont="1" applyBorder="1" applyAlignment="1">
      <alignment horizontal="distributed" vertical="center"/>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0" fillId="0" borderId="0" xfId="0" applyFont="1" applyAlignment="1" applyProtection="1">
      <alignment horizontal="center" vertical="center"/>
      <protection locked="0"/>
    </xf>
    <xf numFmtId="186" fontId="30" fillId="5" borderId="2" xfId="0" applyNumberFormat="1" applyFont="1" applyFill="1" applyBorder="1" applyAlignment="1">
      <alignment horizontal="center" vertical="center"/>
    </xf>
    <xf numFmtId="186" fontId="30" fillId="5" borderId="3" xfId="0" applyNumberFormat="1" applyFont="1" applyFill="1" applyBorder="1" applyAlignment="1">
      <alignment horizontal="center" vertical="center"/>
    </xf>
    <xf numFmtId="186" fontId="30" fillId="5" borderId="1" xfId="0" applyNumberFormat="1" applyFont="1" applyFill="1" applyBorder="1" applyAlignment="1">
      <alignment horizontal="center" vertical="center"/>
    </xf>
    <xf numFmtId="185" fontId="29" fillId="0" borderId="3" xfId="0" applyNumberFormat="1" applyFont="1" applyBorder="1" applyAlignment="1">
      <alignment horizontal="center" vertical="center"/>
    </xf>
    <xf numFmtId="185" fontId="29" fillId="0" borderId="2" xfId="0" applyNumberFormat="1" applyFont="1" applyBorder="1" applyAlignment="1">
      <alignment horizontal="center" vertical="center"/>
    </xf>
    <xf numFmtId="185" fontId="29" fillId="0" borderId="1" xfId="0" applyNumberFormat="1" applyFont="1" applyBorder="1" applyAlignment="1">
      <alignment horizontal="center" vertical="center"/>
    </xf>
    <xf numFmtId="186" fontId="29" fillId="4" borderId="0" xfId="0" applyNumberFormat="1" applyFont="1" applyFill="1" applyAlignment="1">
      <alignment horizontal="center" vertical="top" wrapText="1"/>
    </xf>
  </cellXfs>
  <cellStyles count="2">
    <cellStyle name="桁区切り" xfId="1" builtinId="6"/>
    <cellStyle name="標準" xfId="0" builtinId="0"/>
  </cellStyles>
  <dxfs count="66">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378E3834-44D9-4DF0-B208-4CFC2275821D}"/>
            </a:ext>
          </a:extLst>
        </xdr:cNvPr>
        <xdr:cNvCxnSpPr/>
      </xdr:nvCxnSpPr>
      <xdr:spPr>
        <a:xfrm flipH="1">
          <a:off x="4511040" y="851154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5C63D000-1FBD-4A30-98C3-095360FB98B2}"/>
            </a:ext>
          </a:extLst>
        </xdr:cNvPr>
        <xdr:cNvCxnSpPr/>
      </xdr:nvCxnSpPr>
      <xdr:spPr>
        <a:xfrm>
          <a:off x="4907280" y="8511540"/>
          <a:ext cx="0" cy="14779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0F90638D-52D4-4720-8E05-43DD1B20F614}"/>
            </a:ext>
          </a:extLst>
        </xdr:cNvPr>
        <xdr:cNvCxnSpPr/>
      </xdr:nvCxnSpPr>
      <xdr:spPr>
        <a:xfrm flipH="1">
          <a:off x="4505537" y="9989820"/>
          <a:ext cx="3962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5"/>
  <sheetViews>
    <sheetView showGridLines="0" tabSelected="1" view="pageBreakPreview" zoomScaleNormal="100" zoomScaleSheetLayoutView="100" workbookViewId="0">
      <selection activeCell="C9" sqref="C9:F9"/>
    </sheetView>
  </sheetViews>
  <sheetFormatPr defaultColWidth="2.8984375" defaultRowHeight="13.2" x14ac:dyDescent="0.45"/>
  <cols>
    <col min="1" max="1" width="3.8984375" style="1" customWidth="1"/>
    <col min="2" max="2" width="3.3984375" style="1" customWidth="1"/>
    <col min="3" max="3" width="3.09765625" style="1" bestFit="1" customWidth="1"/>
    <col min="4" max="11" width="2.8984375" style="1"/>
    <col min="12" max="12" width="3.09765625" style="1" bestFit="1" customWidth="1"/>
    <col min="13" max="16" width="2.8984375" style="1"/>
    <col min="17" max="17" width="3.09765625" style="1" bestFit="1" customWidth="1"/>
    <col min="18" max="21" width="2.8984375" style="1"/>
    <col min="22" max="22" width="3.09765625" style="1" bestFit="1" customWidth="1"/>
    <col min="23" max="26" width="2.8984375" style="1"/>
    <col min="27" max="27" width="3.3984375" style="1" customWidth="1"/>
    <col min="28" max="28" width="2.09765625" style="2" customWidth="1"/>
    <col min="29" max="31" width="2.8984375" style="2"/>
    <col min="32" max="35" width="3.09765625" style="2" bestFit="1" customWidth="1"/>
    <col min="36" max="39" width="2.8984375" style="2"/>
    <col min="40" max="41" width="3.09765625" style="2" bestFit="1" customWidth="1"/>
    <col min="42" max="55" width="2.8984375" style="2"/>
    <col min="56" max="58" width="2.8984375" style="1"/>
    <col min="59" max="59" width="6.59765625" style="1" customWidth="1"/>
    <col min="60" max="16384" width="2.8984375" style="1"/>
  </cols>
  <sheetData>
    <row r="1" spans="1:60" ht="13.5" customHeight="1" x14ac:dyDescent="0.45">
      <c r="A1" s="1" t="s">
        <v>371</v>
      </c>
      <c r="K1" s="47"/>
      <c r="L1" s="47"/>
      <c r="M1" s="47"/>
      <c r="N1" s="47"/>
      <c r="O1" s="47"/>
      <c r="P1" s="47"/>
      <c r="Q1" s="47"/>
      <c r="R1" s="47"/>
      <c r="Z1" s="48"/>
      <c r="AA1" s="295" t="s">
        <v>366</v>
      </c>
      <c r="AC1" s="3" t="s">
        <v>141</v>
      </c>
      <c r="BG1" s="1" t="s">
        <v>140</v>
      </c>
      <c r="BH1" s="1" t="s">
        <v>129</v>
      </c>
    </row>
    <row r="2" spans="1:60" ht="15.6" customHeight="1" x14ac:dyDescent="0.45">
      <c r="K2" s="47"/>
      <c r="L2" s="47"/>
      <c r="M2" s="47"/>
      <c r="N2" s="47"/>
      <c r="O2" s="47"/>
      <c r="P2" s="47"/>
      <c r="Q2" s="47"/>
      <c r="R2" s="47"/>
      <c r="Y2" s="1" t="s">
        <v>475</v>
      </c>
      <c r="AC2" s="3" t="s">
        <v>139</v>
      </c>
      <c r="BG2" s="1" t="s">
        <v>138</v>
      </c>
      <c r="BH2" s="1" t="s">
        <v>110</v>
      </c>
    </row>
    <row r="3" spans="1:60" ht="14.4" x14ac:dyDescent="0.45">
      <c r="A3" s="314" t="s">
        <v>448</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C3" s="3"/>
      <c r="BG3" s="1" t="s">
        <v>136</v>
      </c>
      <c r="BH3" s="1" t="s">
        <v>123</v>
      </c>
    </row>
    <row r="4" spans="1:60" ht="14.4" x14ac:dyDescent="0.45">
      <c r="A4" s="314" t="s">
        <v>447</v>
      </c>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C4" s="3" t="s">
        <v>137</v>
      </c>
      <c r="BG4" s="1" t="s">
        <v>135</v>
      </c>
      <c r="BH4" s="1" t="s">
        <v>110</v>
      </c>
    </row>
    <row r="5" spans="1:60" ht="6" customHeight="1" x14ac:dyDescent="0.45">
      <c r="AC5" s="3"/>
      <c r="BG5" s="1" t="s">
        <v>133</v>
      </c>
      <c r="BH5" s="1" t="s">
        <v>129</v>
      </c>
    </row>
    <row r="6" spans="1:60" x14ac:dyDescent="0.45">
      <c r="A6" s="312" t="s">
        <v>134</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BG6" s="1" t="s">
        <v>132</v>
      </c>
      <c r="BH6" s="1" t="s">
        <v>129</v>
      </c>
    </row>
    <row r="7" spans="1:60" x14ac:dyDescent="0.45">
      <c r="A7" s="312"/>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BG7" s="1" t="s">
        <v>131</v>
      </c>
      <c r="BH7" s="1" t="s">
        <v>129</v>
      </c>
    </row>
    <row r="8" spans="1:60" ht="7.5" customHeight="1" x14ac:dyDescent="0.45">
      <c r="BG8" s="1" t="s">
        <v>130</v>
      </c>
      <c r="BH8" s="1" t="s">
        <v>129</v>
      </c>
    </row>
    <row r="9" spans="1:60" x14ac:dyDescent="0.45">
      <c r="C9" s="315"/>
      <c r="D9" s="315"/>
      <c r="E9" s="315"/>
      <c r="F9" s="315"/>
      <c r="G9" s="1" t="s">
        <v>87</v>
      </c>
      <c r="H9" s="316"/>
      <c r="I9" s="316"/>
      <c r="J9" s="1" t="s">
        <v>86</v>
      </c>
      <c r="K9" s="316"/>
      <c r="L9" s="316"/>
      <c r="M9" s="1" t="s">
        <v>85</v>
      </c>
      <c r="AB9" s="3" t="str">
        <f>IF(OR(C9="",H9="",K9=""),"←リストから選択してください（和暦年月日）","")</f>
        <v>←リストから選択してください（和暦年月日）</v>
      </c>
      <c r="BG9" s="1" t="s">
        <v>128</v>
      </c>
      <c r="BH9" s="1" t="s">
        <v>123</v>
      </c>
    </row>
    <row r="10" spans="1:60" ht="4.95" customHeight="1" x14ac:dyDescent="0.45">
      <c r="BG10" s="1" t="s">
        <v>126</v>
      </c>
      <c r="BH10" s="1" t="s">
        <v>123</v>
      </c>
    </row>
    <row r="11" spans="1:60" x14ac:dyDescent="0.45">
      <c r="J11" s="46" t="s">
        <v>47</v>
      </c>
      <c r="K11" s="42"/>
      <c r="L11" s="42"/>
      <c r="M11" s="41"/>
      <c r="N11" s="46" t="s">
        <v>127</v>
      </c>
      <c r="O11" s="317"/>
      <c r="P11" s="317"/>
      <c r="Q11" s="317"/>
      <c r="R11" s="317"/>
      <c r="S11" s="317"/>
      <c r="T11" s="317"/>
      <c r="U11" s="317"/>
      <c r="V11" s="317"/>
      <c r="W11" s="317"/>
      <c r="X11" s="317"/>
      <c r="Y11" s="317"/>
      <c r="Z11" s="318"/>
      <c r="AB11" s="3" t="str">
        <f>IF(O11="","←直接郵便番号を記入してください","")</f>
        <v>←直接郵便番号を記入してください</v>
      </c>
      <c r="BG11" s="1" t="s">
        <v>125</v>
      </c>
      <c r="BH11" s="1" t="s">
        <v>123</v>
      </c>
    </row>
    <row r="12" spans="1:60" ht="26.25" customHeight="1" x14ac:dyDescent="0.45">
      <c r="J12" s="30"/>
      <c r="K12" s="40"/>
      <c r="L12" s="40"/>
      <c r="M12" s="39"/>
      <c r="N12" s="319"/>
      <c r="O12" s="320"/>
      <c r="P12" s="320"/>
      <c r="Q12" s="320"/>
      <c r="R12" s="320"/>
      <c r="S12" s="320"/>
      <c r="T12" s="320"/>
      <c r="U12" s="320"/>
      <c r="V12" s="320"/>
      <c r="W12" s="320"/>
      <c r="X12" s="320"/>
      <c r="Y12" s="320"/>
      <c r="Z12" s="321"/>
      <c r="AB12" s="3" t="str">
        <f>IF(N12="","←直接住所を記入してください","")</f>
        <v>←直接住所を記入してください</v>
      </c>
      <c r="BG12" s="1" t="s">
        <v>124</v>
      </c>
      <c r="BH12" s="1" t="s">
        <v>123</v>
      </c>
    </row>
    <row r="13" spans="1:60" x14ac:dyDescent="0.45">
      <c r="J13" s="305" t="s">
        <v>440</v>
      </c>
      <c r="K13" s="306"/>
      <c r="L13" s="306"/>
      <c r="M13" s="307"/>
      <c r="N13" s="302"/>
      <c r="O13" s="303"/>
      <c r="P13" s="303"/>
      <c r="Q13" s="303"/>
      <c r="R13" s="303"/>
      <c r="S13" s="303"/>
      <c r="T13" s="303"/>
      <c r="U13" s="303"/>
      <c r="V13" s="303"/>
      <c r="W13" s="303"/>
      <c r="X13" s="303"/>
      <c r="Y13" s="303"/>
      <c r="Z13" s="304"/>
      <c r="AB13" s="3" t="str">
        <f>IF(N13="","←直接建築主の氏名を記入してください","")</f>
        <v>←直接建築主の氏名を記入してください</v>
      </c>
      <c r="BG13" s="1" t="s">
        <v>121</v>
      </c>
      <c r="BH13" s="1" t="s">
        <v>110</v>
      </c>
    </row>
    <row r="14" spans="1:60" x14ac:dyDescent="0.45">
      <c r="J14" s="308" t="s">
        <v>374</v>
      </c>
      <c r="K14" s="309"/>
      <c r="L14" s="309"/>
      <c r="M14" s="310"/>
      <c r="N14" s="302"/>
      <c r="O14" s="303"/>
      <c r="P14" s="303"/>
      <c r="Q14" s="303"/>
      <c r="R14" s="303"/>
      <c r="S14" s="303"/>
      <c r="T14" s="303"/>
      <c r="U14" s="303"/>
      <c r="V14" s="303"/>
      <c r="W14" s="303"/>
      <c r="X14" s="303"/>
      <c r="Y14" s="303"/>
      <c r="Z14" s="304"/>
      <c r="AB14" s="3"/>
      <c r="BG14" s="1" t="s">
        <v>119</v>
      </c>
      <c r="BH14" s="1" t="s">
        <v>110</v>
      </c>
    </row>
    <row r="15" spans="1:60" x14ac:dyDescent="0.45">
      <c r="J15" s="311" t="s">
        <v>122</v>
      </c>
      <c r="K15" s="311"/>
      <c r="L15" s="311"/>
      <c r="M15" s="311"/>
      <c r="N15" s="302"/>
      <c r="O15" s="303"/>
      <c r="P15" s="303"/>
      <c r="Q15" s="303"/>
      <c r="R15" s="303"/>
      <c r="S15" s="303"/>
      <c r="T15" s="303"/>
      <c r="U15" s="303"/>
      <c r="V15" s="303"/>
      <c r="W15" s="303"/>
      <c r="X15" s="303"/>
      <c r="Y15" s="303"/>
      <c r="Z15" s="304"/>
      <c r="AB15" s="3" t="str">
        <f>IF(N15="","←直接電話番号を記入してください","")</f>
        <v>←直接電話番号を記入してください</v>
      </c>
      <c r="BG15" s="1" t="s">
        <v>117</v>
      </c>
      <c r="BH15" s="1" t="s">
        <v>110</v>
      </c>
    </row>
    <row r="16" spans="1:60" x14ac:dyDescent="0.45">
      <c r="A16" s="1" t="s">
        <v>120</v>
      </c>
      <c r="BG16" s="1" t="s">
        <v>115</v>
      </c>
      <c r="BH16" s="1" t="s">
        <v>110</v>
      </c>
    </row>
    <row r="17" spans="1:68" x14ac:dyDescent="0.45">
      <c r="A17" s="1" t="s">
        <v>118</v>
      </c>
      <c r="AA17" s="45"/>
      <c r="BG17" s="1" t="s">
        <v>114</v>
      </c>
      <c r="BH17" s="1" t="s">
        <v>110</v>
      </c>
    </row>
    <row r="18" spans="1:68" ht="27" customHeight="1" x14ac:dyDescent="0.45">
      <c r="A18" s="312" t="s">
        <v>116</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BG18" s="1" t="s">
        <v>112</v>
      </c>
      <c r="BH18" s="1" t="s">
        <v>110</v>
      </c>
    </row>
    <row r="19" spans="1:68" ht="7.5" customHeight="1" x14ac:dyDescent="0.45">
      <c r="AA19" s="45"/>
      <c r="BG19" s="1" t="s">
        <v>111</v>
      </c>
      <c r="BH19" s="1" t="s">
        <v>110</v>
      </c>
    </row>
    <row r="20" spans="1:68" x14ac:dyDescent="0.45">
      <c r="A20" s="1" t="s">
        <v>113</v>
      </c>
    </row>
    <row r="21" spans="1:68" ht="5.4" customHeight="1" x14ac:dyDescent="0.45">
      <c r="AA21" s="45"/>
    </row>
    <row r="22" spans="1:68" ht="13.5" customHeight="1" x14ac:dyDescent="0.45">
      <c r="B22" s="11"/>
      <c r="C22" s="312" t="s">
        <v>109</v>
      </c>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row>
    <row r="23" spans="1:68" x14ac:dyDescent="0.45">
      <c r="B23" s="15"/>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row>
    <row r="24" spans="1:68" ht="15.75" customHeight="1" x14ac:dyDescent="0.45">
      <c r="B24" s="15"/>
      <c r="C24" s="313" t="s">
        <v>108</v>
      </c>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row>
    <row r="25" spans="1:68" ht="5.4" customHeight="1" x14ac:dyDescent="0.45">
      <c r="AA25" s="45"/>
    </row>
    <row r="26" spans="1:68" ht="13.5" customHeight="1" x14ac:dyDescent="0.45">
      <c r="B26" s="11"/>
      <c r="C26" s="312" t="s">
        <v>367</v>
      </c>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row>
    <row r="27" spans="1:68" x14ac:dyDescent="0.45">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BG27" s="1" t="str">
        <f>IF(M31="","",VLOOKUP(M31,BG1:BH19,2,FALSE))</f>
        <v/>
      </c>
    </row>
    <row r="28" spans="1:68" ht="1.5" customHeight="1" x14ac:dyDescent="0.45">
      <c r="C28" s="44"/>
      <c r="D28" s="6"/>
    </row>
    <row r="29" spans="1:68" ht="1.5" customHeight="1" x14ac:dyDescent="0.45">
      <c r="C29" s="6"/>
    </row>
    <row r="30" spans="1:68" ht="2.25" customHeight="1" x14ac:dyDescent="0.45">
      <c r="C30" s="6"/>
    </row>
    <row r="31" spans="1:68" x14ac:dyDescent="0.45">
      <c r="D31" s="325" t="s">
        <v>107</v>
      </c>
      <c r="E31" s="326"/>
      <c r="F31" s="326"/>
      <c r="G31" s="326"/>
      <c r="H31" s="327"/>
      <c r="I31" s="305" t="s">
        <v>106</v>
      </c>
      <c r="J31" s="306"/>
      <c r="K31" s="306"/>
      <c r="L31" s="307"/>
      <c r="M31" s="322"/>
      <c r="N31" s="323"/>
      <c r="O31" s="323"/>
      <c r="P31" s="323"/>
      <c r="Q31" s="323"/>
      <c r="R31" s="323"/>
      <c r="S31" s="323"/>
      <c r="T31" s="323"/>
      <c r="U31" s="323"/>
      <c r="V31" s="323"/>
      <c r="W31" s="323"/>
      <c r="X31" s="324"/>
      <c r="AB31" s="3" t="str">
        <f>IF(M31="","←リストから選択してください（市町村名）","")</f>
        <v>←リストから選択してください（市町村名）</v>
      </c>
      <c r="BG31" s="2"/>
      <c r="BH31" s="2"/>
      <c r="BI31" s="2"/>
      <c r="BJ31" s="2"/>
      <c r="BK31" s="2"/>
      <c r="BL31" s="2"/>
      <c r="BM31" s="2"/>
      <c r="BN31" s="2"/>
      <c r="BO31" s="2"/>
    </row>
    <row r="32" spans="1:68" x14ac:dyDescent="0.45">
      <c r="D32" s="330"/>
      <c r="E32" s="331"/>
      <c r="F32" s="331"/>
      <c r="G32" s="331"/>
      <c r="H32" s="332"/>
      <c r="I32" s="302"/>
      <c r="J32" s="303"/>
      <c r="K32" s="303"/>
      <c r="L32" s="303"/>
      <c r="M32" s="303"/>
      <c r="N32" s="303"/>
      <c r="O32" s="303"/>
      <c r="P32" s="303"/>
      <c r="Q32" s="303"/>
      <c r="R32" s="303"/>
      <c r="S32" s="303"/>
      <c r="T32" s="303"/>
      <c r="U32" s="303"/>
      <c r="V32" s="303"/>
      <c r="W32" s="303"/>
      <c r="X32" s="304"/>
      <c r="AB32" s="3" t="str">
        <f>IF(I32="","←市町村名より後の所在地を直接記入してください","")</f>
        <v>←市町村名より後の所在地を直接記入してください</v>
      </c>
      <c r="BG32" s="2"/>
      <c r="BH32" s="2"/>
      <c r="BI32" s="2"/>
      <c r="BJ32" s="2"/>
      <c r="BK32" s="2"/>
      <c r="BL32" s="2"/>
      <c r="BM32" s="2"/>
      <c r="BN32" s="2"/>
      <c r="BO32" s="2"/>
      <c r="BP32" s="2"/>
    </row>
    <row r="33" spans="1:68" x14ac:dyDescent="0.45">
      <c r="D33" s="325" t="s">
        <v>105</v>
      </c>
      <c r="E33" s="326"/>
      <c r="F33" s="326"/>
      <c r="G33" s="326"/>
      <c r="H33" s="327"/>
      <c r="I33" s="322"/>
      <c r="J33" s="323"/>
      <c r="K33" s="323"/>
      <c r="L33" s="323"/>
      <c r="M33" s="323"/>
      <c r="N33" s="324"/>
      <c r="O33" s="305" t="s">
        <v>104</v>
      </c>
      <c r="P33" s="306"/>
      <c r="Q33" s="306"/>
      <c r="R33" s="307"/>
      <c r="S33" s="328"/>
      <c r="T33" s="329"/>
      <c r="U33" s="329"/>
      <c r="V33" s="329"/>
      <c r="W33" s="306" t="s">
        <v>20</v>
      </c>
      <c r="X33" s="307"/>
      <c r="AB33" s="3" t="str">
        <f>IF(I33="","←リストから選択してください（増築、改築、修繕、模様替）","")</f>
        <v>←リストから選択してください（増築、改築、修繕、模様替）</v>
      </c>
      <c r="BG33" s="2"/>
      <c r="BH33" s="2"/>
      <c r="BI33" s="2"/>
      <c r="BJ33" s="2"/>
      <c r="BK33" s="2"/>
      <c r="BL33" s="2"/>
      <c r="BM33" s="2"/>
      <c r="BN33" s="2"/>
      <c r="BO33" s="2"/>
      <c r="BP33" s="2"/>
    </row>
    <row r="34" spans="1:68" x14ac:dyDescent="0.45">
      <c r="D34" s="325" t="s">
        <v>103</v>
      </c>
      <c r="E34" s="326"/>
      <c r="F34" s="326"/>
      <c r="G34" s="326"/>
      <c r="H34" s="327"/>
      <c r="I34" s="333"/>
      <c r="J34" s="334"/>
      <c r="K34" s="334"/>
      <c r="L34" s="327" t="s">
        <v>102</v>
      </c>
      <c r="M34" s="335"/>
      <c r="N34" s="335"/>
      <c r="O34" s="335"/>
      <c r="P34" s="335"/>
      <c r="Q34" s="335"/>
      <c r="R34" s="336"/>
      <c r="S34" s="336"/>
      <c r="T34" s="336"/>
      <c r="U34" s="336"/>
      <c r="V34" s="337"/>
      <c r="W34" s="337"/>
      <c r="X34" s="4"/>
      <c r="AB34" s="43" t="str">
        <f>IF(I34="","←延床面積を入力してください。",IF(AND(I33="併用住宅",V34=""),"←面積を入力してください。",""))</f>
        <v>←延床面積を入力してください。</v>
      </c>
      <c r="BG34" s="2"/>
      <c r="BH34" s="2"/>
      <c r="BI34" s="2"/>
      <c r="BJ34" s="2"/>
      <c r="BK34" s="2"/>
      <c r="BL34" s="2"/>
      <c r="BM34" s="2"/>
      <c r="BN34" s="2"/>
      <c r="BO34" s="2"/>
      <c r="BP34" s="2"/>
    </row>
    <row r="35" spans="1:68" s="2" customFormat="1" x14ac:dyDescent="0.45">
      <c r="A35" s="1"/>
      <c r="B35" s="1"/>
      <c r="C35" s="1"/>
      <c r="D35" s="330"/>
      <c r="E35" s="331"/>
      <c r="F35" s="331"/>
      <c r="G35" s="331"/>
      <c r="H35" s="332"/>
      <c r="I35" s="333"/>
      <c r="J35" s="334"/>
      <c r="K35" s="334"/>
      <c r="L35" s="332"/>
      <c r="M35" s="335"/>
      <c r="N35" s="335"/>
      <c r="O35" s="335"/>
      <c r="P35" s="335"/>
      <c r="Q35" s="335"/>
      <c r="R35" s="336"/>
      <c r="S35" s="336"/>
      <c r="T35" s="336"/>
      <c r="U35" s="336"/>
      <c r="V35" s="337"/>
      <c r="W35" s="337"/>
      <c r="X35" s="4"/>
      <c r="Y35" s="1"/>
      <c r="Z35" s="1"/>
      <c r="AA35" s="1"/>
      <c r="AB35" s="43" t="str">
        <f>IF(AND(I33="併用住宅",V35=""),"←面積を入力してください。","")</f>
        <v/>
      </c>
    </row>
    <row r="36" spans="1:68" s="2" customFormat="1" x14ac:dyDescent="0.45">
      <c r="A36" s="1"/>
      <c r="B36" s="1"/>
      <c r="C36" s="1"/>
      <c r="D36" s="311" t="s">
        <v>101</v>
      </c>
      <c r="E36" s="311"/>
      <c r="F36" s="311"/>
      <c r="G36" s="311"/>
      <c r="H36" s="311"/>
      <c r="I36" s="338"/>
      <c r="J36" s="338"/>
      <c r="K36" s="338"/>
      <c r="L36" s="338"/>
      <c r="M36" s="338"/>
      <c r="N36" s="338"/>
      <c r="O36" s="338"/>
      <c r="P36" s="338"/>
      <c r="Q36" s="338"/>
      <c r="R36" s="338"/>
      <c r="S36" s="338"/>
      <c r="T36" s="338"/>
      <c r="U36" s="338"/>
      <c r="V36" s="338"/>
      <c r="W36" s="338"/>
      <c r="X36" s="338"/>
      <c r="Y36" s="1"/>
      <c r="Z36" s="1"/>
      <c r="AA36" s="1"/>
      <c r="AB36" s="3" t="str">
        <f>IF(I36="","←リストから選択してください（在来軸組工法・その他）","")</f>
        <v>←リストから選択してください（在来軸組工法・その他）</v>
      </c>
    </row>
    <row r="37" spans="1:68" s="2" customFormat="1" x14ac:dyDescent="0.45">
      <c r="A37" s="1"/>
      <c r="B37" s="1"/>
      <c r="C37" s="1"/>
      <c r="D37" s="325" t="s">
        <v>100</v>
      </c>
      <c r="E37" s="326"/>
      <c r="F37" s="326"/>
      <c r="G37" s="326"/>
      <c r="H37" s="327"/>
      <c r="I37" s="339" t="s">
        <v>99</v>
      </c>
      <c r="J37" s="340"/>
      <c r="K37" s="340"/>
      <c r="L37" s="340"/>
      <c r="M37" s="340"/>
      <c r="N37" s="341"/>
      <c r="O37" s="341"/>
      <c r="P37" s="341"/>
      <c r="Q37" s="341"/>
      <c r="R37" s="42" t="s">
        <v>87</v>
      </c>
      <c r="S37" s="342"/>
      <c r="T37" s="342"/>
      <c r="U37" s="42" t="s">
        <v>86</v>
      </c>
      <c r="V37" s="342"/>
      <c r="W37" s="342"/>
      <c r="X37" s="41" t="s">
        <v>85</v>
      </c>
      <c r="Y37" s="1"/>
      <c r="Z37" s="1"/>
      <c r="AA37" s="1"/>
      <c r="AB37" s="3" t="str">
        <f>IF(OR(N37="",S37="",V37=""),"←リストから選択してください（和暦年月日）","")</f>
        <v>←リストから選択してください（和暦年月日）</v>
      </c>
    </row>
    <row r="38" spans="1:68" s="2" customFormat="1" x14ac:dyDescent="0.45">
      <c r="A38" s="1"/>
      <c r="B38" s="1"/>
      <c r="C38" s="1"/>
      <c r="D38" s="330"/>
      <c r="E38" s="331"/>
      <c r="F38" s="331"/>
      <c r="G38" s="331"/>
      <c r="H38" s="332"/>
      <c r="I38" s="343" t="s">
        <v>98</v>
      </c>
      <c r="J38" s="344"/>
      <c r="K38" s="344"/>
      <c r="L38" s="344"/>
      <c r="M38" s="344"/>
      <c r="N38" s="345"/>
      <c r="O38" s="345"/>
      <c r="P38" s="345"/>
      <c r="Q38" s="345"/>
      <c r="R38" s="40" t="s">
        <v>87</v>
      </c>
      <c r="S38" s="346"/>
      <c r="T38" s="346"/>
      <c r="U38" s="40" t="s">
        <v>86</v>
      </c>
      <c r="V38" s="346"/>
      <c r="W38" s="346"/>
      <c r="X38" s="39" t="s">
        <v>85</v>
      </c>
      <c r="Y38" s="1"/>
      <c r="Z38" s="1"/>
      <c r="AA38" s="1"/>
      <c r="AB38" s="3" t="str">
        <f>IF(OR(N38="",S38="",V38=""),"←リストから選択してください（和暦年月日）","")</f>
        <v>←リストから選択してください（和暦年月日）</v>
      </c>
    </row>
    <row r="39" spans="1:68" s="2" customFormat="1" ht="6" customHeight="1" x14ac:dyDescent="0.45">
      <c r="A39" s="1"/>
      <c r="B39" s="1"/>
      <c r="C39" s="1"/>
      <c r="D39" s="347" t="str">
        <f>IF(I36="その他","（工法名）","")</f>
        <v/>
      </c>
      <c r="E39" s="347"/>
      <c r="F39" s="347"/>
      <c r="G39" s="347"/>
      <c r="H39" s="347"/>
      <c r="I39" s="348"/>
      <c r="J39" s="348"/>
      <c r="K39" s="348"/>
      <c r="L39" s="348"/>
      <c r="M39" s="348"/>
      <c r="N39" s="348"/>
      <c r="O39" s="348"/>
      <c r="P39" s="348"/>
      <c r="Q39" s="348"/>
      <c r="R39" s="348"/>
      <c r="S39" s="348"/>
      <c r="T39" s="348"/>
      <c r="U39" s="348"/>
      <c r="V39" s="348"/>
      <c r="W39" s="348"/>
      <c r="X39" s="348"/>
      <c r="Y39" s="4" t="str">
        <f>IF(AND($I$36="その他",I39=""),"←工法を直接入力してください","")</f>
        <v/>
      </c>
      <c r="Z39" s="1"/>
      <c r="AA39" s="1"/>
    </row>
    <row r="40" spans="1:68" s="2" customFormat="1" x14ac:dyDescent="0.45">
      <c r="A40" s="1"/>
      <c r="B40" s="11"/>
      <c r="C40" s="1" t="s">
        <v>97</v>
      </c>
      <c r="D40" s="1"/>
      <c r="E40" s="1"/>
      <c r="F40" s="1"/>
      <c r="G40" s="1"/>
      <c r="H40" s="1"/>
      <c r="I40" s="1"/>
      <c r="J40" s="1"/>
      <c r="K40" s="1"/>
      <c r="L40" s="1"/>
      <c r="M40" s="1"/>
      <c r="N40" s="1"/>
      <c r="O40" s="1"/>
      <c r="P40" s="1"/>
      <c r="Q40" s="1"/>
      <c r="R40" s="1"/>
      <c r="S40" s="1"/>
      <c r="T40" s="1"/>
      <c r="U40" s="1"/>
      <c r="V40" s="1"/>
      <c r="W40" s="1"/>
      <c r="X40" s="1"/>
      <c r="Y40" s="1"/>
      <c r="Z40" s="1"/>
      <c r="AA40" s="1"/>
    </row>
    <row r="41" spans="1:68" s="2" customFormat="1" x14ac:dyDescent="0.45">
      <c r="A41" s="1"/>
      <c r="B41" s="1"/>
      <c r="C41" s="1"/>
      <c r="D41" s="305" t="s">
        <v>96</v>
      </c>
      <c r="E41" s="306"/>
      <c r="F41" s="306"/>
      <c r="G41" s="306"/>
      <c r="H41" s="307"/>
      <c r="I41" s="349"/>
      <c r="J41" s="317"/>
      <c r="K41" s="317"/>
      <c r="L41" s="317"/>
      <c r="M41" s="317"/>
      <c r="N41" s="317"/>
      <c r="O41" s="317"/>
      <c r="P41" s="317"/>
      <c r="Q41" s="317"/>
      <c r="R41" s="317"/>
      <c r="S41" s="317"/>
      <c r="T41" s="317"/>
      <c r="U41" s="317"/>
      <c r="V41" s="317"/>
      <c r="W41" s="317"/>
      <c r="X41" s="318"/>
      <c r="Y41" s="1"/>
      <c r="Z41" s="1"/>
      <c r="AA41" s="1"/>
      <c r="AB41" s="3" t="str">
        <f>IF(I41="","←直接記入してください","")</f>
        <v>←直接記入してください</v>
      </c>
    </row>
    <row r="42" spans="1:68" s="2" customFormat="1" x14ac:dyDescent="0.45">
      <c r="A42" s="1"/>
      <c r="B42" s="1"/>
      <c r="C42" s="1"/>
      <c r="D42" s="305" t="s">
        <v>95</v>
      </c>
      <c r="E42" s="306"/>
      <c r="F42" s="306"/>
      <c r="G42" s="306"/>
      <c r="H42" s="307"/>
      <c r="I42" s="302"/>
      <c r="J42" s="303"/>
      <c r="K42" s="303"/>
      <c r="L42" s="303"/>
      <c r="M42" s="303"/>
      <c r="N42" s="303"/>
      <c r="O42" s="303"/>
      <c r="P42" s="303"/>
      <c r="Q42" s="303"/>
      <c r="R42" s="303"/>
      <c r="S42" s="303"/>
      <c r="T42" s="303"/>
      <c r="U42" s="303"/>
      <c r="V42" s="303"/>
      <c r="W42" s="303"/>
      <c r="X42" s="304"/>
      <c r="Y42" s="1"/>
      <c r="Z42" s="1"/>
      <c r="AA42" s="1"/>
      <c r="AB42" s="3" t="str">
        <f>IF(I42="","←直接記入してください","")</f>
        <v>←直接記入してください</v>
      </c>
    </row>
    <row r="43" spans="1:68" s="2" customFormat="1" x14ac:dyDescent="0.45">
      <c r="A43" s="1"/>
      <c r="B43" s="1"/>
      <c r="C43" s="1"/>
      <c r="D43" s="305" t="s">
        <v>94</v>
      </c>
      <c r="E43" s="306"/>
      <c r="F43" s="306"/>
      <c r="G43" s="306"/>
      <c r="H43" s="307"/>
      <c r="I43" s="350"/>
      <c r="J43" s="351"/>
      <c r="K43" s="351"/>
      <c r="L43" s="351"/>
      <c r="M43" s="351"/>
      <c r="N43" s="351"/>
      <c r="O43" s="351"/>
      <c r="P43" s="351"/>
      <c r="Q43" s="351"/>
      <c r="R43" s="351"/>
      <c r="S43" s="351"/>
      <c r="T43" s="351"/>
      <c r="U43" s="351"/>
      <c r="V43" s="351"/>
      <c r="W43" s="351"/>
      <c r="X43" s="352"/>
      <c r="Y43" s="1"/>
      <c r="Z43" s="1"/>
      <c r="AA43" s="1"/>
      <c r="AB43" s="3" t="str">
        <f>IF(I43="","←直接記入してください","")</f>
        <v>←直接記入してください</v>
      </c>
    </row>
    <row r="44" spans="1:68" s="2" customFormat="1" ht="5.4" customHeight="1"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68" s="2" customFormat="1" x14ac:dyDescent="0.45">
      <c r="A45" s="1"/>
      <c r="B45" s="11"/>
      <c r="C45" s="1" t="s">
        <v>93</v>
      </c>
      <c r="D45" s="1"/>
      <c r="E45" s="1"/>
      <c r="F45" s="1"/>
      <c r="G45" s="1"/>
      <c r="H45" s="1"/>
      <c r="I45" s="1"/>
      <c r="J45" s="1"/>
      <c r="K45" s="1"/>
      <c r="L45" s="1"/>
      <c r="M45" s="1"/>
      <c r="N45" s="1"/>
      <c r="O45" s="1"/>
      <c r="P45" s="1"/>
      <c r="Q45" s="1"/>
      <c r="R45" s="1"/>
      <c r="S45" s="1"/>
      <c r="T45" s="1"/>
      <c r="U45" s="1"/>
      <c r="V45" s="1"/>
      <c r="W45" s="1"/>
      <c r="X45" s="1"/>
      <c r="Y45" s="1"/>
      <c r="Z45" s="1"/>
      <c r="AA45" s="1"/>
    </row>
    <row r="46" spans="1:68" s="2" customFormat="1" x14ac:dyDescent="0.45">
      <c r="A46" s="1"/>
      <c r="B46" s="1"/>
      <c r="C46" s="1"/>
      <c r="D46" s="305" t="s">
        <v>92</v>
      </c>
      <c r="E46" s="306"/>
      <c r="F46" s="306"/>
      <c r="G46" s="306"/>
      <c r="H46" s="307"/>
      <c r="I46" s="322"/>
      <c r="J46" s="323"/>
      <c r="K46" s="323"/>
      <c r="L46" s="323"/>
      <c r="M46" s="323"/>
      <c r="N46" s="324"/>
      <c r="O46" s="305" t="s">
        <v>91</v>
      </c>
      <c r="P46" s="306"/>
      <c r="Q46" s="306"/>
      <c r="R46" s="306"/>
      <c r="S46" s="307"/>
      <c r="T46" s="322"/>
      <c r="U46" s="323"/>
      <c r="V46" s="323"/>
      <c r="W46" s="323"/>
      <c r="X46" s="323"/>
      <c r="Y46" s="324"/>
      <c r="Z46" s="1"/>
      <c r="AA46" s="1"/>
      <c r="AB46" s="3" t="str">
        <f>IF(OR(I46="",T46=""),"←リストから選択してください（要・不要）","")</f>
        <v>←リストから選択してください（要・不要）</v>
      </c>
    </row>
    <row r="47" spans="1:68" s="2" customFormat="1" x14ac:dyDescent="0.45">
      <c r="A47" s="1"/>
      <c r="B47" s="1"/>
      <c r="C47" s="1"/>
      <c r="D47" s="305" t="s">
        <v>90</v>
      </c>
      <c r="E47" s="306"/>
      <c r="F47" s="306"/>
      <c r="G47" s="306"/>
      <c r="H47" s="307"/>
      <c r="I47" s="322"/>
      <c r="J47" s="323"/>
      <c r="K47" s="323"/>
      <c r="L47" s="323"/>
      <c r="M47" s="323"/>
      <c r="N47" s="324"/>
      <c r="O47" s="339" t="s">
        <v>89</v>
      </c>
      <c r="P47" s="340"/>
      <c r="Q47" s="340"/>
      <c r="R47" s="340"/>
      <c r="S47" s="356"/>
      <c r="T47" s="360"/>
      <c r="U47" s="361"/>
      <c r="V47" s="361"/>
      <c r="W47" s="361"/>
      <c r="X47" s="361"/>
      <c r="Y47" s="362"/>
      <c r="Z47" s="1"/>
      <c r="AA47" s="1"/>
      <c r="AB47" s="3" t="str">
        <f>IF(OR(I47="",T47=""),"←リストから選択してください（有・無）","")</f>
        <v>←リストから選択してください（有・無）</v>
      </c>
    </row>
    <row r="48" spans="1:68" s="2" customFormat="1" x14ac:dyDescent="0.45">
      <c r="A48" s="1"/>
      <c r="B48" s="1"/>
      <c r="C48" s="1"/>
      <c r="D48" s="363" t="s">
        <v>88</v>
      </c>
      <c r="E48" s="364"/>
      <c r="F48" s="364"/>
      <c r="G48" s="364"/>
      <c r="H48" s="364"/>
      <c r="I48" s="364"/>
      <c r="J48" s="364"/>
      <c r="K48" s="364"/>
      <c r="L48" s="364"/>
      <c r="M48" s="364"/>
      <c r="N48" s="365"/>
      <c r="O48" s="366"/>
      <c r="P48" s="367"/>
      <c r="Q48" s="367"/>
      <c r="R48" s="38" t="s">
        <v>87</v>
      </c>
      <c r="S48" s="368"/>
      <c r="T48" s="368"/>
      <c r="U48" s="38" t="s">
        <v>86</v>
      </c>
      <c r="V48" s="368"/>
      <c r="W48" s="368"/>
      <c r="X48" s="38" t="s">
        <v>85</v>
      </c>
      <c r="Y48" s="37"/>
      <c r="Z48" s="1"/>
      <c r="AA48" s="1"/>
      <c r="AB48" s="3" t="str">
        <f>IF(AND(OR(I46="要",T46="要"),OR(O48="",S48="",V48="")),"←リストから選択してください（和暦年月日）","")</f>
        <v/>
      </c>
    </row>
    <row r="49" spans="1:68" s="2" customFormat="1" ht="15.6" customHeight="1" x14ac:dyDescent="0.45">
      <c r="A49" s="1"/>
      <c r="B49" s="1"/>
      <c r="C49" s="1"/>
      <c r="D49" s="1"/>
      <c r="E49" s="36" t="str">
        <f>IF(AND(I47="",T47=""),"",IF(AND(I47="無",T47="無"),"添付書類として、改修部分の図面に改修内容を明示したものを提出してください。","添付書類として、改修部分の図面に改修内容を明示したもの、配置図を提出してください。"))</f>
        <v/>
      </c>
      <c r="F49" s="1"/>
      <c r="G49" s="1"/>
      <c r="H49" s="1"/>
      <c r="I49" s="1"/>
      <c r="J49" s="1"/>
      <c r="K49" s="1"/>
      <c r="L49" s="1"/>
      <c r="M49" s="1"/>
      <c r="N49" s="1"/>
      <c r="O49" s="1"/>
      <c r="P49" s="1"/>
      <c r="Q49" s="1"/>
      <c r="R49" s="1"/>
      <c r="S49" s="1"/>
      <c r="T49" s="1"/>
      <c r="U49" s="1"/>
      <c r="V49" s="1"/>
      <c r="W49" s="1"/>
      <c r="X49" s="1"/>
      <c r="Y49" s="1"/>
      <c r="Z49" s="1"/>
      <c r="AA49" s="1"/>
    </row>
    <row r="50" spans="1:68" s="2" customFormat="1" x14ac:dyDescent="0.45">
      <c r="A50" s="1"/>
      <c r="B50" s="11"/>
      <c r="C50" s="1" t="s">
        <v>84</v>
      </c>
      <c r="D50" s="1"/>
      <c r="E50" s="1"/>
      <c r="F50" s="1"/>
      <c r="G50" s="1"/>
      <c r="H50" s="1"/>
      <c r="I50" s="1"/>
      <c r="J50" s="1"/>
      <c r="K50" s="1"/>
      <c r="L50" s="1"/>
      <c r="M50" s="1"/>
      <c r="N50" s="1"/>
      <c r="O50" s="1"/>
      <c r="P50" s="1"/>
      <c r="Q50" s="1"/>
      <c r="R50" s="1"/>
      <c r="S50" s="1"/>
      <c r="T50" s="1"/>
      <c r="U50" s="1"/>
      <c r="V50" s="1"/>
      <c r="W50" s="1"/>
      <c r="X50" s="1"/>
      <c r="Y50" s="1"/>
      <c r="Z50" s="1"/>
      <c r="AA50" s="1"/>
    </row>
    <row r="51" spans="1:68" s="2" customFormat="1" ht="3" customHeight="1"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68" s="2" customFormat="1" x14ac:dyDescent="0.45">
      <c r="A52" s="1"/>
      <c r="B52" s="11"/>
      <c r="C52" s="1" t="s">
        <v>377</v>
      </c>
      <c r="D52" s="1"/>
      <c r="E52" s="1"/>
      <c r="F52" s="1"/>
      <c r="G52" s="1"/>
      <c r="H52" s="1"/>
      <c r="I52" s="1"/>
      <c r="J52" s="1"/>
      <c r="K52" s="1"/>
      <c r="L52" s="1"/>
      <c r="M52" s="1"/>
      <c r="N52" s="1"/>
      <c r="O52" s="1"/>
      <c r="P52" s="1"/>
      <c r="Q52" s="1"/>
      <c r="R52" s="1" t="s">
        <v>378</v>
      </c>
      <c r="S52" s="1"/>
      <c r="T52" s="1"/>
      <c r="U52" s="322"/>
      <c r="V52" s="323"/>
      <c r="W52" s="323"/>
      <c r="X52" s="323"/>
      <c r="Y52" s="323"/>
      <c r="Z52" s="324"/>
      <c r="AA52" s="1"/>
      <c r="AB52" s="3" t="str">
        <f>IF(B52="","","←リストから性能区分を選択してください")</f>
        <v/>
      </c>
    </row>
    <row r="53" spans="1:68" s="2" customFormat="1" x14ac:dyDescent="0.45">
      <c r="A53" s="1"/>
      <c r="B53" s="1"/>
      <c r="C53" s="36" t="str">
        <f>IF(B52="✔",IF(U52="","",IF(U52="その他","","　別シートの【様式第６号の３】に必要事項を入力してください。")),"")</f>
        <v/>
      </c>
      <c r="D53" s="1"/>
      <c r="E53" s="1"/>
      <c r="F53" s="1"/>
      <c r="G53" s="1"/>
      <c r="H53" s="1"/>
      <c r="I53" s="1"/>
      <c r="J53" s="1"/>
      <c r="K53" s="1"/>
      <c r="L53" s="1"/>
      <c r="M53" s="1"/>
      <c r="N53" s="1"/>
      <c r="O53" s="1"/>
      <c r="P53" s="1"/>
      <c r="Q53" s="1"/>
      <c r="R53" s="1"/>
      <c r="S53" s="1"/>
      <c r="T53" s="1"/>
      <c r="U53" s="1"/>
      <c r="V53" s="1"/>
      <c r="W53" s="1"/>
      <c r="X53" s="1"/>
      <c r="Y53" s="1"/>
      <c r="Z53" s="1"/>
      <c r="AA53" s="1"/>
    </row>
    <row r="54" spans="1:68" s="2" customFormat="1" ht="15.75" customHeight="1" x14ac:dyDescent="0.45">
      <c r="A54" s="1"/>
      <c r="B54" s="1"/>
      <c r="C54" s="36" t="str">
        <f>IF(B52="✔",IF(U52="","",IF(U52="その他","","　別途、健康省エネ改修の設計適合申請が必要です。※申請がない場合、補助金が受けられません。")),"")</f>
        <v/>
      </c>
      <c r="D54" s="1"/>
      <c r="E54" s="1"/>
      <c r="F54" s="1"/>
      <c r="G54" s="1"/>
      <c r="H54" s="1"/>
      <c r="I54" s="1"/>
      <c r="J54" s="1"/>
      <c r="K54" s="1"/>
      <c r="L54" s="1"/>
      <c r="M54" s="1"/>
      <c r="N54" s="1"/>
      <c r="O54" s="1"/>
      <c r="P54" s="1"/>
      <c r="Q54" s="1"/>
      <c r="R54" s="1"/>
      <c r="S54" s="1"/>
      <c r="T54" s="1"/>
      <c r="U54" s="1"/>
      <c r="V54" s="1"/>
      <c r="W54" s="1"/>
      <c r="X54" s="1"/>
      <c r="Y54" s="1"/>
      <c r="Z54" s="1"/>
      <c r="AA54" s="1"/>
    </row>
    <row r="55" spans="1:68" s="2" customFormat="1" ht="5.4" customHeight="1"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BG55" s="1"/>
      <c r="BH55" s="1"/>
      <c r="BI55" s="1"/>
      <c r="BJ55" s="1"/>
      <c r="BK55" s="1"/>
      <c r="BL55" s="1"/>
      <c r="BM55" s="1"/>
      <c r="BN55" s="1"/>
      <c r="BO55" s="1"/>
      <c r="BP55" s="1"/>
    </row>
    <row r="56" spans="1:68" s="2" customFormat="1" ht="13.5" customHeight="1" x14ac:dyDescent="0.45">
      <c r="A56" s="1"/>
      <c r="B56" s="11"/>
      <c r="C56" s="279" t="s">
        <v>359</v>
      </c>
      <c r="D56" s="36"/>
      <c r="E56" s="1"/>
      <c r="F56" s="1"/>
      <c r="G56" s="1"/>
      <c r="H56" s="1"/>
      <c r="I56" s="1"/>
      <c r="J56" s="1"/>
      <c r="K56" s="1"/>
      <c r="L56" s="1"/>
      <c r="M56" s="1"/>
      <c r="N56" s="1"/>
      <c r="O56" s="1"/>
      <c r="P56" s="1"/>
      <c r="Q56" s="1"/>
      <c r="R56" s="1"/>
      <c r="S56" s="1"/>
      <c r="T56" s="1"/>
      <c r="U56" s="1"/>
      <c r="V56" s="1"/>
      <c r="W56" s="1"/>
      <c r="X56" s="1"/>
      <c r="Y56" s="1"/>
      <c r="Z56" s="1"/>
      <c r="AA56" s="1"/>
      <c r="BG56" s="1"/>
      <c r="BH56" s="1"/>
      <c r="BI56" s="1"/>
      <c r="BJ56" s="1"/>
      <c r="BK56" s="1"/>
      <c r="BL56" s="1"/>
      <c r="BM56" s="1"/>
      <c r="BN56" s="1"/>
      <c r="BO56" s="1"/>
      <c r="BP56" s="1"/>
    </row>
    <row r="57" spans="1:68" s="2" customFormat="1" ht="5.25" customHeight="1" x14ac:dyDescent="0.45">
      <c r="A57" s="1"/>
      <c r="B57" s="1"/>
      <c r="C57" s="1"/>
      <c r="D57" s="36"/>
      <c r="E57" s="1"/>
      <c r="F57" s="1"/>
      <c r="G57" s="1"/>
      <c r="H57" s="1"/>
      <c r="I57" s="1"/>
      <c r="J57" s="1"/>
      <c r="K57" s="1"/>
      <c r="L57" s="1"/>
      <c r="M57" s="1"/>
      <c r="N57" s="1"/>
      <c r="O57" s="1"/>
      <c r="P57" s="1"/>
      <c r="Q57" s="1"/>
      <c r="R57" s="1"/>
      <c r="S57" s="1"/>
      <c r="T57" s="1"/>
      <c r="U57" s="1"/>
      <c r="V57" s="1"/>
      <c r="W57" s="1"/>
      <c r="X57" s="1"/>
      <c r="Y57" s="1"/>
      <c r="Z57" s="1"/>
      <c r="AA57" s="1"/>
      <c r="BG57" s="1"/>
      <c r="BH57" s="1"/>
      <c r="BI57" s="1"/>
      <c r="BJ57" s="1"/>
      <c r="BK57" s="1"/>
      <c r="BL57" s="1"/>
      <c r="BM57" s="1"/>
      <c r="BN57" s="1"/>
      <c r="BO57" s="1"/>
      <c r="BP57" s="1"/>
    </row>
    <row r="58" spans="1:68" ht="13.5" customHeight="1" x14ac:dyDescent="0.45">
      <c r="B58" s="11"/>
      <c r="C58" s="1" t="s">
        <v>349</v>
      </c>
      <c r="D58" s="36"/>
      <c r="BG58" s="2"/>
      <c r="BH58" s="2"/>
      <c r="BI58" s="2"/>
      <c r="BJ58" s="2"/>
      <c r="BK58" s="2"/>
      <c r="BL58" s="2"/>
      <c r="BM58" s="2"/>
      <c r="BN58" s="2"/>
      <c r="BO58" s="2"/>
    </row>
    <row r="59" spans="1:68" ht="3.9" customHeight="1" x14ac:dyDescent="0.45">
      <c r="D59" s="36"/>
      <c r="BG59" s="2"/>
      <c r="BH59" s="2"/>
      <c r="BI59" s="2"/>
      <c r="BJ59" s="2"/>
      <c r="BK59" s="2"/>
      <c r="BL59" s="2"/>
      <c r="BM59" s="2"/>
      <c r="BN59" s="2"/>
      <c r="BO59" s="2"/>
      <c r="BP59" s="2"/>
    </row>
    <row r="60" spans="1:68" ht="13.5" customHeight="1" x14ac:dyDescent="0.45">
      <c r="C60" s="11"/>
      <c r="D60" s="1" t="s">
        <v>350</v>
      </c>
      <c r="BP60" s="2"/>
    </row>
    <row r="61" spans="1:68" ht="12.75" customHeight="1" x14ac:dyDescent="0.45">
      <c r="C61" s="36"/>
      <c r="D61" s="36" t="str">
        <f>IF(B58="✔",(IF(C60="✔","","地域型グリーン化事業に県産材の材料代を含めている場合、住まいる支援事業は利用できません")),"")</f>
        <v/>
      </c>
    </row>
    <row r="62" spans="1:68" x14ac:dyDescent="0.45">
      <c r="B62" s="11"/>
      <c r="C62" s="279" t="s">
        <v>464</v>
      </c>
      <c r="D62" s="263"/>
      <c r="E62" s="264"/>
      <c r="F62" s="264"/>
      <c r="G62" s="264"/>
      <c r="H62" s="264"/>
      <c r="I62" s="32"/>
      <c r="J62" s="32"/>
      <c r="K62" s="32"/>
      <c r="L62" s="32"/>
      <c r="M62" s="32"/>
      <c r="N62" s="32"/>
      <c r="O62" s="32"/>
      <c r="P62" s="32"/>
      <c r="Q62" s="32"/>
      <c r="R62" s="32"/>
      <c r="S62" s="32"/>
      <c r="T62" s="32"/>
      <c r="U62" s="32"/>
      <c r="V62" s="32"/>
      <c r="W62" s="32"/>
      <c r="X62" s="32"/>
      <c r="Y62" s="4"/>
    </row>
    <row r="63" spans="1:68" ht="14.25" customHeight="1" x14ac:dyDescent="0.45">
      <c r="C63" s="4" t="str">
        <f>IF(B62="","","　併用する補助金の名称を以下に記載してください。")</f>
        <v/>
      </c>
      <c r="D63" s="264"/>
      <c r="E63" s="264"/>
      <c r="F63" s="264"/>
      <c r="G63" s="264"/>
      <c r="H63" s="264"/>
      <c r="I63" s="32"/>
      <c r="J63" s="32"/>
      <c r="K63" s="32"/>
      <c r="L63" s="32"/>
      <c r="M63" s="32"/>
      <c r="N63" s="32"/>
      <c r="O63" s="32"/>
      <c r="P63" s="32"/>
      <c r="Q63" s="32"/>
      <c r="R63" s="32"/>
      <c r="S63" s="32"/>
      <c r="T63" s="32"/>
      <c r="U63" s="32"/>
      <c r="V63" s="32"/>
      <c r="W63" s="32"/>
      <c r="X63" s="32"/>
      <c r="Y63" s="4"/>
    </row>
    <row r="64" spans="1:68" ht="13.5" customHeight="1" x14ac:dyDescent="0.45">
      <c r="D64" s="369" t="s">
        <v>343</v>
      </c>
      <c r="E64" s="370"/>
      <c r="F64" s="370"/>
      <c r="G64" s="370"/>
      <c r="H64" s="370"/>
      <c r="I64" s="370"/>
      <c r="J64" s="370"/>
      <c r="K64" s="370"/>
      <c r="L64" s="370"/>
      <c r="M64" s="370"/>
      <c r="N64" s="370"/>
      <c r="O64" s="371"/>
      <c r="P64" s="305" t="s">
        <v>344</v>
      </c>
      <c r="Q64" s="306"/>
      <c r="R64" s="306"/>
      <c r="S64" s="306"/>
      <c r="T64" s="307"/>
      <c r="U64" s="305" t="s">
        <v>345</v>
      </c>
      <c r="V64" s="306"/>
      <c r="W64" s="306"/>
      <c r="X64" s="306"/>
      <c r="Y64" s="306"/>
      <c r="Z64" s="307"/>
    </row>
    <row r="65" spans="1:68" x14ac:dyDescent="0.45">
      <c r="D65" s="372"/>
      <c r="E65" s="373"/>
      <c r="F65" s="373"/>
      <c r="G65" s="373"/>
      <c r="H65" s="373"/>
      <c r="I65" s="373"/>
      <c r="J65" s="373"/>
      <c r="K65" s="373"/>
      <c r="L65" s="373"/>
      <c r="M65" s="373"/>
      <c r="N65" s="373"/>
      <c r="O65" s="374"/>
      <c r="P65" s="322"/>
      <c r="Q65" s="323"/>
      <c r="R65" s="323"/>
      <c r="S65" s="323"/>
      <c r="T65" s="324"/>
      <c r="U65" s="322"/>
      <c r="V65" s="323"/>
      <c r="W65" s="323"/>
      <c r="X65" s="323"/>
      <c r="Y65" s="323"/>
      <c r="Z65" s="324"/>
    </row>
    <row r="66" spans="1:68" x14ac:dyDescent="0.45">
      <c r="D66" s="372"/>
      <c r="E66" s="373"/>
      <c r="F66" s="373"/>
      <c r="G66" s="373"/>
      <c r="H66" s="373"/>
      <c r="I66" s="373"/>
      <c r="J66" s="373"/>
      <c r="K66" s="373"/>
      <c r="L66" s="373"/>
      <c r="M66" s="373"/>
      <c r="N66" s="373"/>
      <c r="O66" s="374"/>
      <c r="P66" s="322"/>
      <c r="Q66" s="323"/>
      <c r="R66" s="323"/>
      <c r="S66" s="323"/>
      <c r="T66" s="324"/>
      <c r="U66" s="322"/>
      <c r="V66" s="323"/>
      <c r="W66" s="323"/>
      <c r="X66" s="323"/>
      <c r="Y66" s="323"/>
      <c r="Z66" s="324"/>
      <c r="BG66" s="2"/>
      <c r="BH66" s="2"/>
      <c r="BI66" s="2"/>
      <c r="BJ66" s="2"/>
      <c r="BK66" s="2"/>
      <c r="BL66" s="2"/>
      <c r="BM66" s="2"/>
      <c r="BN66" s="2"/>
      <c r="BO66" s="2"/>
    </row>
    <row r="67" spans="1:68" x14ac:dyDescent="0.45">
      <c r="D67" s="372"/>
      <c r="E67" s="373"/>
      <c r="F67" s="373"/>
      <c r="G67" s="373"/>
      <c r="H67" s="373"/>
      <c r="I67" s="373"/>
      <c r="J67" s="373"/>
      <c r="K67" s="373"/>
      <c r="L67" s="373"/>
      <c r="M67" s="373"/>
      <c r="N67" s="373"/>
      <c r="O67" s="374"/>
      <c r="P67" s="322"/>
      <c r="Q67" s="323"/>
      <c r="R67" s="323"/>
      <c r="S67" s="323"/>
      <c r="T67" s="324"/>
      <c r="U67" s="322"/>
      <c r="V67" s="323"/>
      <c r="W67" s="323"/>
      <c r="X67" s="323"/>
      <c r="Y67" s="323"/>
      <c r="Z67" s="324"/>
      <c r="BG67" s="2"/>
      <c r="BH67" s="2"/>
      <c r="BI67" s="2"/>
      <c r="BJ67" s="2"/>
      <c r="BK67" s="2"/>
      <c r="BL67" s="2"/>
      <c r="BM67" s="2"/>
      <c r="BN67" s="2"/>
      <c r="BO67" s="2"/>
      <c r="BP67" s="2"/>
    </row>
    <row r="68" spans="1:68" x14ac:dyDescent="0.45">
      <c r="D68" s="372"/>
      <c r="E68" s="373"/>
      <c r="F68" s="373"/>
      <c r="G68" s="373"/>
      <c r="H68" s="373"/>
      <c r="I68" s="373"/>
      <c r="J68" s="373"/>
      <c r="K68" s="373"/>
      <c r="L68" s="373"/>
      <c r="M68" s="373"/>
      <c r="N68" s="373"/>
      <c r="O68" s="374"/>
      <c r="P68" s="322"/>
      <c r="Q68" s="323"/>
      <c r="R68" s="323"/>
      <c r="S68" s="323"/>
      <c r="T68" s="324"/>
      <c r="U68" s="322"/>
      <c r="V68" s="323"/>
      <c r="W68" s="323"/>
      <c r="X68" s="323"/>
      <c r="Y68" s="323"/>
      <c r="Z68" s="324"/>
      <c r="BG68" s="2"/>
      <c r="BH68" s="2"/>
      <c r="BI68" s="2"/>
      <c r="BJ68" s="2"/>
      <c r="BK68" s="2"/>
      <c r="BL68" s="2"/>
      <c r="BM68" s="2"/>
      <c r="BN68" s="2"/>
      <c r="BO68" s="2"/>
      <c r="BP68" s="2"/>
    </row>
    <row r="69" spans="1:68" x14ac:dyDescent="0.45">
      <c r="D69" s="372"/>
      <c r="E69" s="373"/>
      <c r="F69" s="373"/>
      <c r="G69" s="373"/>
      <c r="H69" s="373"/>
      <c r="I69" s="373"/>
      <c r="J69" s="373"/>
      <c r="K69" s="373"/>
      <c r="L69" s="373"/>
      <c r="M69" s="373"/>
      <c r="N69" s="373"/>
      <c r="O69" s="374"/>
      <c r="P69" s="322"/>
      <c r="Q69" s="323"/>
      <c r="R69" s="323"/>
      <c r="S69" s="323"/>
      <c r="T69" s="324"/>
      <c r="U69" s="322"/>
      <c r="V69" s="323"/>
      <c r="W69" s="323"/>
      <c r="X69" s="323"/>
      <c r="Y69" s="323"/>
      <c r="Z69" s="324"/>
      <c r="BG69" s="2"/>
      <c r="BH69" s="2"/>
      <c r="BI69" s="2"/>
      <c r="BJ69" s="2"/>
      <c r="BK69" s="2"/>
      <c r="BL69" s="2"/>
      <c r="BM69" s="2"/>
      <c r="BN69" s="2"/>
      <c r="BO69" s="2"/>
      <c r="BP69" s="2"/>
    </row>
    <row r="70" spans="1:68" ht="7.5" customHeight="1" x14ac:dyDescent="0.45">
      <c r="D70" s="264"/>
      <c r="E70" s="264"/>
      <c r="F70" s="264"/>
      <c r="G70" s="264"/>
      <c r="H70" s="264"/>
      <c r="I70" s="32"/>
      <c r="J70" s="32"/>
      <c r="K70" s="32"/>
      <c r="L70" s="32"/>
      <c r="M70" s="32"/>
      <c r="N70" s="32"/>
      <c r="O70" s="32"/>
      <c r="P70" s="32"/>
      <c r="Q70" s="32"/>
      <c r="R70" s="32"/>
      <c r="S70" s="32"/>
      <c r="T70" s="32"/>
      <c r="U70" s="32"/>
      <c r="V70" s="32"/>
      <c r="W70" s="32"/>
      <c r="X70" s="32"/>
      <c r="Y70" s="4"/>
    </row>
    <row r="71" spans="1:68" s="2" customFormat="1" x14ac:dyDescent="0.45">
      <c r="A71" s="1"/>
      <c r="B71" s="11"/>
      <c r="C71" s="1" t="s">
        <v>353</v>
      </c>
      <c r="D71" s="1"/>
      <c r="E71" s="1"/>
      <c r="F71" s="1"/>
      <c r="G71" s="1"/>
      <c r="H71" s="1"/>
      <c r="I71" s="1"/>
      <c r="J71" s="1"/>
      <c r="K71" s="1"/>
      <c r="L71" s="1"/>
      <c r="M71" s="1"/>
      <c r="N71" s="1"/>
      <c r="O71" s="1"/>
      <c r="P71" s="1"/>
      <c r="Q71" s="1"/>
      <c r="R71" s="1"/>
      <c r="S71" s="1"/>
      <c r="T71" s="1"/>
      <c r="U71" s="1"/>
      <c r="V71" s="1"/>
      <c r="W71" s="1"/>
      <c r="X71" s="1"/>
      <c r="Y71" s="1"/>
      <c r="Z71" s="1"/>
      <c r="AA71" s="1"/>
      <c r="BG71" s="1"/>
      <c r="BH71" s="1"/>
      <c r="BI71" s="1"/>
      <c r="BJ71" s="1"/>
      <c r="BK71" s="1"/>
      <c r="BL71" s="1"/>
      <c r="BM71" s="1"/>
      <c r="BN71" s="1"/>
      <c r="BO71" s="1"/>
      <c r="BP71" s="1"/>
    </row>
    <row r="72" spans="1:68" ht="7.5" customHeight="1" x14ac:dyDescent="0.45">
      <c r="D72" s="264"/>
      <c r="E72" s="264"/>
      <c r="F72" s="264"/>
      <c r="G72" s="264"/>
      <c r="H72" s="264"/>
      <c r="I72" s="32"/>
      <c r="J72" s="32"/>
      <c r="K72" s="32"/>
      <c r="L72" s="32"/>
      <c r="M72" s="32"/>
      <c r="N72" s="32"/>
      <c r="O72" s="32"/>
      <c r="P72" s="32"/>
      <c r="Q72" s="32"/>
      <c r="R72" s="32"/>
      <c r="S72" s="32"/>
      <c r="T72" s="32"/>
      <c r="U72" s="32"/>
      <c r="V72" s="32"/>
      <c r="W72" s="32"/>
      <c r="X72" s="32"/>
      <c r="Y72" s="4"/>
    </row>
    <row r="73" spans="1:68" s="2" customFormat="1" ht="12" customHeight="1" x14ac:dyDescent="0.45">
      <c r="A73" s="1"/>
      <c r="B73" s="11"/>
      <c r="C73" s="1" t="s">
        <v>83</v>
      </c>
      <c r="D73" s="1"/>
      <c r="E73" s="6"/>
      <c r="F73" s="1"/>
      <c r="G73" s="1"/>
      <c r="H73" s="1"/>
      <c r="I73" s="1"/>
      <c r="J73" s="1"/>
      <c r="K73" s="1"/>
      <c r="L73" s="1"/>
      <c r="M73" s="1"/>
      <c r="N73" s="1"/>
      <c r="O73" s="1"/>
      <c r="P73" s="35"/>
      <c r="Q73" s="1"/>
      <c r="R73" s="1"/>
      <c r="S73" s="1"/>
      <c r="T73" s="1"/>
      <c r="U73" s="1"/>
      <c r="V73" s="1"/>
      <c r="W73" s="1"/>
      <c r="X73" s="1"/>
      <c r="Y73" s="1"/>
      <c r="Z73" s="1"/>
      <c r="AA73" s="1"/>
    </row>
    <row r="74" spans="1:68" s="2" customFormat="1" ht="4.5" customHeight="1" x14ac:dyDescent="0.45">
      <c r="A74" s="1"/>
      <c r="B74" s="1"/>
      <c r="C74" s="1"/>
      <c r="D74" s="1"/>
      <c r="E74" s="26" t="str">
        <f>IF(B73="","",IF(OR(I47="有",T47="有"),"＜実績報告時の提出書類&gt;変更後の改修部分の図面に改修内容を記載したもの、配置図","＜実績報告時の提出書類＞変更後の改修部分の図面に改修内容を記載したもの"))</f>
        <v/>
      </c>
      <c r="F74" s="1"/>
      <c r="G74" s="1"/>
      <c r="H74" s="1"/>
      <c r="I74" s="1"/>
      <c r="J74" s="1"/>
      <c r="K74" s="1"/>
      <c r="L74" s="1"/>
      <c r="M74" s="1"/>
      <c r="N74" s="1"/>
      <c r="O74" s="1"/>
      <c r="P74" s="35"/>
      <c r="Q74" s="1"/>
      <c r="R74" s="1"/>
      <c r="S74" s="1"/>
      <c r="T74" s="1"/>
      <c r="U74" s="1"/>
      <c r="V74" s="1"/>
      <c r="W74" s="1"/>
      <c r="X74" s="1"/>
      <c r="Y74" s="1"/>
      <c r="Z74" s="1"/>
      <c r="AA74" s="1"/>
    </row>
    <row r="75" spans="1:68" s="2" customFormat="1" x14ac:dyDescent="0.45">
      <c r="A75" s="1" t="s">
        <v>82</v>
      </c>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68" s="2" customFormat="1" x14ac:dyDescent="0.45">
      <c r="A76" s="1"/>
      <c r="B76" s="11"/>
      <c r="C76" s="312" t="s">
        <v>81</v>
      </c>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row>
    <row r="77" spans="1:68" s="2" customFormat="1" x14ac:dyDescent="0.45">
      <c r="A77" s="1"/>
      <c r="B77" s="1"/>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row>
    <row r="78" spans="1:68" s="2" customFormat="1" ht="8.25" customHeight="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68" s="2" customFormat="1" x14ac:dyDescent="0.45">
      <c r="A79" s="1"/>
      <c r="B79" s="11"/>
      <c r="C79" s="1" t="s">
        <v>80</v>
      </c>
      <c r="D79" s="1"/>
      <c r="E79" s="1"/>
      <c r="F79" s="1"/>
      <c r="G79" s="1"/>
      <c r="H79" s="1"/>
      <c r="I79" s="1"/>
      <c r="J79" s="1"/>
      <c r="K79" s="1"/>
      <c r="L79" s="1"/>
      <c r="M79" s="1"/>
      <c r="N79" s="1"/>
      <c r="O79" s="1"/>
      <c r="P79" s="1"/>
      <c r="Q79" s="1"/>
      <c r="R79" s="1"/>
      <c r="S79" s="1"/>
      <c r="T79" s="1"/>
      <c r="U79" s="1"/>
      <c r="V79" s="1"/>
      <c r="W79" s="1"/>
      <c r="X79" s="1"/>
      <c r="Y79" s="1"/>
      <c r="Z79" s="1"/>
      <c r="AA79" s="1"/>
    </row>
    <row r="80" spans="1:68" s="2" customFormat="1" x14ac:dyDescent="0.45">
      <c r="A80" s="1"/>
      <c r="B80" s="1"/>
      <c r="C80" s="1"/>
      <c r="D80" s="305" t="s">
        <v>79</v>
      </c>
      <c r="E80" s="306"/>
      <c r="F80" s="306"/>
      <c r="G80" s="306"/>
      <c r="H80" s="307"/>
      <c r="I80" s="322"/>
      <c r="J80" s="323"/>
      <c r="K80" s="323"/>
      <c r="L80" s="323"/>
      <c r="M80" s="323"/>
      <c r="N80" s="323"/>
      <c r="O80" s="323"/>
      <c r="P80" s="323"/>
      <c r="Q80" s="323"/>
      <c r="R80" s="323"/>
      <c r="S80" s="323"/>
      <c r="T80" s="323"/>
      <c r="U80" s="323"/>
      <c r="V80" s="323"/>
      <c r="W80" s="323"/>
      <c r="X80" s="324"/>
      <c r="Y80" s="1"/>
      <c r="Z80" s="1"/>
      <c r="AA80" s="1"/>
      <c r="AB80" s="3" t="str">
        <f>IF(AND(B79="✔",I80=""),"←直接入力してください","")</f>
        <v/>
      </c>
    </row>
    <row r="81" spans="1:39" s="2" customFormat="1" x14ac:dyDescent="0.45">
      <c r="A81" s="1"/>
      <c r="B81" s="1"/>
      <c r="C81" s="1"/>
      <c r="D81" s="34" t="s">
        <v>78</v>
      </c>
      <c r="E81" s="12"/>
      <c r="F81" s="12"/>
      <c r="G81" s="12"/>
      <c r="H81" s="12"/>
      <c r="I81" s="12"/>
      <c r="J81" s="12"/>
      <c r="K81" s="12"/>
      <c r="L81" s="12"/>
      <c r="M81" s="12"/>
      <c r="N81" s="12"/>
      <c r="O81" s="12"/>
      <c r="P81" s="12"/>
      <c r="Q81" s="12"/>
      <c r="R81" s="12"/>
      <c r="S81" s="12"/>
      <c r="T81" s="12"/>
      <c r="U81" s="12"/>
      <c r="V81" s="12"/>
      <c r="W81" s="12"/>
      <c r="X81" s="12"/>
      <c r="Y81" s="12"/>
      <c r="Z81" s="1"/>
      <c r="AA81" s="1"/>
      <c r="AB81" s="3"/>
    </row>
    <row r="82" spans="1:39" s="2" customFormat="1" x14ac:dyDescent="0.45">
      <c r="A82" s="1"/>
      <c r="B82" s="26" t="s">
        <v>360</v>
      </c>
      <c r="C82" s="1"/>
      <c r="D82" s="1"/>
      <c r="E82" s="1"/>
      <c r="F82" s="33"/>
      <c r="G82" s="1"/>
      <c r="H82" s="1"/>
      <c r="I82" s="1"/>
      <c r="J82" s="1"/>
      <c r="L82" s="1"/>
      <c r="M82" s="1"/>
      <c r="N82" s="1"/>
      <c r="O82" s="1"/>
      <c r="P82" s="1"/>
      <c r="Q82" s="1"/>
      <c r="R82" s="1"/>
      <c r="S82" s="1"/>
      <c r="T82" s="1"/>
      <c r="U82" s="1"/>
      <c r="V82" s="1"/>
      <c r="W82" s="1"/>
      <c r="X82" s="1"/>
      <c r="Y82" s="1"/>
      <c r="Z82" s="1"/>
      <c r="AA82" s="1"/>
    </row>
    <row r="83" spans="1:39" s="2" customFormat="1" x14ac:dyDescent="0.45">
      <c r="A83" s="1"/>
      <c r="B83" s="11"/>
      <c r="C83" s="1" t="s">
        <v>77</v>
      </c>
      <c r="D83" s="1"/>
      <c r="E83" s="1"/>
      <c r="F83" s="1"/>
      <c r="G83" s="1"/>
      <c r="H83" s="1"/>
      <c r="I83" s="1"/>
      <c r="J83" s="1"/>
      <c r="K83" s="1"/>
      <c r="L83" s="1"/>
      <c r="M83" s="1"/>
      <c r="N83" s="1"/>
      <c r="O83" s="1"/>
      <c r="P83" s="1"/>
      <c r="Q83" s="1"/>
      <c r="R83" s="1"/>
      <c r="S83" s="1"/>
      <c r="T83" s="1"/>
      <c r="U83" s="1"/>
      <c r="V83" s="1"/>
      <c r="W83" s="1"/>
      <c r="X83" s="1"/>
      <c r="Y83" s="1"/>
      <c r="Z83" s="1"/>
      <c r="AA83" s="1"/>
    </row>
    <row r="84" spans="1:39" s="2" customFormat="1" x14ac:dyDescent="0.45">
      <c r="A84" s="1"/>
      <c r="B84" s="335" t="str">
        <f>IF(AND(B79="✔",B83="✔"),"「プレカットを行う場合は、県内のプレカット工場で加工すること。」と「プレカットを一切使用しない。」のどちらかを✔してください。","")</f>
        <v/>
      </c>
      <c r="C84" s="335"/>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2" t="str">
        <f>IF(B84="","","×")</f>
        <v/>
      </c>
    </row>
    <row r="85" spans="1:39" s="2" customFormat="1" x14ac:dyDescent="0.45">
      <c r="A85" s="1"/>
      <c r="B85" s="335"/>
      <c r="C85" s="335"/>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row>
    <row r="86" spans="1:39" s="2" customForma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8" t="s">
        <v>18</v>
      </c>
    </row>
    <row r="87" spans="1:39" s="2" customFormat="1" x14ac:dyDescent="0.45">
      <c r="A87" s="1"/>
      <c r="B87" s="1"/>
      <c r="C87" s="1"/>
      <c r="D87" s="1"/>
      <c r="E87" s="1"/>
      <c r="F87" s="1"/>
      <c r="G87" s="1"/>
      <c r="H87" s="1"/>
      <c r="I87" s="1"/>
      <c r="J87" s="1"/>
      <c r="K87" s="1"/>
      <c r="L87" s="1"/>
      <c r="M87" s="1"/>
      <c r="N87" s="1"/>
      <c r="O87" s="1"/>
      <c r="P87" s="1"/>
      <c r="Q87" s="1"/>
      <c r="R87" s="1"/>
      <c r="S87" s="1"/>
      <c r="T87" s="32"/>
      <c r="U87" s="1"/>
      <c r="V87" s="1"/>
      <c r="W87" s="1"/>
      <c r="X87" s="1"/>
      <c r="Y87" s="1"/>
      <c r="Z87" s="1"/>
      <c r="AA87" s="1"/>
    </row>
    <row r="88" spans="1:39" s="2" customFormat="1" ht="18" customHeight="1" x14ac:dyDescent="0.45">
      <c r="A88" s="1"/>
      <c r="B88" s="1"/>
      <c r="C88" s="1"/>
      <c r="D88" s="305" t="s">
        <v>5</v>
      </c>
      <c r="E88" s="306"/>
      <c r="F88" s="306"/>
      <c r="G88" s="306"/>
      <c r="H88" s="306"/>
      <c r="I88" s="306"/>
      <c r="J88" s="306"/>
      <c r="K88" s="306"/>
      <c r="L88" s="306"/>
      <c r="M88" s="306"/>
      <c r="N88" s="306"/>
      <c r="O88" s="306"/>
      <c r="P88" s="307"/>
      <c r="Q88" s="305" t="s">
        <v>76</v>
      </c>
      <c r="R88" s="306"/>
      <c r="S88" s="306"/>
      <c r="T88" s="307"/>
      <c r="U88" s="353" t="str">
        <f>IF(I33="併用住宅","併用住宅の場合、住宅部分の使用量","")</f>
        <v/>
      </c>
      <c r="V88" s="353"/>
      <c r="W88" s="353"/>
      <c r="X88" s="353"/>
      <c r="Y88" s="354" t="s">
        <v>24</v>
      </c>
      <c r="Z88" s="354"/>
      <c r="AA88" s="354"/>
    </row>
    <row r="89" spans="1:39" s="2" customFormat="1" ht="18" customHeight="1" x14ac:dyDescent="0.45">
      <c r="A89" s="1"/>
      <c r="B89" s="1"/>
      <c r="C89" s="1"/>
      <c r="D89" s="339" t="s">
        <v>75</v>
      </c>
      <c r="E89" s="340"/>
      <c r="F89" s="340"/>
      <c r="G89" s="340"/>
      <c r="H89" s="340"/>
      <c r="I89" s="340"/>
      <c r="J89" s="340"/>
      <c r="K89" s="340"/>
      <c r="L89" s="340"/>
      <c r="M89" s="340"/>
      <c r="N89" s="340"/>
      <c r="O89" s="340"/>
      <c r="P89" s="356"/>
      <c r="Q89" s="357"/>
      <c r="R89" s="358"/>
      <c r="S89" s="358"/>
      <c r="T89" s="359"/>
      <c r="U89" s="353"/>
      <c r="V89" s="353"/>
      <c r="W89" s="353"/>
      <c r="X89" s="353"/>
      <c r="Y89" s="355"/>
      <c r="Z89" s="355"/>
      <c r="AA89" s="355"/>
      <c r="AE89" s="1"/>
      <c r="AF89" s="1"/>
      <c r="AG89" s="1"/>
      <c r="AH89" s="29"/>
      <c r="AI89" s="28"/>
      <c r="AJ89" s="28"/>
      <c r="AK89" s="28"/>
      <c r="AL89" s="28"/>
      <c r="AM89" s="28"/>
    </row>
    <row r="90" spans="1:39" s="2" customFormat="1" ht="18" customHeight="1" x14ac:dyDescent="0.45">
      <c r="A90" s="1"/>
      <c r="B90" s="1"/>
      <c r="C90" s="1"/>
      <c r="D90" s="31"/>
      <c r="E90" s="383" t="s">
        <v>74</v>
      </c>
      <c r="F90" s="384"/>
      <c r="G90" s="384"/>
      <c r="H90" s="384"/>
      <c r="I90" s="384"/>
      <c r="J90" s="384"/>
      <c r="K90" s="384"/>
      <c r="L90" s="384"/>
      <c r="M90" s="384"/>
      <c r="N90" s="384"/>
      <c r="O90" s="384"/>
      <c r="P90" s="385"/>
      <c r="Q90" s="357"/>
      <c r="R90" s="358"/>
      <c r="S90" s="358"/>
      <c r="T90" s="359"/>
      <c r="U90" s="416"/>
      <c r="V90" s="416"/>
      <c r="W90" s="416"/>
      <c r="X90" s="416"/>
      <c r="Y90" s="417" t="str">
        <f>IF(OR(Q90="",Q89=""),"",ROUNDDOWN(Q90,1)*2)</f>
        <v/>
      </c>
      <c r="Z90" s="418"/>
      <c r="AA90" s="10" t="s">
        <v>20</v>
      </c>
      <c r="AE90" s="1"/>
      <c r="AF90" s="1"/>
      <c r="AG90" s="1"/>
      <c r="AH90" s="29"/>
      <c r="AI90" s="28"/>
      <c r="AJ90" s="28"/>
      <c r="AK90" s="28"/>
      <c r="AL90" s="28"/>
      <c r="AM90" s="28"/>
    </row>
    <row r="91" spans="1:39" s="2" customFormat="1" ht="18" customHeight="1" x14ac:dyDescent="0.45">
      <c r="A91" s="1"/>
      <c r="B91" s="1"/>
      <c r="C91" s="1"/>
      <c r="D91" s="30"/>
      <c r="E91" s="419" t="s">
        <v>73</v>
      </c>
      <c r="F91" s="420"/>
      <c r="G91" s="420"/>
      <c r="H91" s="420"/>
      <c r="I91" s="420"/>
      <c r="J91" s="420"/>
      <c r="K91" s="420"/>
      <c r="L91" s="420"/>
      <c r="M91" s="420"/>
      <c r="N91" s="420"/>
      <c r="O91" s="420"/>
      <c r="P91" s="421"/>
      <c r="Q91" s="422"/>
      <c r="R91" s="423"/>
      <c r="S91" s="423"/>
      <c r="T91" s="424"/>
      <c r="U91" s="425"/>
      <c r="V91" s="425"/>
      <c r="W91" s="425"/>
      <c r="X91" s="425"/>
      <c r="Y91" s="417" t="str">
        <f>IF(Q91="","",INT(Q91)*0.2)</f>
        <v/>
      </c>
      <c r="Z91" s="418"/>
      <c r="AA91" s="10" t="s">
        <v>20</v>
      </c>
      <c r="AE91" s="1"/>
      <c r="AF91" s="1"/>
      <c r="AG91" s="1"/>
      <c r="AH91" s="29"/>
      <c r="AI91" s="28"/>
      <c r="AJ91" s="28"/>
      <c r="AK91" s="28"/>
      <c r="AL91" s="28"/>
      <c r="AM91" s="28"/>
    </row>
    <row r="92" spans="1:39" s="2" customFormat="1" ht="18" customHeight="1" x14ac:dyDescent="0.45">
      <c r="A92" s="1"/>
      <c r="B92" s="1"/>
      <c r="C92" s="1"/>
      <c r="D92" s="1"/>
      <c r="E92" s="6"/>
      <c r="F92" s="1"/>
      <c r="G92" s="1"/>
      <c r="H92" s="1"/>
      <c r="I92" s="1"/>
      <c r="J92" s="1"/>
      <c r="K92" s="1"/>
      <c r="L92" s="1"/>
      <c r="M92" s="1"/>
      <c r="N92" s="1"/>
      <c r="O92" s="1"/>
      <c r="P92" s="1"/>
      <c r="Q92" s="1"/>
      <c r="R92" s="1"/>
      <c r="S92" s="1"/>
      <c r="T92" s="1"/>
      <c r="U92" s="1"/>
      <c r="V92" s="1"/>
      <c r="W92" s="1"/>
      <c r="X92" s="27" t="s">
        <v>72</v>
      </c>
      <c r="Y92" s="417" t="str">
        <f>IF(OR(SUM(Y90:Z91)=0,Q89=""),"",IF(AND(B22="✔",B26="✔",B40="✔",B45="✔",B50="✔",B71="✔",B76="✔",OR(B79="✔",B83="✔"),B84=""),MIN(25,SUM(Y90:Z91)),0))</f>
        <v/>
      </c>
      <c r="Z92" s="418"/>
      <c r="AA92" s="10" t="s">
        <v>20</v>
      </c>
      <c r="AB92" s="3" t="str">
        <f>IF(AND(Y92=0),"←合計金額が算出されない場合は、前のページにチェック漏れ等がありますので御確認ください。","")</f>
        <v/>
      </c>
    </row>
    <row r="93" spans="1:39" s="2" customFormat="1" x14ac:dyDescent="0.45">
      <c r="A93" s="44" t="s">
        <v>358</v>
      </c>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39" s="2" customFormat="1" x14ac:dyDescent="0.45">
      <c r="A94" s="6"/>
      <c r="B94" s="19" t="s">
        <v>357</v>
      </c>
      <c r="C94" s="1"/>
      <c r="D94" s="1"/>
      <c r="E94" s="1"/>
      <c r="F94" s="1"/>
      <c r="G94" s="1"/>
      <c r="H94" s="1"/>
      <c r="I94" s="1"/>
      <c r="J94" s="1"/>
      <c r="K94" s="1"/>
      <c r="L94" s="1"/>
      <c r="M94" s="1"/>
      <c r="N94" s="1"/>
      <c r="O94" s="1"/>
      <c r="P94" s="1"/>
      <c r="Q94" s="1"/>
      <c r="R94" s="1"/>
      <c r="S94" s="1"/>
      <c r="T94" s="1"/>
      <c r="U94" s="1"/>
      <c r="V94" s="1"/>
      <c r="W94" s="1"/>
      <c r="X94" s="1"/>
      <c r="Y94" s="1"/>
      <c r="Z94" s="1"/>
      <c r="AA94" s="1"/>
    </row>
    <row r="95" spans="1:39" s="2" customFormat="1" x14ac:dyDescent="0.45">
      <c r="A95" s="44" t="s">
        <v>364</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39" s="2" customFormat="1" x14ac:dyDescent="0.45">
      <c r="A96" s="6"/>
      <c r="B96" s="19" t="s">
        <v>357</v>
      </c>
      <c r="C96" s="1"/>
      <c r="D96" s="1"/>
      <c r="E96" s="1"/>
      <c r="F96" s="1"/>
      <c r="G96" s="1"/>
      <c r="H96" s="1"/>
      <c r="I96" s="1"/>
      <c r="J96" s="1"/>
      <c r="K96" s="1"/>
      <c r="L96" s="1"/>
      <c r="M96" s="1"/>
      <c r="N96" s="1"/>
      <c r="O96" s="1"/>
      <c r="P96" s="1"/>
      <c r="Q96" s="1"/>
      <c r="R96" s="1"/>
      <c r="S96" s="1"/>
      <c r="T96" s="1"/>
      <c r="U96" s="1"/>
      <c r="V96" s="1"/>
      <c r="W96" s="1"/>
      <c r="X96" s="1"/>
      <c r="Y96" s="1"/>
      <c r="Z96" s="1"/>
      <c r="AA96" s="1"/>
    </row>
    <row r="97" spans="1:68" s="2" customFormat="1" x14ac:dyDescent="0.45">
      <c r="A97" s="6"/>
      <c r="B97" s="19"/>
      <c r="C97" s="26" t="s">
        <v>71</v>
      </c>
      <c r="D97" s="1"/>
      <c r="E97" s="1"/>
      <c r="F97" s="1"/>
      <c r="G97" s="1"/>
      <c r="H97" s="1"/>
      <c r="I97" s="1"/>
      <c r="J97" s="1"/>
      <c r="K97" s="1"/>
      <c r="L97" s="1"/>
      <c r="M97" s="1"/>
      <c r="N97" s="1"/>
      <c r="O97" s="1"/>
      <c r="P97" s="1"/>
      <c r="Q97" s="1"/>
      <c r="R97" s="1"/>
      <c r="S97" s="1"/>
      <c r="T97" s="1"/>
      <c r="U97" s="1"/>
      <c r="V97" s="1"/>
      <c r="W97" s="1"/>
      <c r="X97" s="1"/>
      <c r="Y97" s="1"/>
      <c r="Z97" s="1"/>
      <c r="AA97" s="1"/>
      <c r="BG97" s="1"/>
      <c r="BH97" s="1"/>
      <c r="BI97" s="1"/>
      <c r="BJ97" s="1"/>
      <c r="BK97" s="1"/>
      <c r="BL97" s="1"/>
      <c r="BM97" s="1"/>
      <c r="BN97" s="1"/>
      <c r="BO97" s="1"/>
    </row>
    <row r="98" spans="1:68" s="2" customFormat="1" x14ac:dyDescent="0.45">
      <c r="A98" s="1"/>
      <c r="B98" s="1"/>
      <c r="C98" s="415" t="s">
        <v>361</v>
      </c>
      <c r="D98" s="415"/>
      <c r="E98" s="415"/>
      <c r="F98" s="415"/>
      <c r="G98" s="415"/>
      <c r="H98" s="415"/>
      <c r="I98" s="415"/>
      <c r="J98" s="415"/>
      <c r="K98" s="415"/>
      <c r="L98" s="415"/>
      <c r="M98" s="415"/>
      <c r="N98" s="415"/>
      <c r="O98" s="415"/>
      <c r="P98" s="415"/>
      <c r="Q98" s="415"/>
      <c r="R98" s="415"/>
      <c r="S98" s="415"/>
      <c r="T98" s="415"/>
      <c r="U98" s="415"/>
      <c r="V98" s="415"/>
      <c r="W98" s="415"/>
      <c r="X98" s="415"/>
      <c r="Y98" s="415"/>
      <c r="Z98" s="415"/>
      <c r="AA98" s="415"/>
      <c r="BP98" s="1"/>
    </row>
    <row r="99" spans="1:68" s="2" customFormat="1" x14ac:dyDescent="0.45">
      <c r="A99" s="1"/>
      <c r="B99" s="1"/>
      <c r="C99" s="415"/>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row>
    <row r="100" spans="1:68" s="2" customFormat="1" x14ac:dyDescent="0.45">
      <c r="A100" s="6" t="s">
        <v>70</v>
      </c>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68" x14ac:dyDescent="0.45">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G101" s="2"/>
      <c r="BH101" s="2"/>
      <c r="BI101" s="2"/>
      <c r="BJ101" s="2"/>
      <c r="BK101" s="2"/>
      <c r="BL101" s="2"/>
      <c r="BM101" s="2"/>
      <c r="BN101" s="2"/>
      <c r="BO101" s="2"/>
      <c r="BP101" s="2"/>
    </row>
    <row r="102" spans="1:68" s="2" customFormat="1" x14ac:dyDescent="0.45">
      <c r="A102" s="1" t="s">
        <v>69</v>
      </c>
      <c r="B102" s="1"/>
      <c r="C102" s="1"/>
      <c r="D102" s="1"/>
      <c r="E102" s="1"/>
      <c r="F102" s="1"/>
      <c r="G102" s="1"/>
      <c r="H102" s="1"/>
      <c r="I102" s="1"/>
      <c r="J102" s="1"/>
      <c r="K102" s="1"/>
      <c r="L102" s="1"/>
      <c r="M102" s="1"/>
      <c r="N102" s="1"/>
      <c r="O102" s="1"/>
      <c r="P102" s="1"/>
      <c r="Q102" s="1"/>
      <c r="R102" s="1"/>
      <c r="S102" s="1"/>
      <c r="T102" s="1"/>
      <c r="U102" s="1"/>
      <c r="V102" s="1"/>
      <c r="W102" s="1"/>
      <c r="X102" s="1"/>
      <c r="Y102" s="354" t="s">
        <v>24</v>
      </c>
      <c r="Z102" s="354"/>
      <c r="AA102" s="354"/>
    </row>
    <row r="103" spans="1:68" s="2" customFormat="1" ht="14.25" customHeight="1" x14ac:dyDescent="0.45">
      <c r="A103" s="1"/>
      <c r="B103" s="1" t="s">
        <v>68</v>
      </c>
      <c r="C103" s="1"/>
      <c r="D103" s="1"/>
      <c r="E103" s="1"/>
      <c r="F103" s="1"/>
      <c r="G103" s="1"/>
      <c r="H103" s="1"/>
      <c r="I103" s="1"/>
      <c r="J103" s="1"/>
      <c r="K103" s="1"/>
      <c r="L103" s="1"/>
      <c r="M103" s="1"/>
      <c r="N103" s="1"/>
      <c r="O103" s="1"/>
      <c r="P103" s="1"/>
      <c r="Q103" s="1"/>
      <c r="R103" s="1"/>
      <c r="S103" s="1"/>
      <c r="T103" s="1"/>
      <c r="U103" s="1"/>
      <c r="V103" s="1"/>
      <c r="W103" s="1"/>
      <c r="X103" s="1"/>
      <c r="Y103" s="355"/>
      <c r="Z103" s="355"/>
      <c r="AA103" s="355"/>
    </row>
    <row r="104" spans="1:68" s="2" customFormat="1" x14ac:dyDescent="0.45">
      <c r="A104" s="1"/>
      <c r="B104" s="279" t="s">
        <v>439</v>
      </c>
      <c r="C104" s="1"/>
      <c r="D104" s="1"/>
      <c r="E104" s="1"/>
      <c r="F104" s="1"/>
      <c r="G104" s="1"/>
      <c r="H104" s="1"/>
      <c r="I104" s="1"/>
      <c r="J104" s="1"/>
      <c r="K104" s="1"/>
      <c r="L104" s="1"/>
      <c r="M104" s="1"/>
      <c r="N104" s="1"/>
      <c r="O104" s="1"/>
      <c r="P104" s="1"/>
      <c r="Q104" s="1"/>
      <c r="R104" s="1"/>
      <c r="S104" s="1"/>
      <c r="T104" s="1"/>
      <c r="U104" s="1"/>
      <c r="V104" s="1"/>
      <c r="W104" s="1"/>
      <c r="X104" s="1"/>
      <c r="Y104" s="375" t="str">
        <f>IF(AND(Y92&lt;&gt;"",Y92&gt;=0.2,OR(B106="✔",P106="✔")),IF(B56="✔",0,10),"")</f>
        <v/>
      </c>
      <c r="Z104" s="376"/>
      <c r="AA104" s="10" t="s">
        <v>20</v>
      </c>
      <c r="AD104" s="2" t="s">
        <v>39</v>
      </c>
    </row>
    <row r="105" spans="1:68" s="2" customFormat="1" ht="6.9" customHeight="1"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68" s="2" customFormat="1" x14ac:dyDescent="0.45">
      <c r="A106" s="1"/>
      <c r="B106" s="11"/>
      <c r="C106" s="1" t="s">
        <v>67</v>
      </c>
      <c r="D106" s="1"/>
      <c r="E106" s="1"/>
      <c r="F106" s="1"/>
      <c r="G106" s="1"/>
      <c r="H106" s="1"/>
      <c r="I106" s="1"/>
      <c r="J106" s="1"/>
      <c r="K106" s="1"/>
      <c r="L106" s="1"/>
      <c r="M106" s="1"/>
      <c r="N106" s="1"/>
      <c r="O106" s="1"/>
      <c r="P106" s="11"/>
      <c r="Q106" s="1" t="s">
        <v>66</v>
      </c>
      <c r="R106" s="1"/>
      <c r="S106" s="1"/>
      <c r="T106" s="1"/>
      <c r="U106" s="1"/>
      <c r="V106" s="1"/>
      <c r="W106" s="1"/>
      <c r="X106" s="1"/>
      <c r="Y106" s="1"/>
      <c r="Z106" s="1"/>
      <c r="AA106" s="1"/>
    </row>
    <row r="107" spans="1:68" s="2" customFormat="1" ht="13.5" customHeight="1" x14ac:dyDescent="0.45">
      <c r="A107" s="1"/>
      <c r="B107" s="1"/>
      <c r="C107" s="1" t="s">
        <v>65</v>
      </c>
      <c r="D107" s="1"/>
      <c r="E107" s="1"/>
      <c r="F107" s="1"/>
      <c r="G107" s="1"/>
      <c r="H107" s="1"/>
      <c r="I107" s="1"/>
      <c r="J107" s="1"/>
      <c r="K107" s="1"/>
      <c r="L107" s="1"/>
      <c r="M107" s="1"/>
      <c r="N107" s="1"/>
      <c r="O107" s="1"/>
      <c r="P107" s="1"/>
      <c r="Q107" s="313"/>
      <c r="R107" s="313"/>
      <c r="S107" s="313"/>
      <c r="T107" s="313"/>
      <c r="U107" s="313"/>
      <c r="V107" s="313"/>
      <c r="W107" s="313"/>
      <c r="X107" s="313"/>
      <c r="Y107" s="313"/>
      <c r="Z107" s="313"/>
      <c r="AA107" s="313"/>
    </row>
    <row r="108" spans="1:68" s="2" customFormat="1" x14ac:dyDescent="0.45">
      <c r="A108" s="1"/>
      <c r="B108" s="1"/>
      <c r="C108" s="1"/>
      <c r="D108" s="1"/>
      <c r="E108" s="1"/>
      <c r="F108" s="1"/>
      <c r="G108" s="1"/>
      <c r="H108" s="1"/>
      <c r="I108" s="1"/>
      <c r="J108" s="1"/>
      <c r="K108" s="1"/>
      <c r="L108" s="1"/>
      <c r="M108" s="1"/>
      <c r="N108" s="1"/>
      <c r="O108" s="1"/>
      <c r="P108" s="1"/>
      <c r="Q108" s="313"/>
      <c r="R108" s="313"/>
      <c r="S108" s="313"/>
      <c r="T108" s="313"/>
      <c r="U108" s="313"/>
      <c r="V108" s="313"/>
      <c r="W108" s="313"/>
      <c r="X108" s="313"/>
      <c r="Y108" s="313"/>
      <c r="Z108" s="313"/>
      <c r="AA108" s="313"/>
    </row>
    <row r="109" spans="1:68" s="2" customFormat="1" x14ac:dyDescent="0.45">
      <c r="A109" s="1"/>
      <c r="B109" s="1"/>
      <c r="C109" s="6" t="s">
        <v>64</v>
      </c>
      <c r="D109" s="1"/>
      <c r="E109" s="1"/>
      <c r="F109" s="1"/>
      <c r="G109" s="1"/>
      <c r="H109" s="1"/>
      <c r="I109" s="1"/>
      <c r="J109" s="1"/>
      <c r="K109" s="1"/>
      <c r="L109" s="1"/>
      <c r="M109" s="1"/>
      <c r="N109" s="1"/>
      <c r="O109" s="1"/>
      <c r="P109" s="1"/>
      <c r="Q109" s="6" t="s">
        <v>64</v>
      </c>
      <c r="R109" s="1"/>
      <c r="S109" s="1"/>
      <c r="T109" s="1"/>
      <c r="U109" s="1"/>
      <c r="V109" s="1"/>
      <c r="W109" s="1"/>
      <c r="X109" s="1"/>
      <c r="Y109" s="1"/>
      <c r="Z109" s="1"/>
      <c r="AA109" s="1"/>
    </row>
    <row r="110" spans="1:68" s="2" customFormat="1" ht="13.5" customHeight="1" x14ac:dyDescent="0.45">
      <c r="A110" s="1"/>
      <c r="B110" s="1"/>
      <c r="C110" s="377" t="s">
        <v>63</v>
      </c>
      <c r="D110" s="313"/>
      <c r="E110" s="313"/>
      <c r="F110" s="313"/>
      <c r="G110" s="313"/>
      <c r="H110" s="313"/>
      <c r="I110" s="313"/>
      <c r="J110" s="313"/>
      <c r="K110" s="313"/>
      <c r="L110" s="313"/>
      <c r="M110" s="313"/>
      <c r="N110" s="313"/>
      <c r="O110" s="1"/>
      <c r="P110" s="1"/>
      <c r="Q110" s="377" t="s">
        <v>62</v>
      </c>
      <c r="R110" s="377"/>
      <c r="S110" s="377"/>
      <c r="T110" s="377"/>
      <c r="U110" s="377"/>
      <c r="V110" s="377"/>
      <c r="W110" s="377"/>
      <c r="X110" s="377"/>
      <c r="Y110" s="377"/>
      <c r="Z110" s="377"/>
      <c r="AA110" s="377"/>
    </row>
    <row r="111" spans="1:68" s="2" customFormat="1" x14ac:dyDescent="0.45">
      <c r="A111" s="1"/>
      <c r="B111" s="1"/>
      <c r="C111" s="313"/>
      <c r="D111" s="313"/>
      <c r="E111" s="313"/>
      <c r="F111" s="313"/>
      <c r="G111" s="313"/>
      <c r="H111" s="313"/>
      <c r="I111" s="313"/>
      <c r="J111" s="313"/>
      <c r="K111" s="313"/>
      <c r="L111" s="313"/>
      <c r="M111" s="313"/>
      <c r="N111" s="313"/>
      <c r="O111" s="1"/>
      <c r="P111" s="1"/>
      <c r="Q111" s="377"/>
      <c r="R111" s="377"/>
      <c r="S111" s="377"/>
      <c r="T111" s="377"/>
      <c r="U111" s="377"/>
      <c r="V111" s="377"/>
      <c r="W111" s="377"/>
      <c r="X111" s="377"/>
      <c r="Y111" s="377"/>
      <c r="Z111" s="377"/>
      <c r="AA111" s="377"/>
    </row>
    <row r="112" spans="1:68" s="2" customFormat="1" x14ac:dyDescent="0.45">
      <c r="A112" s="1"/>
      <c r="B112" s="1"/>
      <c r="C112" s="25" t="s">
        <v>44</v>
      </c>
      <c r="D112" s="24"/>
      <c r="E112" s="24"/>
      <c r="F112" s="24"/>
      <c r="G112" s="24"/>
      <c r="H112" s="24"/>
      <c r="I112" s="24"/>
      <c r="J112" s="24"/>
      <c r="K112" s="24"/>
      <c r="L112" s="24"/>
      <c r="M112" s="24"/>
      <c r="N112" s="24"/>
      <c r="O112" s="1"/>
      <c r="P112" s="1"/>
      <c r="Q112" s="25" t="s">
        <v>44</v>
      </c>
      <c r="R112" s="24"/>
      <c r="S112" s="24"/>
      <c r="T112" s="24"/>
      <c r="U112" s="24"/>
      <c r="V112" s="24"/>
      <c r="W112" s="24"/>
      <c r="X112" s="24"/>
      <c r="Y112" s="24"/>
      <c r="Z112" s="24"/>
      <c r="AA112" s="24"/>
    </row>
    <row r="113" spans="1:30" s="2" customFormat="1" ht="25.5" customHeight="1" x14ac:dyDescent="0.45">
      <c r="A113" s="1"/>
      <c r="B113" s="1"/>
      <c r="C113" s="378" t="s">
        <v>61</v>
      </c>
      <c r="D113" s="378"/>
      <c r="E113" s="378"/>
      <c r="F113" s="378"/>
      <c r="G113" s="378"/>
      <c r="H113" s="378"/>
      <c r="I113" s="378"/>
      <c r="J113" s="378"/>
      <c r="K113" s="378"/>
      <c r="L113" s="378"/>
      <c r="M113" s="378"/>
      <c r="N113" s="378"/>
      <c r="O113" s="1"/>
      <c r="P113" s="1"/>
      <c r="Q113" s="378" t="s">
        <v>60</v>
      </c>
      <c r="R113" s="378"/>
      <c r="S113" s="378"/>
      <c r="T113" s="378"/>
      <c r="U113" s="378"/>
      <c r="V113" s="378"/>
      <c r="W113" s="378"/>
      <c r="X113" s="378"/>
      <c r="Y113" s="378"/>
      <c r="Z113" s="378"/>
      <c r="AA113" s="378"/>
    </row>
    <row r="114" spans="1:30" s="2" customFormat="1" ht="13.5" customHeight="1" x14ac:dyDescent="0.45">
      <c r="A114" s="1"/>
      <c r="B114" s="1"/>
      <c r="C114" s="1"/>
      <c r="D114" s="23"/>
      <c r="E114" s="23"/>
      <c r="F114" s="23"/>
      <c r="G114" s="23"/>
      <c r="H114" s="23"/>
      <c r="I114" s="23"/>
      <c r="J114" s="23"/>
      <c r="K114" s="23"/>
      <c r="L114" s="23"/>
      <c r="M114" s="23"/>
      <c r="N114" s="23"/>
      <c r="O114" s="1"/>
      <c r="P114" s="1"/>
      <c r="Q114" s="22" t="s">
        <v>59</v>
      </c>
      <c r="R114" s="16"/>
      <c r="S114" s="16"/>
      <c r="T114" s="16"/>
      <c r="U114" s="16"/>
      <c r="V114" s="16"/>
      <c r="W114" s="16"/>
      <c r="X114" s="16"/>
      <c r="Y114" s="16"/>
      <c r="Z114" s="16"/>
      <c r="AA114" s="16"/>
    </row>
    <row r="115" spans="1:30" s="2" customFormat="1" ht="6.9"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30" s="2" customFormat="1" x14ac:dyDescent="0.45">
      <c r="A116" s="1"/>
      <c r="B116" s="1"/>
      <c r="C116" s="379" t="s">
        <v>58</v>
      </c>
      <c r="D116" s="379"/>
      <c r="E116" s="379"/>
      <c r="F116" s="379"/>
      <c r="G116" s="379"/>
      <c r="H116" s="379"/>
      <c r="I116" s="379"/>
      <c r="J116" s="379"/>
      <c r="K116" s="379"/>
      <c r="L116" s="379"/>
      <c r="M116" s="379"/>
      <c r="N116" s="379"/>
      <c r="O116" s="379"/>
      <c r="P116" s="379"/>
      <c r="Q116" s="379"/>
      <c r="R116" s="379"/>
      <c r="S116" s="379"/>
      <c r="T116" s="379"/>
      <c r="U116" s="379"/>
      <c r="V116" s="379"/>
      <c r="W116" s="379"/>
      <c r="X116" s="379"/>
      <c r="Y116" s="379"/>
      <c r="Z116" s="379"/>
      <c r="AA116" s="16"/>
    </row>
    <row r="117" spans="1:30" s="2" customFormat="1" x14ac:dyDescent="0.45">
      <c r="A117" s="1"/>
      <c r="B117" s="1"/>
      <c r="C117" s="379"/>
      <c r="D117" s="379"/>
      <c r="E117" s="379"/>
      <c r="F117" s="379"/>
      <c r="G117" s="379"/>
      <c r="H117" s="379"/>
      <c r="I117" s="379"/>
      <c r="J117" s="379"/>
      <c r="K117" s="379"/>
      <c r="L117" s="379"/>
      <c r="M117" s="379"/>
      <c r="N117" s="379"/>
      <c r="O117" s="379"/>
      <c r="P117" s="379"/>
      <c r="Q117" s="379"/>
      <c r="R117" s="379"/>
      <c r="S117" s="379"/>
      <c r="T117" s="379"/>
      <c r="U117" s="379"/>
      <c r="V117" s="379"/>
      <c r="W117" s="379"/>
      <c r="X117" s="379"/>
      <c r="Y117" s="379"/>
      <c r="Z117" s="379"/>
      <c r="AA117" s="16"/>
    </row>
    <row r="118" spans="1:30" s="2" customFormat="1" ht="13.5"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21"/>
      <c r="Z118" s="21"/>
      <c r="AA118" s="21"/>
    </row>
    <row r="119" spans="1:30" s="2" customFormat="1" x14ac:dyDescent="0.45">
      <c r="A119" s="1" t="s">
        <v>57</v>
      </c>
      <c r="B119" s="1"/>
      <c r="C119" s="1"/>
      <c r="D119" s="1"/>
      <c r="E119" s="1"/>
      <c r="F119" s="1"/>
      <c r="G119" s="1"/>
      <c r="H119" s="1"/>
      <c r="I119" s="1"/>
      <c r="J119" s="1"/>
      <c r="K119" s="1"/>
      <c r="L119" s="1"/>
      <c r="M119" s="1"/>
      <c r="N119" s="1"/>
      <c r="O119" s="1"/>
      <c r="P119" s="1"/>
      <c r="Q119" s="1"/>
      <c r="R119" s="1"/>
      <c r="S119" s="1"/>
      <c r="T119" s="1"/>
      <c r="U119" s="1"/>
      <c r="V119" s="1"/>
      <c r="W119" s="1"/>
      <c r="X119" s="1"/>
      <c r="Y119" s="380" t="s">
        <v>24</v>
      </c>
      <c r="Z119" s="380"/>
      <c r="AA119" s="380"/>
    </row>
    <row r="120" spans="1:30" s="2" customFormat="1" ht="13.5" customHeight="1" x14ac:dyDescent="0.45">
      <c r="A120" s="1"/>
      <c r="B120" s="279" t="s">
        <v>467</v>
      </c>
      <c r="C120" s="279"/>
      <c r="D120" s="279"/>
      <c r="E120" s="1"/>
      <c r="F120" s="1"/>
      <c r="G120" s="1"/>
      <c r="H120" s="1"/>
      <c r="I120" s="1"/>
      <c r="J120" s="1"/>
      <c r="K120" s="1"/>
      <c r="L120" s="1"/>
      <c r="M120" s="1"/>
      <c r="N120" s="1"/>
      <c r="O120" s="1"/>
      <c r="P120" s="1"/>
      <c r="Q120" s="1"/>
      <c r="R120" s="1"/>
      <c r="S120" s="1"/>
      <c r="T120" s="1"/>
      <c r="U120" s="1"/>
      <c r="V120" s="1"/>
      <c r="W120" s="1"/>
      <c r="X120" s="1"/>
      <c r="Y120" s="355"/>
      <c r="Z120" s="355"/>
      <c r="AA120" s="355"/>
    </row>
    <row r="121" spans="1:30" s="2" customFormat="1" x14ac:dyDescent="0.45">
      <c r="A121" s="1"/>
      <c r="B121" s="301" t="s">
        <v>468</v>
      </c>
      <c r="C121" s="279"/>
      <c r="D121" s="279"/>
      <c r="E121" s="1"/>
      <c r="F121" s="1"/>
      <c r="G121" s="1"/>
      <c r="H121" s="1"/>
      <c r="I121" s="1"/>
      <c r="J121" s="1"/>
      <c r="K121" s="1"/>
      <c r="L121" s="1"/>
      <c r="M121" s="1"/>
      <c r="N121" s="1"/>
      <c r="O121" s="1"/>
      <c r="P121" s="1"/>
      <c r="Q121" s="1"/>
      <c r="R121" s="1"/>
      <c r="S121" s="1"/>
      <c r="T121" s="1"/>
      <c r="U121" s="1"/>
      <c r="V121" s="1"/>
      <c r="W121" s="1"/>
      <c r="X121" s="1"/>
      <c r="Y121" s="375" t="str">
        <f>IF(AND(Y92&gt;=0.2,B126="✔",B128="✔",B131="✔",B134="✔"),10,IF(AND(Y92&gt;=0.2,B126="✔",B128="✔",B136="✔"),10,IF(AND(B128="✔",B138="✔",B126=""),10,"")))</f>
        <v/>
      </c>
      <c r="Z121" s="376"/>
      <c r="AA121" s="10" t="s">
        <v>20</v>
      </c>
    </row>
    <row r="122" spans="1:30" s="2" customFormat="1" x14ac:dyDescent="0.45">
      <c r="A122" s="1"/>
      <c r="B122" s="301" t="s">
        <v>469</v>
      </c>
      <c r="C122" s="279"/>
      <c r="D122" s="279"/>
      <c r="E122" s="1"/>
      <c r="F122" s="1"/>
      <c r="G122" s="1"/>
      <c r="H122" s="1"/>
      <c r="I122" s="1"/>
      <c r="J122" s="1"/>
      <c r="K122" s="1"/>
      <c r="L122" s="1"/>
      <c r="M122" s="1"/>
      <c r="N122" s="1"/>
      <c r="O122" s="1"/>
      <c r="P122" s="1"/>
      <c r="Q122" s="1"/>
      <c r="R122" s="1"/>
      <c r="S122" s="1"/>
      <c r="T122" s="1"/>
      <c r="U122" s="1"/>
      <c r="V122" s="1"/>
      <c r="W122" s="1"/>
      <c r="X122" s="1"/>
      <c r="Y122" s="12"/>
      <c r="Z122" s="12"/>
      <c r="AA122" s="20"/>
    </row>
    <row r="123" spans="1:30" s="2" customFormat="1" x14ac:dyDescent="0.45">
      <c r="A123" s="1"/>
      <c r="B123" s="301" t="s">
        <v>470</v>
      </c>
      <c r="C123" s="279"/>
      <c r="D123" s="279"/>
      <c r="E123" s="1"/>
      <c r="F123" s="1"/>
      <c r="G123" s="1"/>
      <c r="H123" s="1"/>
      <c r="I123" s="1"/>
      <c r="J123" s="1"/>
      <c r="K123" s="1"/>
      <c r="L123" s="1"/>
      <c r="M123" s="1"/>
      <c r="N123" s="1"/>
      <c r="O123" s="1"/>
      <c r="P123" s="1"/>
      <c r="Q123" s="1"/>
      <c r="R123" s="1"/>
      <c r="S123" s="1"/>
      <c r="T123" s="1"/>
      <c r="U123" s="1"/>
      <c r="V123" s="1"/>
      <c r="W123" s="1"/>
      <c r="X123" s="1"/>
      <c r="Y123" s="12"/>
      <c r="Z123" s="12"/>
      <c r="AA123" s="20"/>
    </row>
    <row r="124" spans="1:30" s="2" customFormat="1" ht="9"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2"/>
      <c r="Z124" s="12"/>
      <c r="AA124" s="20"/>
    </row>
    <row r="125" spans="1:30" s="2" customFormat="1" ht="6.9" customHeight="1"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30" s="2" customFormat="1" x14ac:dyDescent="0.45">
      <c r="A126" s="1"/>
      <c r="B126" s="11"/>
      <c r="C126" s="279" t="s">
        <v>471</v>
      </c>
      <c r="D126" s="1"/>
      <c r="E126" s="1"/>
      <c r="F126" s="1"/>
      <c r="G126" s="1"/>
      <c r="H126" s="1"/>
      <c r="I126" s="1"/>
      <c r="J126" s="1"/>
      <c r="K126" s="1"/>
      <c r="L126" s="1"/>
      <c r="M126" s="1"/>
      <c r="N126" s="1"/>
      <c r="O126" s="1"/>
      <c r="P126" s="1"/>
      <c r="Q126" s="1"/>
      <c r="R126" s="1"/>
      <c r="S126" s="1"/>
      <c r="T126" s="1"/>
      <c r="U126" s="1"/>
      <c r="V126" s="1"/>
      <c r="W126" s="1"/>
      <c r="X126" s="1"/>
      <c r="Y126" s="1"/>
      <c r="Z126" s="1"/>
      <c r="AA126" s="1"/>
      <c r="AD126" s="2" t="s">
        <v>39</v>
      </c>
    </row>
    <row r="127" spans="1:30" s="2" customFormat="1" ht="6.9"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30" s="2" customFormat="1" x14ac:dyDescent="0.45">
      <c r="A128" s="1"/>
      <c r="B128" s="11"/>
      <c r="C128" s="279" t="s">
        <v>472</v>
      </c>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8" s="2" customFormat="1" x14ac:dyDescent="0.45">
      <c r="A129" s="1"/>
      <c r="B129" s="1"/>
      <c r="C129" s="6" t="s">
        <v>56</v>
      </c>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8" s="2" customFormat="1" ht="6.9"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8" s="2" customFormat="1" x14ac:dyDescent="0.45">
      <c r="A131" s="1"/>
      <c r="B131" s="11"/>
      <c r="C131" s="279" t="s">
        <v>473</v>
      </c>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8" s="2" customFormat="1" x14ac:dyDescent="0.45">
      <c r="A132" s="1"/>
      <c r="B132" s="1"/>
      <c r="C132" s="6" t="s">
        <v>55</v>
      </c>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8" s="2" customFormat="1" ht="6.9" customHeight="1"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8" s="2" customFormat="1" x14ac:dyDescent="0.45">
      <c r="A134" s="1"/>
      <c r="B134" s="11"/>
      <c r="C134" s="1" t="s">
        <v>54</v>
      </c>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8" s="2" customFormat="1" ht="6.9" customHeight="1"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8" s="2" customFormat="1" x14ac:dyDescent="0.45">
      <c r="A136" s="1"/>
      <c r="B136" s="11"/>
      <c r="C136" s="1" t="s">
        <v>53</v>
      </c>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8" s="2" customFormat="1" ht="7.5" customHeight="1"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8" s="2" customFormat="1" x14ac:dyDescent="0.45">
      <c r="A138" s="1"/>
      <c r="B138" s="11"/>
      <c r="C138" s="1" t="s">
        <v>52</v>
      </c>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8" s="2" customFormat="1" ht="6.9" customHeight="1"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8" s="2" customFormat="1" ht="15" customHeight="1" x14ac:dyDescent="0.45">
      <c r="A140" s="1"/>
      <c r="B140" s="381" t="s">
        <v>51</v>
      </c>
      <c r="C140" s="381"/>
      <c r="D140" s="381"/>
      <c r="E140" s="381"/>
      <c r="F140" s="381"/>
      <c r="G140" s="381"/>
      <c r="H140" s="311" t="s">
        <v>50</v>
      </c>
      <c r="I140" s="311"/>
      <c r="J140" s="311"/>
      <c r="K140" s="311"/>
      <c r="L140" s="311"/>
      <c r="M140" s="311"/>
      <c r="N140" s="311"/>
      <c r="O140" s="382"/>
      <c r="P140" s="382"/>
      <c r="Q140" s="382"/>
      <c r="R140" s="382"/>
      <c r="S140" s="382"/>
      <c r="T140" s="382"/>
      <c r="U140" s="382"/>
      <c r="V140" s="382"/>
      <c r="W140" s="382"/>
      <c r="X140" s="382"/>
      <c r="Y140" s="382"/>
      <c r="Z140" s="382"/>
      <c r="AA140" s="1"/>
      <c r="AB140" s="3" t="str">
        <f>IF(AND(O140="",Y121=10),"→申請者の申請時住所の小学校区を記載してください。","")</f>
        <v/>
      </c>
    </row>
    <row r="141" spans="1:28" s="2" customFormat="1" ht="15" customHeight="1" x14ac:dyDescent="0.45">
      <c r="A141" s="1"/>
      <c r="B141" s="381"/>
      <c r="C141" s="381"/>
      <c r="D141" s="381"/>
      <c r="E141" s="381"/>
      <c r="F141" s="381"/>
      <c r="G141" s="381"/>
      <c r="H141" s="311" t="s">
        <v>49</v>
      </c>
      <c r="I141" s="311"/>
      <c r="J141" s="311"/>
      <c r="K141" s="311"/>
      <c r="L141" s="311"/>
      <c r="M141" s="311"/>
      <c r="N141" s="311"/>
      <c r="O141" s="382"/>
      <c r="P141" s="382"/>
      <c r="Q141" s="382"/>
      <c r="R141" s="382"/>
      <c r="S141" s="382"/>
      <c r="T141" s="382"/>
      <c r="U141" s="382"/>
      <c r="V141" s="382"/>
      <c r="W141" s="382"/>
      <c r="X141" s="382"/>
      <c r="Y141" s="382"/>
      <c r="Z141" s="382"/>
      <c r="AA141" s="1"/>
      <c r="AB141" s="3" t="str">
        <f>IF(AND(O141="",Y121=10),"→申請者の住宅建設地の小学校区を記載してください。","")</f>
        <v/>
      </c>
    </row>
    <row r="142" spans="1:28" s="2" customFormat="1" ht="15" customHeight="1" x14ac:dyDescent="0.45">
      <c r="A142" s="1"/>
      <c r="B142" s="383" t="s">
        <v>48</v>
      </c>
      <c r="C142" s="384"/>
      <c r="D142" s="384"/>
      <c r="E142" s="384"/>
      <c r="F142" s="384"/>
      <c r="G142" s="385"/>
      <c r="H142" s="311" t="s">
        <v>47</v>
      </c>
      <c r="I142" s="311"/>
      <c r="J142" s="311"/>
      <c r="K142" s="311"/>
      <c r="L142" s="311"/>
      <c r="M142" s="311"/>
      <c r="N142" s="311"/>
      <c r="O142" s="382"/>
      <c r="P142" s="382"/>
      <c r="Q142" s="382"/>
      <c r="R142" s="382"/>
      <c r="S142" s="382"/>
      <c r="T142" s="382"/>
      <c r="U142" s="382"/>
      <c r="V142" s="382"/>
      <c r="W142" s="382"/>
      <c r="X142" s="382"/>
      <c r="Y142" s="382"/>
      <c r="Z142" s="382"/>
      <c r="AA142" s="1"/>
      <c r="AB142" s="3" t="str">
        <f>IF(AND(O142="",Y121=10),"→同居、近居対象の親族世帯の住所を記載してください。","")</f>
        <v/>
      </c>
    </row>
    <row r="143" spans="1:28" s="2" customFormat="1" ht="15" customHeight="1" x14ac:dyDescent="0.45">
      <c r="A143" s="1"/>
      <c r="B143" s="386"/>
      <c r="C143" s="312"/>
      <c r="D143" s="312"/>
      <c r="E143" s="312"/>
      <c r="F143" s="312"/>
      <c r="G143" s="387"/>
      <c r="H143" s="311" t="s">
        <v>46</v>
      </c>
      <c r="I143" s="311"/>
      <c r="J143" s="311"/>
      <c r="K143" s="311"/>
      <c r="L143" s="311"/>
      <c r="M143" s="311"/>
      <c r="N143" s="311"/>
      <c r="O143" s="382"/>
      <c r="P143" s="382"/>
      <c r="Q143" s="382"/>
      <c r="R143" s="382"/>
      <c r="S143" s="382"/>
      <c r="T143" s="382"/>
      <c r="U143" s="382"/>
      <c r="V143" s="382"/>
      <c r="W143" s="382"/>
      <c r="X143" s="382"/>
      <c r="Y143" s="382"/>
      <c r="Z143" s="382"/>
      <c r="AA143" s="1"/>
      <c r="AB143" s="3" t="str">
        <f>IF(AND(O143="",Y121=10),"→同居、近居対象の親族世帯の小学校区を記載してください。","")</f>
        <v/>
      </c>
    </row>
    <row r="144" spans="1:28" s="2" customFormat="1" ht="14.25" customHeight="1" x14ac:dyDescent="0.45">
      <c r="A144" s="1"/>
      <c r="B144" s="388"/>
      <c r="C144" s="389"/>
      <c r="D144" s="389"/>
      <c r="E144" s="389"/>
      <c r="F144" s="389"/>
      <c r="G144" s="390"/>
      <c r="H144" s="311" t="s">
        <v>45</v>
      </c>
      <c r="I144" s="311"/>
      <c r="J144" s="311"/>
      <c r="K144" s="311"/>
      <c r="L144" s="311"/>
      <c r="M144" s="311"/>
      <c r="N144" s="311"/>
      <c r="O144" s="382"/>
      <c r="P144" s="382"/>
      <c r="Q144" s="382"/>
      <c r="R144" s="382"/>
      <c r="S144" s="382"/>
      <c r="T144" s="382"/>
      <c r="U144" s="382"/>
      <c r="V144" s="382"/>
      <c r="W144" s="382"/>
      <c r="X144" s="382"/>
      <c r="Y144" s="382"/>
      <c r="Z144" s="382"/>
      <c r="AA144" s="1"/>
      <c r="AB144" s="3" t="str">
        <f>IF(AND(O144="",Y121=10),"→選択してください。","")</f>
        <v/>
      </c>
    </row>
    <row r="145" spans="1:68" s="2" customFormat="1" ht="15.75" customHeight="1" x14ac:dyDescent="0.45">
      <c r="A145" s="1"/>
      <c r="B145" s="1"/>
      <c r="C145" s="19" t="s">
        <v>44</v>
      </c>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68" s="2" customFormat="1" x14ac:dyDescent="0.45">
      <c r="A146" s="1"/>
      <c r="B146" s="1"/>
      <c r="C146" s="17" t="s">
        <v>43</v>
      </c>
      <c r="D146" s="18"/>
      <c r="E146" s="18"/>
      <c r="F146" s="18"/>
      <c r="G146" s="18"/>
      <c r="H146" s="18"/>
      <c r="I146" s="18"/>
      <c r="J146" s="18"/>
      <c r="K146" s="18"/>
      <c r="L146" s="18"/>
      <c r="M146" s="18"/>
      <c r="N146" s="18"/>
      <c r="O146" s="1"/>
      <c r="P146" s="1"/>
      <c r="Q146" s="1"/>
      <c r="R146" s="1"/>
      <c r="S146" s="1"/>
      <c r="T146" s="1"/>
      <c r="U146" s="1"/>
      <c r="V146" s="1"/>
      <c r="W146" s="1"/>
      <c r="X146" s="1"/>
      <c r="Y146" s="1"/>
      <c r="Z146" s="1"/>
      <c r="AA146" s="1"/>
    </row>
    <row r="147" spans="1:68" s="2" customFormat="1" ht="13.5" customHeight="1" x14ac:dyDescent="0.45">
      <c r="A147" s="1"/>
      <c r="B147" s="1"/>
      <c r="C147" s="17" t="s">
        <v>42</v>
      </c>
      <c r="D147" s="16"/>
      <c r="E147" s="16"/>
      <c r="F147" s="16"/>
      <c r="G147" s="16"/>
      <c r="H147" s="16"/>
      <c r="I147" s="16"/>
      <c r="J147" s="16"/>
      <c r="K147" s="16"/>
      <c r="L147" s="16"/>
      <c r="M147" s="16"/>
      <c r="N147" s="16"/>
      <c r="O147" s="1"/>
      <c r="P147" s="1"/>
      <c r="Q147" s="1"/>
      <c r="R147" s="1"/>
      <c r="S147" s="1"/>
      <c r="T147" s="1"/>
      <c r="U147" s="1"/>
      <c r="V147" s="1"/>
      <c r="W147" s="1"/>
      <c r="X147" s="1"/>
      <c r="Y147" s="1"/>
      <c r="Z147" s="1"/>
      <c r="AA147" s="1"/>
    </row>
    <row r="148" spans="1:68" s="2" customFormat="1"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8" t="s">
        <v>18</v>
      </c>
    </row>
    <row r="149" spans="1:68" s="2" customFormat="1" x14ac:dyDescent="0.45">
      <c r="A149" s="1" t="s">
        <v>441</v>
      </c>
      <c r="B149" s="1"/>
      <c r="C149" s="1"/>
      <c r="D149" s="1"/>
      <c r="E149" s="1"/>
      <c r="F149" s="1"/>
      <c r="G149" s="1"/>
      <c r="H149" s="1"/>
      <c r="I149" s="1"/>
      <c r="J149" s="1"/>
      <c r="K149" s="1"/>
      <c r="L149" s="1"/>
      <c r="M149" s="1"/>
      <c r="N149" s="1"/>
      <c r="O149" s="1"/>
      <c r="P149" s="1"/>
      <c r="Q149" s="1"/>
      <c r="R149" s="1"/>
      <c r="S149" s="1"/>
      <c r="T149" s="1"/>
      <c r="U149" s="1"/>
      <c r="V149" s="1"/>
      <c r="W149" s="1"/>
      <c r="X149" s="1"/>
      <c r="Y149" s="354" t="s">
        <v>24</v>
      </c>
      <c r="Z149" s="354"/>
      <c r="AA149" s="354"/>
    </row>
    <row r="150" spans="1:68" s="2" customFormat="1" ht="12.75" customHeight="1" x14ac:dyDescent="0.45">
      <c r="A150" s="1"/>
      <c r="B150" s="312" t="s">
        <v>442</v>
      </c>
      <c r="C150" s="312"/>
      <c r="D150" s="312"/>
      <c r="E150" s="312"/>
      <c r="F150" s="312"/>
      <c r="G150" s="312"/>
      <c r="H150" s="312"/>
      <c r="I150" s="312"/>
      <c r="J150" s="312"/>
      <c r="K150" s="312"/>
      <c r="L150" s="312"/>
      <c r="M150" s="312"/>
      <c r="N150" s="312"/>
      <c r="O150" s="312"/>
      <c r="P150" s="312"/>
      <c r="Q150" s="312"/>
      <c r="R150" s="312"/>
      <c r="S150" s="312"/>
      <c r="T150" s="312"/>
      <c r="U150" s="312"/>
      <c r="V150" s="312"/>
      <c r="W150" s="312"/>
      <c r="X150" s="387"/>
      <c r="Y150" s="354"/>
      <c r="Z150" s="354"/>
      <c r="AA150" s="354"/>
    </row>
    <row r="151" spans="1:68" s="2" customFormat="1" x14ac:dyDescent="0.45">
      <c r="A151" s="1"/>
      <c r="B151" s="312"/>
      <c r="C151" s="312"/>
      <c r="D151" s="312"/>
      <c r="E151" s="312"/>
      <c r="F151" s="312"/>
      <c r="G151" s="312"/>
      <c r="H151" s="312"/>
      <c r="I151" s="312"/>
      <c r="J151" s="312"/>
      <c r="K151" s="312"/>
      <c r="L151" s="312"/>
      <c r="M151" s="312"/>
      <c r="N151" s="312"/>
      <c r="O151" s="312"/>
      <c r="P151" s="312"/>
      <c r="Q151" s="312"/>
      <c r="R151" s="312"/>
      <c r="S151" s="312"/>
      <c r="T151" s="312"/>
      <c r="U151" s="312"/>
      <c r="V151" s="312"/>
      <c r="W151" s="312"/>
      <c r="X151" s="387"/>
      <c r="Y151" s="391" t="str">
        <f>IF(AND(Y92&lt;&gt;"",Y92&gt;=0.2,B155="✔",(AC158+AC166+AC175)&gt;=2),MIN(15,SUM(Y164,Y174,Y181)),"")</f>
        <v/>
      </c>
      <c r="Z151" s="392"/>
      <c r="AA151" s="10" t="s">
        <v>20</v>
      </c>
    </row>
    <row r="152" spans="1:68" s="2" customFormat="1" x14ac:dyDescent="0.45">
      <c r="A152" s="1"/>
      <c r="B152" s="15"/>
      <c r="C152" s="393" t="s">
        <v>443</v>
      </c>
      <c r="D152" s="393"/>
      <c r="E152" s="393"/>
      <c r="F152" s="393"/>
      <c r="G152" s="393"/>
      <c r="H152" s="393"/>
      <c r="I152" s="393"/>
      <c r="J152" s="393"/>
      <c r="K152" s="393"/>
      <c r="L152" s="393"/>
      <c r="M152" s="393"/>
      <c r="N152" s="393"/>
      <c r="O152" s="393"/>
      <c r="P152" s="393"/>
      <c r="Q152" s="393"/>
      <c r="R152" s="393"/>
      <c r="S152" s="393"/>
      <c r="T152" s="393"/>
      <c r="U152" s="393"/>
      <c r="V152" s="393"/>
      <c r="W152" s="393"/>
      <c r="X152" s="393"/>
      <c r="Y152" s="393"/>
      <c r="Z152" s="393"/>
      <c r="AA152" s="393"/>
      <c r="BG152" s="1"/>
      <c r="BH152" s="1"/>
      <c r="BI152" s="1"/>
      <c r="BJ152" s="1"/>
      <c r="BK152" s="1"/>
      <c r="BL152" s="1"/>
      <c r="BM152" s="1"/>
      <c r="BN152" s="1"/>
      <c r="BO152" s="1"/>
    </row>
    <row r="153" spans="1:68" s="2" customFormat="1" ht="13.5" customHeight="1" x14ac:dyDescent="0.45">
      <c r="A153" s="1"/>
      <c r="B153" s="15"/>
      <c r="C153" s="393"/>
      <c r="D153" s="393"/>
      <c r="E153" s="393"/>
      <c r="F153" s="393"/>
      <c r="G153" s="393"/>
      <c r="H153" s="393"/>
      <c r="I153" s="393"/>
      <c r="J153" s="393"/>
      <c r="K153" s="393"/>
      <c r="L153" s="393"/>
      <c r="M153" s="393"/>
      <c r="N153" s="393"/>
      <c r="O153" s="393"/>
      <c r="P153" s="393"/>
      <c r="Q153" s="393"/>
      <c r="R153" s="393"/>
      <c r="S153" s="393"/>
      <c r="T153" s="393"/>
      <c r="U153" s="393"/>
      <c r="V153" s="393"/>
      <c r="W153" s="393"/>
      <c r="X153" s="393"/>
      <c r="Y153" s="393"/>
      <c r="Z153" s="393"/>
      <c r="AA153" s="393"/>
      <c r="BP153" s="1"/>
    </row>
    <row r="154" spans="1:68" s="2" customFormat="1" ht="6.9"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68" s="2" customFormat="1" x14ac:dyDescent="0.45">
      <c r="A155" s="1"/>
      <c r="B155" s="11"/>
      <c r="C155" s="1" t="s">
        <v>41</v>
      </c>
      <c r="D155" s="1"/>
      <c r="E155" s="1"/>
      <c r="F155" s="1"/>
      <c r="G155" s="1"/>
      <c r="H155" s="1" t="s">
        <v>40</v>
      </c>
      <c r="I155" s="1"/>
      <c r="J155" s="1"/>
      <c r="K155" s="1"/>
      <c r="L155" s="1"/>
      <c r="M155" s="1"/>
      <c r="N155" s="1"/>
      <c r="O155" s="1"/>
      <c r="P155" s="1"/>
      <c r="Q155" s="1"/>
      <c r="R155" s="1"/>
      <c r="S155" s="1"/>
      <c r="T155" s="1"/>
      <c r="U155" s="1"/>
      <c r="V155" s="1"/>
      <c r="W155" s="1"/>
      <c r="X155" s="1"/>
      <c r="Y155" s="1"/>
      <c r="Z155" s="1"/>
      <c r="AA155" s="1"/>
      <c r="AD155" s="2" t="s">
        <v>39</v>
      </c>
    </row>
    <row r="156" spans="1:68" x14ac:dyDescent="0.45">
      <c r="BG156" s="2"/>
      <c r="BH156" s="2"/>
      <c r="BI156" s="2"/>
      <c r="BJ156" s="2"/>
      <c r="BK156" s="2"/>
      <c r="BL156" s="2"/>
      <c r="BM156" s="2"/>
      <c r="BN156" s="2"/>
      <c r="BO156" s="2"/>
      <c r="BP156" s="2"/>
    </row>
    <row r="157" spans="1:68" s="2" customFormat="1" ht="6.9" customHeight="1"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68" s="2" customFormat="1" ht="13.5" customHeight="1" x14ac:dyDescent="0.45">
      <c r="A158" s="1"/>
      <c r="B158" s="11"/>
      <c r="C158" s="1" t="s">
        <v>38</v>
      </c>
      <c r="D158" s="1"/>
      <c r="E158" s="1"/>
      <c r="F158" s="1"/>
      <c r="G158" s="1"/>
      <c r="H158" s="312" t="s">
        <v>37</v>
      </c>
      <c r="I158" s="312"/>
      <c r="J158" s="312"/>
      <c r="K158" s="312"/>
      <c r="L158" s="312"/>
      <c r="M158" s="312"/>
      <c r="N158" s="312"/>
      <c r="O158" s="312"/>
      <c r="P158" s="312"/>
      <c r="Q158" s="312"/>
      <c r="R158" s="312"/>
      <c r="S158" s="312"/>
      <c r="T158" s="312"/>
      <c r="U158" s="312"/>
      <c r="V158" s="312"/>
      <c r="W158" s="312"/>
      <c r="X158" s="312"/>
      <c r="Y158" s="312"/>
      <c r="Z158" s="312"/>
      <c r="AA158" s="312"/>
      <c r="AC158" s="2">
        <f>IF(AND(B158="✔",N163&gt;=7),1,0)</f>
        <v>0</v>
      </c>
    </row>
    <row r="159" spans="1:68" s="2" customFormat="1" x14ac:dyDescent="0.45">
      <c r="A159" s="1"/>
      <c r="B159" s="1"/>
      <c r="C159" s="1"/>
      <c r="D159" s="1"/>
      <c r="E159" s="1"/>
      <c r="F159" s="1"/>
      <c r="G159" s="1"/>
      <c r="H159" s="312"/>
      <c r="I159" s="312"/>
      <c r="J159" s="312"/>
      <c r="K159" s="312"/>
      <c r="L159" s="312"/>
      <c r="M159" s="312"/>
      <c r="N159" s="312"/>
      <c r="O159" s="312"/>
      <c r="P159" s="312"/>
      <c r="Q159" s="312"/>
      <c r="R159" s="312"/>
      <c r="S159" s="312"/>
      <c r="T159" s="312"/>
      <c r="U159" s="312"/>
      <c r="V159" s="312"/>
      <c r="W159" s="312"/>
      <c r="X159" s="312"/>
      <c r="Y159" s="312"/>
      <c r="Z159" s="312"/>
      <c r="AA159" s="312"/>
    </row>
    <row r="160" spans="1:68" s="2" customFormat="1" x14ac:dyDescent="0.45">
      <c r="A160" s="1"/>
      <c r="B160" s="1"/>
      <c r="C160" s="1"/>
      <c r="D160" s="1"/>
      <c r="E160" s="1"/>
      <c r="F160" s="1"/>
      <c r="G160" s="1"/>
      <c r="H160" s="312"/>
      <c r="I160" s="312"/>
      <c r="J160" s="312"/>
      <c r="K160" s="312"/>
      <c r="L160" s="312"/>
      <c r="M160" s="312"/>
      <c r="N160" s="312"/>
      <c r="O160" s="312"/>
      <c r="P160" s="312"/>
      <c r="Q160" s="312"/>
      <c r="R160" s="312"/>
      <c r="S160" s="312"/>
      <c r="T160" s="312"/>
      <c r="U160" s="312"/>
      <c r="V160" s="312"/>
      <c r="W160" s="312"/>
      <c r="X160" s="312"/>
      <c r="Y160" s="312"/>
      <c r="Z160" s="312"/>
      <c r="AA160" s="312"/>
    </row>
    <row r="161" spans="1:68" s="2" customFormat="1" x14ac:dyDescent="0.45">
      <c r="A161" s="1"/>
      <c r="B161" s="1"/>
      <c r="C161" s="1"/>
      <c r="D161" s="1"/>
      <c r="E161" s="1"/>
      <c r="F161" s="1"/>
      <c r="G161" s="1"/>
      <c r="H161" s="312"/>
      <c r="I161" s="312"/>
      <c r="J161" s="312"/>
      <c r="K161" s="312"/>
      <c r="L161" s="312"/>
      <c r="M161" s="312"/>
      <c r="N161" s="312"/>
      <c r="O161" s="312"/>
      <c r="P161" s="312"/>
      <c r="Q161" s="312"/>
      <c r="R161" s="312"/>
      <c r="S161" s="312"/>
      <c r="T161" s="312"/>
      <c r="U161" s="312"/>
      <c r="V161" s="312"/>
      <c r="W161" s="312"/>
      <c r="X161" s="312"/>
      <c r="Y161" s="312"/>
      <c r="Z161" s="312"/>
      <c r="AA161" s="312"/>
      <c r="BG161" s="1"/>
      <c r="BH161" s="1"/>
      <c r="BI161" s="1"/>
      <c r="BJ161" s="1"/>
      <c r="BK161" s="1"/>
      <c r="BL161" s="1"/>
      <c r="BM161" s="1"/>
      <c r="BN161" s="1"/>
      <c r="BO161" s="1"/>
    </row>
    <row r="162" spans="1:68" s="2" customFormat="1" x14ac:dyDescent="0.45">
      <c r="A162" s="1"/>
      <c r="B162" s="1"/>
      <c r="C162" s="1"/>
      <c r="D162" s="1"/>
      <c r="E162" s="1"/>
      <c r="F162" s="1"/>
      <c r="G162" s="1"/>
      <c r="H162" s="335" t="s">
        <v>36</v>
      </c>
      <c r="I162" s="335"/>
      <c r="J162" s="335"/>
      <c r="K162" s="335"/>
      <c r="L162" s="335"/>
      <c r="M162" s="335"/>
      <c r="N162" s="335"/>
      <c r="O162" s="335"/>
      <c r="P162" s="335"/>
      <c r="Q162" s="335"/>
      <c r="R162" s="335"/>
      <c r="S162" s="335"/>
      <c r="T162" s="335"/>
      <c r="U162" s="335"/>
      <c r="V162" s="335"/>
      <c r="W162" s="335"/>
      <c r="X162" s="394"/>
      <c r="Y162" s="354" t="s">
        <v>24</v>
      </c>
      <c r="Z162" s="354"/>
      <c r="AA162" s="354"/>
      <c r="BP162" s="1"/>
    </row>
    <row r="163" spans="1:68" s="2" customFormat="1" ht="13.5" customHeight="1" x14ac:dyDescent="0.45">
      <c r="A163" s="1"/>
      <c r="B163" s="1"/>
      <c r="C163" s="1"/>
      <c r="D163" s="1" t="s">
        <v>35</v>
      </c>
      <c r="E163" s="1"/>
      <c r="F163" s="1"/>
      <c r="G163" s="1"/>
      <c r="H163" s="1"/>
      <c r="I163" s="1"/>
      <c r="J163" s="1"/>
      <c r="K163" s="1"/>
      <c r="L163" s="1"/>
      <c r="M163" s="1"/>
      <c r="N163" s="322"/>
      <c r="O163" s="323"/>
      <c r="P163" s="324"/>
      <c r="Q163" s="1" t="s">
        <v>21</v>
      </c>
      <c r="R163" s="1"/>
      <c r="S163" s="1"/>
      <c r="T163" s="1"/>
      <c r="U163" s="1"/>
      <c r="V163" s="1"/>
      <c r="W163" s="1"/>
      <c r="X163" s="1"/>
      <c r="Y163" s="354"/>
      <c r="Z163" s="354"/>
      <c r="AA163" s="354"/>
      <c r="AB163" s="3" t="str">
        <f>IF(AND(B158="✔",N163=""),"←建築大工技能を活用した見付面積を入力してください。","")</f>
        <v/>
      </c>
    </row>
    <row r="164" spans="1:68" s="2" customFormat="1" x14ac:dyDescent="0.45">
      <c r="A164" s="1"/>
      <c r="B164" s="1"/>
      <c r="C164" s="13" t="s">
        <v>34</v>
      </c>
      <c r="D164" s="1"/>
      <c r="E164" s="1"/>
      <c r="F164" s="1"/>
      <c r="G164" s="1"/>
      <c r="H164" s="15"/>
      <c r="I164" s="15"/>
      <c r="J164" s="15"/>
      <c r="K164" s="15"/>
      <c r="L164" s="15"/>
      <c r="M164" s="15"/>
      <c r="N164" s="15"/>
      <c r="O164" s="15"/>
      <c r="P164" s="15"/>
      <c r="Q164" s="15"/>
      <c r="R164" s="15"/>
      <c r="S164" s="15"/>
      <c r="T164" s="15"/>
      <c r="U164" s="15"/>
      <c r="V164" s="15"/>
      <c r="W164" s="15"/>
      <c r="X164" s="15"/>
      <c r="Y164" s="391" t="str">
        <f>IF(AND(N163&gt;=7,B158="✔"),INT(N163)*1.1,"")</f>
        <v/>
      </c>
      <c r="Z164" s="392"/>
      <c r="AA164" s="10" t="s">
        <v>20</v>
      </c>
    </row>
    <row r="165" spans="1:68" x14ac:dyDescent="0.45">
      <c r="BG165" s="2"/>
      <c r="BH165" s="2"/>
      <c r="BI165" s="2"/>
      <c r="BJ165" s="2"/>
      <c r="BK165" s="2"/>
      <c r="BL165" s="2"/>
      <c r="BM165" s="2"/>
      <c r="BN165" s="2"/>
      <c r="BO165" s="2"/>
      <c r="BP165" s="2"/>
    </row>
    <row r="166" spans="1:68" s="2" customFormat="1" x14ac:dyDescent="0.45">
      <c r="A166" s="1"/>
      <c r="B166" s="11"/>
      <c r="C166" s="1" t="s">
        <v>33</v>
      </c>
      <c r="D166" s="1"/>
      <c r="E166" s="1"/>
      <c r="F166" s="1"/>
      <c r="G166" s="1"/>
      <c r="H166" s="14" t="s">
        <v>32</v>
      </c>
      <c r="I166" s="1"/>
      <c r="J166" s="1"/>
      <c r="K166" s="1"/>
      <c r="L166" s="1"/>
      <c r="M166" s="1"/>
      <c r="N166" s="1"/>
      <c r="O166" s="1"/>
      <c r="P166" s="1"/>
      <c r="Q166" s="1"/>
      <c r="R166" s="1"/>
      <c r="S166" s="1"/>
      <c r="T166" s="1"/>
      <c r="U166" s="1"/>
      <c r="V166" s="1"/>
      <c r="W166" s="1"/>
      <c r="X166" s="1"/>
      <c r="Y166" s="1"/>
      <c r="Z166" s="1"/>
      <c r="AA166" s="1"/>
      <c r="AC166" s="2">
        <f>IF(AND(B166="✔",N170&gt;=7),1,0)</f>
        <v>0</v>
      </c>
    </row>
    <row r="167" spans="1:68" s="2" customFormat="1" x14ac:dyDescent="0.45">
      <c r="A167" s="1"/>
      <c r="B167" s="1"/>
      <c r="C167" s="1"/>
      <c r="D167" s="1"/>
      <c r="E167" s="1"/>
      <c r="F167" s="1"/>
      <c r="G167" s="1"/>
      <c r="H167" s="14" t="s">
        <v>31</v>
      </c>
      <c r="I167" s="1"/>
      <c r="J167" s="1"/>
      <c r="K167" s="1"/>
      <c r="L167" s="1"/>
      <c r="M167" s="1"/>
      <c r="N167" s="1"/>
      <c r="O167" s="1"/>
      <c r="P167" s="1"/>
      <c r="Q167" s="1"/>
      <c r="R167" s="1"/>
      <c r="S167" s="1"/>
      <c r="T167" s="1"/>
      <c r="U167" s="1"/>
      <c r="V167" s="1"/>
      <c r="W167" s="1"/>
      <c r="X167" s="1"/>
      <c r="Y167" s="1"/>
      <c r="Z167" s="1"/>
      <c r="AA167" s="1"/>
    </row>
    <row r="168" spans="1:68" s="2" customFormat="1" x14ac:dyDescent="0.45">
      <c r="A168" s="1"/>
      <c r="B168" s="1"/>
      <c r="C168" s="1"/>
      <c r="D168" s="1"/>
      <c r="E168" s="1"/>
      <c r="F168" s="1"/>
      <c r="G168" s="1"/>
      <c r="H168" s="1" t="s">
        <v>30</v>
      </c>
      <c r="I168" s="1"/>
      <c r="J168" s="1"/>
      <c r="K168" s="1"/>
      <c r="L168" s="1"/>
      <c r="M168" s="1"/>
      <c r="N168" s="1"/>
      <c r="O168" s="1"/>
      <c r="P168" s="1"/>
      <c r="Q168" s="1"/>
      <c r="R168" s="1"/>
      <c r="S168" s="1"/>
      <c r="T168" s="1"/>
      <c r="U168" s="1"/>
      <c r="V168" s="1"/>
      <c r="W168" s="1"/>
      <c r="X168" s="1"/>
      <c r="Y168" s="1"/>
      <c r="Z168" s="1"/>
      <c r="AA168" s="1"/>
    </row>
    <row r="169" spans="1:68" s="2" customFormat="1" ht="13.5" customHeight="1" x14ac:dyDescent="0.45">
      <c r="A169" s="1"/>
      <c r="B169" s="1"/>
      <c r="C169" s="1"/>
      <c r="D169" s="1"/>
      <c r="E169" s="1"/>
      <c r="F169" s="1"/>
      <c r="G169" s="1"/>
      <c r="H169" s="335" t="s">
        <v>29</v>
      </c>
      <c r="I169" s="335"/>
      <c r="J169" s="335"/>
      <c r="K169" s="335"/>
      <c r="L169" s="335"/>
      <c r="M169" s="335"/>
      <c r="N169" s="335"/>
      <c r="O169" s="335"/>
      <c r="P169" s="335"/>
      <c r="Q169" s="335"/>
      <c r="R169" s="335"/>
      <c r="S169" s="335"/>
      <c r="T169" s="335"/>
      <c r="U169" s="335"/>
      <c r="V169" s="335"/>
      <c r="W169" s="335"/>
      <c r="X169" s="335"/>
      <c r="Y169" s="1"/>
      <c r="Z169" s="1"/>
      <c r="AA169" s="1"/>
      <c r="AB169" s="4" t="str">
        <f>IF(AND(N170&gt;0,R170=""),"←こて塗り仕上げの材料を選択してください。",IF(AND(R170="その他のこて塗り",V170=""),"←こて塗りの材料を記載してください。",""))</f>
        <v/>
      </c>
    </row>
    <row r="170" spans="1:68" s="2" customFormat="1" x14ac:dyDescent="0.45">
      <c r="A170" s="1"/>
      <c r="B170" s="1"/>
      <c r="C170" s="1"/>
      <c r="D170" s="1" t="s">
        <v>28</v>
      </c>
      <c r="E170" s="1"/>
      <c r="F170" s="1"/>
      <c r="G170" s="1"/>
      <c r="H170" s="1"/>
      <c r="I170" s="1"/>
      <c r="J170" s="1"/>
      <c r="K170" s="1"/>
      <c r="L170" s="1"/>
      <c r="M170" s="1"/>
      <c r="N170" s="322"/>
      <c r="O170" s="323"/>
      <c r="P170" s="324"/>
      <c r="Q170" s="1" t="s">
        <v>21</v>
      </c>
      <c r="R170" s="395"/>
      <c r="S170" s="395"/>
      <c r="T170" s="395"/>
      <c r="U170" s="395"/>
      <c r="V170" s="396"/>
      <c r="W170" s="337"/>
      <c r="X170" s="337"/>
      <c r="Y170" s="337"/>
      <c r="Z170" s="337"/>
      <c r="AA170" s="1"/>
      <c r="AB170" s="3" t="str">
        <f>IF(AND(B166="✔",N170=""),"←こて塗りの面積を入力してください。","")</f>
        <v/>
      </c>
      <c r="AC170" s="4"/>
    </row>
    <row r="171" spans="1:68" s="2" customFormat="1" x14ac:dyDescent="0.45">
      <c r="A171" s="1"/>
      <c r="B171" s="1"/>
      <c r="C171" s="13" t="s">
        <v>27</v>
      </c>
      <c r="D171" s="1"/>
      <c r="E171" s="1"/>
      <c r="F171" s="1"/>
      <c r="G171" s="1"/>
      <c r="H171" s="1"/>
      <c r="I171" s="1"/>
      <c r="J171" s="1"/>
      <c r="K171" s="1"/>
      <c r="L171" s="1"/>
      <c r="M171" s="1"/>
      <c r="N171" s="1"/>
      <c r="O171" s="1"/>
      <c r="P171" s="1"/>
      <c r="Q171" s="1"/>
      <c r="R171" s="1"/>
      <c r="S171" s="1"/>
      <c r="T171" s="1"/>
      <c r="U171" s="1"/>
      <c r="V171" s="1"/>
      <c r="W171" s="1"/>
      <c r="X171" s="1"/>
      <c r="Y171" s="12"/>
      <c r="Z171" s="12"/>
      <c r="AA171" s="1"/>
      <c r="AB171" s="3"/>
      <c r="AC171" s="4"/>
    </row>
    <row r="172" spans="1:68" s="2" customFormat="1"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354" t="s">
        <v>24</v>
      </c>
      <c r="Z172" s="354"/>
      <c r="AA172" s="354"/>
    </row>
    <row r="173" spans="1:68" s="2" customFormat="1"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354"/>
      <c r="Z173" s="354"/>
      <c r="AA173" s="354"/>
    </row>
    <row r="174" spans="1:68" s="2" customFormat="1"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391" t="str">
        <f>IF(AND(N170&gt;=7,B166="✔"),INT(N170)*1.3,"")</f>
        <v/>
      </c>
      <c r="Z174" s="392"/>
      <c r="AA174" s="10" t="s">
        <v>20</v>
      </c>
    </row>
    <row r="175" spans="1:68" s="2" customFormat="1" x14ac:dyDescent="0.45">
      <c r="A175" s="1"/>
      <c r="B175" s="11"/>
      <c r="C175" s="1" t="s">
        <v>26</v>
      </c>
      <c r="D175" s="1"/>
      <c r="E175" s="1"/>
      <c r="F175" s="1"/>
      <c r="G175" s="1"/>
      <c r="H175" s="312" t="s">
        <v>25</v>
      </c>
      <c r="I175" s="312"/>
      <c r="J175" s="312"/>
      <c r="K175" s="312"/>
      <c r="L175" s="312"/>
      <c r="M175" s="312"/>
      <c r="N175" s="312"/>
      <c r="O175" s="312"/>
      <c r="P175" s="312"/>
      <c r="Q175" s="312"/>
      <c r="R175" s="312"/>
      <c r="S175" s="312"/>
      <c r="T175" s="312"/>
      <c r="U175" s="312"/>
      <c r="V175" s="312"/>
      <c r="W175" s="312"/>
      <c r="X175" s="312"/>
      <c r="Y175" s="312"/>
      <c r="Z175" s="312"/>
      <c r="AA175" s="312"/>
      <c r="AC175" s="2">
        <f>IF(AND(B175="✔",N181&gt;=3),1,0)</f>
        <v>0</v>
      </c>
    </row>
    <row r="176" spans="1:68" s="2" customFormat="1" x14ac:dyDescent="0.45">
      <c r="A176" s="1"/>
      <c r="B176" s="1"/>
      <c r="C176" s="1"/>
      <c r="D176" s="1"/>
      <c r="E176" s="1"/>
      <c r="F176" s="1"/>
      <c r="G176" s="1"/>
      <c r="H176" s="312"/>
      <c r="I176" s="312"/>
      <c r="J176" s="312"/>
      <c r="K176" s="312"/>
      <c r="L176" s="312"/>
      <c r="M176" s="312"/>
      <c r="N176" s="312"/>
      <c r="O176" s="312"/>
      <c r="P176" s="312"/>
      <c r="Q176" s="312"/>
      <c r="R176" s="312"/>
      <c r="S176" s="312"/>
      <c r="T176" s="312"/>
      <c r="U176" s="312"/>
      <c r="V176" s="312"/>
      <c r="W176" s="312"/>
      <c r="X176" s="312"/>
      <c r="Y176" s="312"/>
      <c r="Z176" s="312"/>
      <c r="AA176" s="312"/>
    </row>
    <row r="177" spans="1:67" s="2" customFormat="1" x14ac:dyDescent="0.45">
      <c r="A177" s="1"/>
      <c r="B177" s="1"/>
      <c r="C177" s="1"/>
      <c r="D177" s="1"/>
      <c r="E177" s="1"/>
      <c r="F177" s="1"/>
      <c r="G177" s="1"/>
      <c r="H177" s="312"/>
      <c r="I177" s="312"/>
      <c r="J177" s="312"/>
      <c r="K177" s="312"/>
      <c r="L177" s="312"/>
      <c r="M177" s="312"/>
      <c r="N177" s="312"/>
      <c r="O177" s="312"/>
      <c r="P177" s="312"/>
      <c r="Q177" s="312"/>
      <c r="R177" s="312"/>
      <c r="S177" s="312"/>
      <c r="T177" s="312"/>
      <c r="U177" s="312"/>
      <c r="V177" s="312"/>
      <c r="W177" s="312"/>
      <c r="X177" s="312"/>
      <c r="Y177" s="312"/>
      <c r="Z177" s="312"/>
      <c r="AA177" s="312"/>
    </row>
    <row r="178" spans="1:67" s="2" customFormat="1" ht="13.5" customHeight="1" x14ac:dyDescent="0.45">
      <c r="A178" s="1"/>
      <c r="B178" s="1"/>
      <c r="C178" s="1"/>
      <c r="D178" s="1"/>
      <c r="E178" s="1"/>
      <c r="F178" s="1"/>
      <c r="G178" s="1"/>
      <c r="H178" s="397"/>
      <c r="I178" s="397"/>
      <c r="J178" s="397"/>
      <c r="K178" s="397"/>
      <c r="L178" s="397"/>
      <c r="M178" s="397"/>
      <c r="N178" s="397"/>
      <c r="O178" s="397"/>
      <c r="P178" s="312"/>
      <c r="Q178" s="312"/>
      <c r="R178" s="312"/>
      <c r="S178" s="312"/>
      <c r="T178" s="312"/>
      <c r="U178" s="312"/>
      <c r="V178" s="312"/>
      <c r="W178" s="312"/>
      <c r="X178" s="312"/>
      <c r="Y178" s="312"/>
      <c r="Z178" s="312"/>
      <c r="AA178" s="312"/>
    </row>
    <row r="179" spans="1:67" s="2" customFormat="1" x14ac:dyDescent="0.45">
      <c r="A179" s="1"/>
      <c r="B179" s="1"/>
      <c r="C179" s="1"/>
      <c r="D179" s="1"/>
      <c r="E179" s="1"/>
      <c r="F179" s="1"/>
      <c r="G179" s="1"/>
      <c r="H179" s="397"/>
      <c r="I179" s="397"/>
      <c r="J179" s="397"/>
      <c r="K179" s="397"/>
      <c r="L179" s="397"/>
      <c r="M179" s="397"/>
      <c r="N179" s="397"/>
      <c r="O179" s="397"/>
      <c r="P179" s="1"/>
      <c r="Q179" s="1"/>
      <c r="R179" s="1"/>
      <c r="S179" s="1"/>
      <c r="T179" s="1"/>
      <c r="U179" s="1"/>
      <c r="V179" s="1"/>
      <c r="W179" s="1"/>
      <c r="X179" s="1"/>
      <c r="Y179" s="354" t="s">
        <v>24</v>
      </c>
      <c r="Z179" s="354"/>
      <c r="AA179" s="354"/>
    </row>
    <row r="180" spans="1:67" s="2" customFormat="1" x14ac:dyDescent="0.45">
      <c r="A180" s="1"/>
      <c r="B180" s="1"/>
      <c r="C180" s="1"/>
      <c r="D180" s="1"/>
      <c r="E180" s="1"/>
      <c r="F180" s="1"/>
      <c r="G180" s="1"/>
      <c r="H180" s="335" t="s">
        <v>23</v>
      </c>
      <c r="I180" s="335"/>
      <c r="J180" s="335"/>
      <c r="K180" s="335"/>
      <c r="L180" s="335"/>
      <c r="M180" s="335"/>
      <c r="N180" s="335"/>
      <c r="O180" s="335"/>
      <c r="P180" s="335"/>
      <c r="Q180" s="335"/>
      <c r="R180" s="335"/>
      <c r="S180" s="335"/>
      <c r="T180" s="335"/>
      <c r="U180" s="335"/>
      <c r="V180" s="335"/>
      <c r="W180" s="335"/>
      <c r="X180" s="394"/>
      <c r="Y180" s="354"/>
      <c r="Z180" s="354"/>
      <c r="AA180" s="354"/>
    </row>
    <row r="181" spans="1:67" s="2" customFormat="1" x14ac:dyDescent="0.45">
      <c r="A181" s="1"/>
      <c r="B181" s="1"/>
      <c r="C181" s="1"/>
      <c r="D181" s="1"/>
      <c r="E181" s="1"/>
      <c r="F181" s="1"/>
      <c r="G181" s="1" t="s">
        <v>22</v>
      </c>
      <c r="H181" s="1"/>
      <c r="I181" s="1"/>
      <c r="J181" s="1"/>
      <c r="K181" s="1"/>
      <c r="L181" s="1"/>
      <c r="M181" s="1"/>
      <c r="N181" s="322"/>
      <c r="O181" s="323"/>
      <c r="P181" s="324"/>
      <c r="Q181" s="1" t="s">
        <v>21</v>
      </c>
      <c r="R181" s="1"/>
      <c r="S181" s="1"/>
      <c r="T181" s="1"/>
      <c r="U181" s="1"/>
      <c r="V181" s="1"/>
      <c r="W181" s="1"/>
      <c r="X181" s="1"/>
      <c r="Y181" s="391" t="str">
        <f>IF(AND(N181&gt;=3,B175="✔"),INT(N181)*1.9,"")</f>
        <v/>
      </c>
      <c r="Z181" s="392"/>
      <c r="AA181" s="10" t="s">
        <v>20</v>
      </c>
      <c r="AB181" s="3" t="str">
        <f>IF(AND(B175="✔",N181=""),"←木製建具の見付面積を入力してください。","")</f>
        <v/>
      </c>
    </row>
    <row r="182" spans="1:67" s="2" customFormat="1" x14ac:dyDescent="0.45">
      <c r="A182" s="1"/>
      <c r="B182" s="1"/>
      <c r="C182" s="393" t="s">
        <v>19</v>
      </c>
      <c r="D182" s="393"/>
      <c r="E182" s="393"/>
      <c r="F182" s="393"/>
      <c r="G182" s="393"/>
      <c r="H182" s="393"/>
      <c r="I182" s="393"/>
      <c r="J182" s="393"/>
      <c r="K182" s="393"/>
      <c r="L182" s="393"/>
      <c r="M182" s="393"/>
      <c r="N182" s="393"/>
      <c r="O182" s="393"/>
      <c r="P182" s="393"/>
      <c r="Q182" s="393"/>
      <c r="R182" s="393"/>
      <c r="S182" s="393"/>
      <c r="T182" s="393"/>
      <c r="U182" s="393"/>
      <c r="V182" s="393"/>
      <c r="W182" s="393"/>
      <c r="X182" s="393"/>
      <c r="Y182" s="393"/>
      <c r="Z182" s="393"/>
      <c r="AA182" s="393"/>
    </row>
    <row r="183" spans="1:67" s="2" customFormat="1" x14ac:dyDescent="0.45">
      <c r="A183" s="1"/>
      <c r="B183" s="1"/>
      <c r="C183" s="393"/>
      <c r="D183" s="393"/>
      <c r="E183" s="393"/>
      <c r="F183" s="393"/>
      <c r="G183" s="393"/>
      <c r="H183" s="393"/>
      <c r="I183" s="393"/>
      <c r="J183" s="393"/>
      <c r="K183" s="393"/>
      <c r="L183" s="393"/>
      <c r="M183" s="393"/>
      <c r="N183" s="393"/>
      <c r="O183" s="393"/>
      <c r="P183" s="393"/>
      <c r="Q183" s="393"/>
      <c r="R183" s="393"/>
      <c r="S183" s="393"/>
      <c r="T183" s="393"/>
      <c r="U183" s="393"/>
      <c r="V183" s="393"/>
      <c r="W183" s="393"/>
      <c r="X183" s="393"/>
      <c r="Y183" s="393"/>
      <c r="Z183" s="393"/>
      <c r="AA183" s="393"/>
    </row>
    <row r="184" spans="1:67" s="2" customFormat="1" x14ac:dyDescent="0.45">
      <c r="A184" s="1"/>
      <c r="B184" s="1"/>
      <c r="C184" s="393"/>
      <c r="D184" s="393"/>
      <c r="E184" s="393"/>
      <c r="F184" s="393"/>
      <c r="G184" s="393"/>
      <c r="H184" s="393"/>
      <c r="I184" s="393"/>
      <c r="J184" s="393"/>
      <c r="K184" s="393"/>
      <c r="L184" s="393"/>
      <c r="M184" s="393"/>
      <c r="N184" s="393"/>
      <c r="O184" s="393"/>
      <c r="P184" s="393"/>
      <c r="Q184" s="393"/>
      <c r="R184" s="393"/>
      <c r="S184" s="393"/>
      <c r="T184" s="393"/>
      <c r="U184" s="393"/>
      <c r="V184" s="393"/>
      <c r="W184" s="393"/>
      <c r="X184" s="393"/>
      <c r="Y184" s="393"/>
      <c r="Z184" s="393"/>
      <c r="AA184" s="393"/>
    </row>
    <row r="185" spans="1:67" s="2" customFormat="1" x14ac:dyDescent="0.45">
      <c r="A185" s="1"/>
      <c r="B185" s="1"/>
      <c r="C185" s="9"/>
      <c r="D185" s="9"/>
      <c r="E185" s="9"/>
      <c r="F185" s="9"/>
      <c r="G185" s="9"/>
      <c r="H185" s="9"/>
      <c r="I185" s="9"/>
      <c r="J185" s="9"/>
      <c r="K185" s="9"/>
      <c r="L185" s="9"/>
      <c r="M185" s="9"/>
      <c r="N185" s="9"/>
      <c r="O185" s="9"/>
      <c r="P185" s="9"/>
      <c r="Q185" s="9"/>
      <c r="R185" s="9"/>
      <c r="S185" s="9"/>
      <c r="T185" s="9"/>
      <c r="U185" s="9"/>
      <c r="V185" s="9"/>
      <c r="W185" s="9"/>
      <c r="X185" s="9"/>
      <c r="Y185" s="9"/>
      <c r="Z185" s="9"/>
      <c r="AA185" s="9"/>
    </row>
    <row r="186" spans="1:67" s="2" customFormat="1" x14ac:dyDescent="0.45">
      <c r="A186" s="1"/>
      <c r="B186" s="1"/>
      <c r="C186" s="9"/>
      <c r="D186" s="9"/>
      <c r="E186" s="9"/>
      <c r="F186" s="9"/>
      <c r="G186" s="9"/>
      <c r="H186" s="9"/>
      <c r="I186" s="9"/>
      <c r="J186" s="9"/>
      <c r="K186" s="9"/>
      <c r="L186" s="9"/>
      <c r="M186" s="9"/>
      <c r="N186" s="9"/>
      <c r="O186" s="9"/>
      <c r="P186" s="9"/>
      <c r="Q186" s="9"/>
      <c r="R186" s="9"/>
      <c r="S186" s="9"/>
      <c r="T186" s="9"/>
      <c r="U186" s="9"/>
      <c r="V186" s="9"/>
      <c r="W186" s="9"/>
      <c r="X186" s="9"/>
      <c r="Y186" s="9"/>
      <c r="Z186" s="9"/>
      <c r="AA186" s="8" t="s">
        <v>18</v>
      </c>
    </row>
    <row r="187" spans="1:67" s="2" customFormat="1" x14ac:dyDescent="0.45">
      <c r="A187" s="1"/>
      <c r="B187" s="1"/>
      <c r="C187" s="1"/>
      <c r="D187" s="1"/>
      <c r="E187" s="1"/>
      <c r="F187" s="1"/>
      <c r="G187" s="1"/>
      <c r="H187" s="1"/>
      <c r="I187" s="1"/>
      <c r="J187" s="1"/>
      <c r="K187" s="400">
        <f>T191+T192</f>
        <v>0</v>
      </c>
      <c r="L187" s="401"/>
      <c r="M187" s="402"/>
      <c r="N187" s="1"/>
      <c r="O187" s="1"/>
      <c r="P187" s="1"/>
      <c r="Q187" s="1"/>
      <c r="R187" s="1"/>
      <c r="S187" s="1"/>
      <c r="T187" s="1"/>
      <c r="U187" s="1"/>
      <c r="V187" s="1"/>
      <c r="W187" s="1"/>
      <c r="X187" s="1"/>
      <c r="Y187" s="1"/>
      <c r="Z187" s="1"/>
      <c r="AA187" s="1"/>
      <c r="AB187" s="7">
        <f>SUM(Y151,Y11,Y104,Y92,Y121)</f>
        <v>0</v>
      </c>
    </row>
    <row r="188" spans="1:67" s="2" customFormat="1" x14ac:dyDescent="0.45">
      <c r="A188" s="1"/>
      <c r="B188" s="1"/>
      <c r="C188" s="1" t="s">
        <v>17</v>
      </c>
      <c r="D188" s="1"/>
      <c r="E188" s="1"/>
      <c r="F188" s="1"/>
      <c r="G188" s="1"/>
      <c r="H188" s="1"/>
      <c r="I188" s="1"/>
      <c r="J188" s="1"/>
      <c r="K188" s="403"/>
      <c r="L188" s="404"/>
      <c r="M188" s="405"/>
      <c r="N188" s="1" t="s">
        <v>16</v>
      </c>
      <c r="O188" s="1"/>
      <c r="P188" s="1"/>
      <c r="Q188" s="1"/>
      <c r="R188" s="1"/>
      <c r="S188" s="1"/>
      <c r="T188" s="1"/>
      <c r="U188" s="1"/>
      <c r="V188" s="1"/>
      <c r="W188" s="1"/>
      <c r="X188" s="1"/>
      <c r="Y188" s="1"/>
      <c r="Z188" s="1"/>
      <c r="AA188" s="1"/>
      <c r="BG188" s="1"/>
      <c r="BH188" s="1"/>
      <c r="BI188" s="1"/>
      <c r="BJ188" s="1"/>
      <c r="BK188" s="1"/>
      <c r="BL188" s="1"/>
      <c r="BM188" s="1"/>
      <c r="BN188" s="1"/>
      <c r="BO188" s="1"/>
    </row>
    <row r="190" spans="1:67" x14ac:dyDescent="0.45">
      <c r="D190" s="1" t="s">
        <v>444</v>
      </c>
    </row>
    <row r="191" spans="1:67" ht="27" customHeight="1" x14ac:dyDescent="0.45">
      <c r="D191" s="407" t="s">
        <v>445</v>
      </c>
      <c r="E191" s="408"/>
      <c r="F191" s="408"/>
      <c r="G191" s="408"/>
      <c r="H191" s="408"/>
      <c r="I191" s="408"/>
      <c r="J191" s="408"/>
      <c r="K191" s="408"/>
      <c r="L191" s="408"/>
      <c r="M191" s="408"/>
      <c r="N191" s="408"/>
      <c r="O191" s="408"/>
      <c r="P191" s="408"/>
      <c r="Q191" s="408"/>
      <c r="R191" s="408"/>
      <c r="S191" s="409"/>
      <c r="T191" s="410">
        <f>IF(Y92="",0,MIN(SUM(Y92,Y104,Y121,Y151),50,ROUNDDOWN(S33/2,1)))</f>
        <v>0</v>
      </c>
      <c r="U191" s="411"/>
      <c r="V191" s="411"/>
      <c r="W191" s="296" t="s">
        <v>20</v>
      </c>
      <c r="X191" s="37"/>
    </row>
    <row r="192" spans="1:67" ht="28.5" customHeight="1" x14ac:dyDescent="0.45">
      <c r="D192" s="412" t="s">
        <v>446</v>
      </c>
      <c r="E192" s="413"/>
      <c r="F192" s="413"/>
      <c r="G192" s="413"/>
      <c r="H192" s="413"/>
      <c r="I192" s="413"/>
      <c r="J192" s="413"/>
      <c r="K192" s="413"/>
      <c r="L192" s="413"/>
      <c r="M192" s="413"/>
      <c r="N192" s="413"/>
      <c r="O192" s="413"/>
      <c r="P192" s="413"/>
      <c r="Q192" s="413"/>
      <c r="R192" s="413"/>
      <c r="S192" s="413"/>
      <c r="T192" s="410">
        <f>IF(B52="✔",IF(U52="",0,IF(U52="その他",0,【様式第６号の３】補助基準額等算定表!D66/10000)),0)</f>
        <v>0</v>
      </c>
      <c r="U192" s="411"/>
      <c r="V192" s="411"/>
      <c r="W192" s="296" t="s">
        <v>20</v>
      </c>
      <c r="X192" s="37"/>
      <c r="AB192" s="2" t="str">
        <f>IF(U5="","",IF(AND(B11="",B14=""),"",IF(AND(B11="✔",B14="✔"),"error",IF(B23="✔",IF(U5="T-G1",5,IF(U5="T-G2",15,IF(U5="T-G3",25,0))),(IF(U5="T-G1",10,IF(U5="T-G2",30,IF(U5="T-G3",50,0)))))))+IF(B19="",IF(B21="",IF(B23="",IF(B25="",(IF(U11="『ZEH』",50,IF(U11="Nearly ZEH（多雪地域に限る）",50,0))))))))</f>
        <v/>
      </c>
    </row>
    <row r="193" spans="1:68" ht="16.5" customHeight="1" x14ac:dyDescent="0.45">
      <c r="D193" s="32"/>
      <c r="E193" s="32"/>
      <c r="F193" s="32"/>
      <c r="G193" s="32"/>
      <c r="H193" s="32"/>
      <c r="I193" s="32"/>
      <c r="J193" s="32"/>
      <c r="K193" s="32"/>
      <c r="L193" s="32"/>
      <c r="M193" s="32"/>
      <c r="N193" s="32"/>
      <c r="O193" s="32"/>
      <c r="P193" s="32"/>
      <c r="Q193" s="32"/>
      <c r="R193" s="32"/>
      <c r="S193" s="32"/>
      <c r="T193" s="297"/>
      <c r="U193" s="297"/>
      <c r="V193" s="297"/>
    </row>
    <row r="194" spans="1:68" s="2" customFormat="1" x14ac:dyDescent="0.45">
      <c r="A194" s="6" t="s">
        <v>15</v>
      </c>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BG194" s="1"/>
      <c r="BH194" s="1"/>
      <c r="BI194" s="1"/>
      <c r="BJ194" s="1"/>
      <c r="BK194" s="1"/>
      <c r="BL194" s="1"/>
      <c r="BM194" s="1"/>
      <c r="BN194" s="1"/>
      <c r="BO194" s="1"/>
      <c r="BP194" s="1"/>
    </row>
    <row r="195" spans="1:68" s="2" customFormat="1" x14ac:dyDescent="0.45">
      <c r="A195" s="4" t="s">
        <v>14</v>
      </c>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BG195" s="1"/>
      <c r="BH195" s="1"/>
      <c r="BI195" s="1"/>
      <c r="BJ195" s="1"/>
      <c r="BK195" s="1"/>
      <c r="BL195" s="1"/>
      <c r="BM195" s="1"/>
      <c r="BN195" s="1"/>
      <c r="BO195" s="1"/>
      <c r="BP195" s="1"/>
    </row>
    <row r="196" spans="1:68" s="2" customFormat="1" ht="16.2" x14ac:dyDescent="0.45">
      <c r="A196" s="5" t="s">
        <v>13</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BG196" s="1"/>
      <c r="BH196" s="1"/>
      <c r="BI196" s="1"/>
      <c r="BJ196" s="1"/>
      <c r="BK196" s="1"/>
      <c r="BL196" s="1"/>
      <c r="BM196" s="1"/>
      <c r="BN196" s="1"/>
      <c r="BO196" s="1"/>
      <c r="BP196" s="1"/>
    </row>
    <row r="199" spans="1:68" x14ac:dyDescent="0.45">
      <c r="C199" s="1" t="s">
        <v>12</v>
      </c>
    </row>
    <row r="200" spans="1:68" x14ac:dyDescent="0.45">
      <c r="C200" s="4" t="s">
        <v>11</v>
      </c>
    </row>
    <row r="202" spans="1:68" x14ac:dyDescent="0.45">
      <c r="C202" s="1" t="s">
        <v>10</v>
      </c>
    </row>
    <row r="203" spans="1:68" x14ac:dyDescent="0.45">
      <c r="C203" s="1" t="s">
        <v>9</v>
      </c>
    </row>
    <row r="204" spans="1:68" x14ac:dyDescent="0.45">
      <c r="C204" s="1" t="str">
        <f>IF(AND(I47="",I47=""),"",IF(AND(I47="無",T47="無"),"改修部分の図面に改修内容を明示したもの","改修部分の図面に改修内容を明示したもの、配置図"))</f>
        <v/>
      </c>
    </row>
    <row r="205" spans="1:68" x14ac:dyDescent="0.45">
      <c r="C205" s="1" t="s">
        <v>355</v>
      </c>
    </row>
    <row r="206" spans="1:68" x14ac:dyDescent="0.45">
      <c r="C206" s="1" t="str">
        <f>IF(B52="✔",IF(U52="","",IF(U52="その他","","とっとり健康省エネ住宅改修支援事業補助基準額等算定表")),"")</f>
        <v/>
      </c>
    </row>
    <row r="207" spans="1:68" x14ac:dyDescent="0.45">
      <c r="C207" s="1" t="str">
        <f>IF(B52="✔",IF(U52="","",IF(U52="その他","","配置図及び平面図")),"")</f>
        <v/>
      </c>
    </row>
    <row r="208" spans="1:68" x14ac:dyDescent="0.45">
      <c r="C208" s="1" t="str">
        <f>IF(B52="✔",IF(U52="","",IF(U52="その他","","工事費内訳書")),"")</f>
        <v/>
      </c>
    </row>
    <row r="209" spans="1:68" x14ac:dyDescent="0.45">
      <c r="C209" s="1" t="str">
        <f>IF(B52="✔",IF(U52="","",IF(U52="その他","","工事着手前の写真")),"")</f>
        <v/>
      </c>
    </row>
    <row r="212" spans="1:68" x14ac:dyDescent="0.45">
      <c r="BG212" s="2"/>
      <c r="BH212" s="2"/>
      <c r="BI212" s="2"/>
      <c r="BJ212" s="2"/>
      <c r="BK212" s="2"/>
      <c r="BL212" s="2"/>
      <c r="BM212" s="2"/>
      <c r="BN212" s="2"/>
      <c r="BO212" s="2"/>
    </row>
    <row r="213" spans="1:68" x14ac:dyDescent="0.45">
      <c r="BG213" s="2"/>
      <c r="BH213" s="2"/>
      <c r="BI213" s="2"/>
      <c r="BJ213" s="2"/>
      <c r="BK213" s="2"/>
      <c r="BL213" s="2"/>
      <c r="BM213" s="2"/>
      <c r="BN213" s="2"/>
      <c r="BO213" s="2"/>
      <c r="BP213" s="2"/>
    </row>
    <row r="214" spans="1:68" x14ac:dyDescent="0.45">
      <c r="BP214" s="2"/>
    </row>
    <row r="215" spans="1:68" x14ac:dyDescent="0.45">
      <c r="BG215" s="2"/>
      <c r="BH215" s="2"/>
      <c r="BI215" s="2"/>
      <c r="BJ215" s="2"/>
      <c r="BK215" s="2"/>
      <c r="BL215" s="2"/>
      <c r="BM215" s="2"/>
      <c r="BN215" s="2"/>
      <c r="BO215" s="2"/>
    </row>
    <row r="216" spans="1:68" s="2" customFormat="1" x14ac:dyDescent="0.45">
      <c r="A216" s="312" t="s">
        <v>348</v>
      </c>
      <c r="B216" s="312"/>
      <c r="C216" s="312"/>
      <c r="D216" s="312"/>
      <c r="E216" s="312"/>
      <c r="F216" s="312"/>
      <c r="G216" s="312"/>
      <c r="H216" s="312"/>
      <c r="I216" s="312"/>
      <c r="J216" s="312"/>
      <c r="K216" s="312"/>
      <c r="L216" s="312"/>
      <c r="M216" s="312"/>
      <c r="N216" s="312"/>
      <c r="O216" s="312"/>
      <c r="P216" s="312"/>
      <c r="Q216" s="312"/>
      <c r="R216" s="312"/>
      <c r="S216" s="312"/>
      <c r="T216" s="312"/>
      <c r="U216" s="312"/>
      <c r="V216" s="312"/>
      <c r="W216" s="312"/>
      <c r="X216" s="312"/>
      <c r="Y216" s="312"/>
      <c r="Z216" s="312"/>
      <c r="AA216" s="312"/>
    </row>
    <row r="217" spans="1:68" s="2" customFormat="1" x14ac:dyDescent="0.45">
      <c r="A217" s="312"/>
      <c r="B217" s="312"/>
      <c r="C217" s="312"/>
      <c r="D217" s="312"/>
      <c r="E217" s="312"/>
      <c r="F217" s="312"/>
      <c r="G217" s="312"/>
      <c r="H217" s="312"/>
      <c r="I217" s="312"/>
      <c r="J217" s="312"/>
      <c r="K217" s="312"/>
      <c r="L217" s="312"/>
      <c r="M217" s="312"/>
      <c r="N217" s="312"/>
      <c r="O217" s="312"/>
      <c r="P217" s="312"/>
      <c r="Q217" s="312"/>
      <c r="R217" s="312"/>
      <c r="S217" s="312"/>
      <c r="T217" s="312"/>
      <c r="U217" s="312"/>
      <c r="V217" s="312"/>
      <c r="W217" s="312"/>
      <c r="X217" s="312"/>
      <c r="Y217" s="312"/>
      <c r="Z217" s="312"/>
      <c r="AA217" s="312"/>
    </row>
    <row r="218" spans="1:68" x14ac:dyDescent="0.45">
      <c r="BG218" s="2"/>
      <c r="BH218" s="2"/>
      <c r="BI218" s="2"/>
      <c r="BJ218" s="2"/>
      <c r="BK218" s="2"/>
      <c r="BL218" s="2"/>
      <c r="BM218" s="2"/>
      <c r="BN218" s="2"/>
      <c r="BO218" s="2"/>
      <c r="BP218" s="2"/>
    </row>
    <row r="219" spans="1:68" s="2" customFormat="1" ht="17.25" customHeight="1" x14ac:dyDescent="0.45">
      <c r="A219" s="1"/>
      <c r="B219" s="1"/>
      <c r="C219" s="1"/>
      <c r="D219" s="1"/>
      <c r="E219" s="1"/>
      <c r="F219" s="1"/>
      <c r="G219" s="1"/>
      <c r="H219" s="1"/>
      <c r="I219" s="1"/>
      <c r="J219" s="406" t="s">
        <v>8</v>
      </c>
      <c r="K219" s="382"/>
      <c r="L219" s="382"/>
      <c r="M219" s="382"/>
      <c r="N219" s="382"/>
      <c r="O219" s="382"/>
      <c r="P219" s="382"/>
      <c r="Q219" s="382"/>
      <c r="R219" s="382"/>
      <c r="S219" s="382"/>
      <c r="T219" s="382"/>
      <c r="U219" s="382"/>
      <c r="V219" s="382"/>
      <c r="W219" s="382"/>
      <c r="X219" s="382"/>
      <c r="Y219" s="382"/>
      <c r="Z219" s="382"/>
      <c r="AA219" s="382"/>
      <c r="AB219" s="3" t="str">
        <f>IF(P219="","←工事監理者氏名（工事監理者が不要な場合は工事施工者氏名を選択し、当該内容）を入力してください。","")</f>
        <v>←工事監理者氏名（工事監理者が不要な場合は工事施工者氏名を選択し、当該内容）を入力してください。</v>
      </c>
    </row>
    <row r="220" spans="1:68" s="2" customFormat="1" ht="17.25" customHeight="1" x14ac:dyDescent="0.45">
      <c r="A220" s="1"/>
      <c r="B220" s="1"/>
      <c r="C220" s="1"/>
      <c r="D220" s="1"/>
      <c r="E220" s="1"/>
      <c r="F220" s="1"/>
      <c r="G220" s="1"/>
      <c r="H220" s="1"/>
      <c r="I220" s="1"/>
      <c r="J220" s="311" t="s">
        <v>7</v>
      </c>
      <c r="K220" s="311"/>
      <c r="L220" s="311"/>
      <c r="M220" s="311"/>
      <c r="N220" s="311"/>
      <c r="O220" s="311"/>
      <c r="P220" s="382"/>
      <c r="Q220" s="382"/>
      <c r="R220" s="382"/>
      <c r="S220" s="382"/>
      <c r="T220" s="382"/>
      <c r="U220" s="382"/>
      <c r="V220" s="382"/>
      <c r="W220" s="382"/>
      <c r="X220" s="382"/>
      <c r="Y220" s="382"/>
      <c r="Z220" s="382"/>
      <c r="AA220" s="382"/>
      <c r="AB220" s="3" t="str">
        <f>IF(P220="","←建築士事務所名を入力してください。","")</f>
        <v>←建築士事務所名を入力してください。</v>
      </c>
    </row>
    <row r="221" spans="1:68" s="2" customFormat="1" ht="17.25" customHeight="1" x14ac:dyDescent="0.45">
      <c r="A221" s="1"/>
      <c r="B221" s="1"/>
      <c r="C221" s="1"/>
      <c r="D221" s="1"/>
      <c r="E221" s="1"/>
      <c r="F221" s="1"/>
      <c r="G221" s="1"/>
      <c r="H221" s="1"/>
      <c r="I221" s="1"/>
      <c r="J221" s="325" t="s">
        <v>6</v>
      </c>
      <c r="K221" s="326"/>
      <c r="L221" s="326"/>
      <c r="M221" s="326"/>
      <c r="N221" s="326"/>
      <c r="O221" s="327"/>
      <c r="P221" s="305" t="s">
        <v>5</v>
      </c>
      <c r="Q221" s="306"/>
      <c r="R221" s="306"/>
      <c r="S221" s="306"/>
      <c r="T221" s="323"/>
      <c r="U221" s="323"/>
      <c r="V221" s="323"/>
      <c r="W221" s="323"/>
      <c r="X221" s="323"/>
      <c r="Y221" s="323"/>
      <c r="Z221" s="323"/>
      <c r="AA221" s="324"/>
      <c r="AB221" s="3" t="str">
        <f>IF(T221="","←建築士事務所の登録区分を選択（１級、２級、木造）してください。","")</f>
        <v>←建築士事務所の登録区分を選択（１級、２級、木造）してください。</v>
      </c>
    </row>
    <row r="222" spans="1:68" s="2" customFormat="1" ht="17.25" customHeight="1" x14ac:dyDescent="0.45">
      <c r="A222" s="1"/>
      <c r="B222" s="1"/>
      <c r="C222" s="1"/>
      <c r="D222" s="1"/>
      <c r="E222" s="1"/>
      <c r="F222" s="1"/>
      <c r="G222" s="1"/>
      <c r="H222" s="1"/>
      <c r="I222" s="1"/>
      <c r="J222" s="396"/>
      <c r="K222" s="337"/>
      <c r="L222" s="337"/>
      <c r="M222" s="337"/>
      <c r="N222" s="337"/>
      <c r="O222" s="414"/>
      <c r="P222" s="305" t="s">
        <v>4</v>
      </c>
      <c r="Q222" s="306"/>
      <c r="R222" s="306"/>
      <c r="S222" s="306"/>
      <c r="T222" s="323"/>
      <c r="U222" s="323"/>
      <c r="V222" s="323"/>
      <c r="W222" s="323"/>
      <c r="X222" s="323"/>
      <c r="Y222" s="323"/>
      <c r="Z222" s="306" t="s">
        <v>3</v>
      </c>
      <c r="AA222" s="307"/>
      <c r="AB222" s="3" t="str">
        <f>IF(T222="","←建築士事務所の登録を受けた都道府県名入力してください。","")</f>
        <v>←建築士事務所の登録を受けた都道府県名入力してください。</v>
      </c>
      <c r="BG222" s="1"/>
      <c r="BH222" s="1"/>
      <c r="BI222" s="1"/>
      <c r="BJ222" s="1"/>
      <c r="BK222" s="1"/>
      <c r="BL222" s="1"/>
      <c r="BM222" s="1"/>
      <c r="BN222" s="1"/>
      <c r="BO222" s="1"/>
    </row>
    <row r="223" spans="1:68" s="2" customFormat="1" ht="17.25" customHeight="1" x14ac:dyDescent="0.45">
      <c r="A223" s="1"/>
      <c r="B223" s="1"/>
      <c r="C223" s="1"/>
      <c r="D223" s="1"/>
      <c r="E223" s="1"/>
      <c r="F223" s="1"/>
      <c r="G223" s="1"/>
      <c r="H223" s="1"/>
      <c r="I223" s="1"/>
      <c r="J223" s="330"/>
      <c r="K223" s="331"/>
      <c r="L223" s="331"/>
      <c r="M223" s="331"/>
      <c r="N223" s="331"/>
      <c r="O223" s="332"/>
      <c r="P223" s="305" t="s">
        <v>2</v>
      </c>
      <c r="Q223" s="306"/>
      <c r="R223" s="306"/>
      <c r="S223" s="306"/>
      <c r="T223" s="398"/>
      <c r="U223" s="398"/>
      <c r="V223" s="398"/>
      <c r="W223" s="398"/>
      <c r="X223" s="398"/>
      <c r="Y223" s="398"/>
      <c r="Z223" s="398"/>
      <c r="AA223" s="399"/>
      <c r="AB223" s="3" t="str">
        <f>IF(T223="","←建築士事務所の登録番号を入力してください。","")</f>
        <v>←建築士事務所の登録番号を入力してください。</v>
      </c>
      <c r="BG223" s="1"/>
      <c r="BH223" s="1"/>
      <c r="BI223" s="1"/>
      <c r="BJ223" s="1"/>
      <c r="BK223" s="1"/>
      <c r="BL223" s="1"/>
      <c r="BM223" s="1"/>
      <c r="BN223" s="1"/>
      <c r="BO223" s="1"/>
      <c r="BP223" s="1"/>
    </row>
    <row r="224" spans="1:68" s="2" customFormat="1" x14ac:dyDescent="0.45">
      <c r="A224" s="1" t="s">
        <v>1</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BG224" s="1"/>
      <c r="BH224" s="1"/>
      <c r="BI224" s="1"/>
      <c r="BJ224" s="1"/>
      <c r="BK224" s="1"/>
      <c r="BL224" s="1"/>
      <c r="BM224" s="1"/>
      <c r="BN224" s="1"/>
      <c r="BO224" s="1"/>
      <c r="BP224" s="1"/>
    </row>
    <row r="225" spans="1:68" s="2" customFormat="1" ht="26.25" customHeight="1" x14ac:dyDescent="0.45">
      <c r="A225" s="312" t="s">
        <v>0</v>
      </c>
      <c r="B225" s="312"/>
      <c r="C225" s="312"/>
      <c r="D225" s="312"/>
      <c r="E225" s="312"/>
      <c r="F225" s="312"/>
      <c r="G225" s="312"/>
      <c r="H225" s="312"/>
      <c r="I225" s="312"/>
      <c r="J225" s="312"/>
      <c r="K225" s="312"/>
      <c r="L225" s="312"/>
      <c r="M225" s="312"/>
      <c r="N225" s="312"/>
      <c r="O225" s="312"/>
      <c r="P225" s="312"/>
      <c r="Q225" s="312"/>
      <c r="R225" s="312"/>
      <c r="S225" s="312"/>
      <c r="T225" s="312"/>
      <c r="U225" s="312"/>
      <c r="V225" s="312"/>
      <c r="W225" s="312"/>
      <c r="X225" s="312"/>
      <c r="Y225" s="312"/>
      <c r="Z225" s="312"/>
      <c r="AA225" s="312"/>
      <c r="BG225" s="1"/>
      <c r="BH225" s="1"/>
      <c r="BI225" s="1"/>
      <c r="BJ225" s="1"/>
      <c r="BK225" s="1"/>
      <c r="BL225" s="1"/>
      <c r="BM225" s="1"/>
      <c r="BN225" s="1"/>
      <c r="BO225" s="1"/>
      <c r="BP225" s="1"/>
    </row>
  </sheetData>
  <sheetProtection algorithmName="SHA-512" hashValue="ffhFamhneUeddCupQ/ge7YUjPH5uOSbWLpVUgqpP888hyVw3TEu2fp3Sj+F886gFGLqpukiMAhSBLylQEtYVXg==" saltValue="j5oCS0bJW81amUpC+2BuzQ==" spinCount="100000" sheet="1" selectLockedCells="1"/>
  <mergeCells count="170">
    <mergeCell ref="P66:T66"/>
    <mergeCell ref="U66:Z66"/>
    <mergeCell ref="C98:AA99"/>
    <mergeCell ref="D67:O67"/>
    <mergeCell ref="P67:T67"/>
    <mergeCell ref="U67:Z67"/>
    <mergeCell ref="D68:O68"/>
    <mergeCell ref="P68:T68"/>
    <mergeCell ref="U68:Z68"/>
    <mergeCell ref="D69:O69"/>
    <mergeCell ref="P69:T69"/>
    <mergeCell ref="U69:Z69"/>
    <mergeCell ref="E90:P90"/>
    <mergeCell ref="Q90:T90"/>
    <mergeCell ref="U90:X90"/>
    <mergeCell ref="Y90:Z90"/>
    <mergeCell ref="E91:P91"/>
    <mergeCell ref="Q91:T91"/>
    <mergeCell ref="U91:X91"/>
    <mergeCell ref="Y91:Z91"/>
    <mergeCell ref="Y92:Z92"/>
    <mergeCell ref="B84:AA85"/>
    <mergeCell ref="D88:P88"/>
    <mergeCell ref="A225:AA225"/>
    <mergeCell ref="J220:O220"/>
    <mergeCell ref="P220:AA220"/>
    <mergeCell ref="J221:O223"/>
    <mergeCell ref="P221:S221"/>
    <mergeCell ref="T221:AA221"/>
    <mergeCell ref="P222:S222"/>
    <mergeCell ref="T222:Y222"/>
    <mergeCell ref="Z222:AA222"/>
    <mergeCell ref="P223:S223"/>
    <mergeCell ref="H179:O179"/>
    <mergeCell ref="Y179:AA180"/>
    <mergeCell ref="H180:X180"/>
    <mergeCell ref="T223:AA223"/>
    <mergeCell ref="N181:P181"/>
    <mergeCell ref="Y181:Z181"/>
    <mergeCell ref="C182:AA184"/>
    <mergeCell ref="K187:M188"/>
    <mergeCell ref="A216:AA217"/>
    <mergeCell ref="J219:O219"/>
    <mergeCell ref="P219:AA219"/>
    <mergeCell ref="D191:S191"/>
    <mergeCell ref="T191:V191"/>
    <mergeCell ref="D192:S192"/>
    <mergeCell ref="T192:V192"/>
    <mergeCell ref="H169:X169"/>
    <mergeCell ref="N170:P170"/>
    <mergeCell ref="R170:U170"/>
    <mergeCell ref="V170:Z170"/>
    <mergeCell ref="Y172:AA173"/>
    <mergeCell ref="Y174:Z174"/>
    <mergeCell ref="H175:AA177"/>
    <mergeCell ref="H178:O178"/>
    <mergeCell ref="P178:AA178"/>
    <mergeCell ref="Y149:AA150"/>
    <mergeCell ref="B150:X151"/>
    <mergeCell ref="Y151:Z151"/>
    <mergeCell ref="C152:AA153"/>
    <mergeCell ref="H158:AA161"/>
    <mergeCell ref="H162:X162"/>
    <mergeCell ref="Y162:AA163"/>
    <mergeCell ref="N163:P163"/>
    <mergeCell ref="Y164:Z164"/>
    <mergeCell ref="Y121:Z121"/>
    <mergeCell ref="B140:G141"/>
    <mergeCell ref="H140:N140"/>
    <mergeCell ref="O140:Z140"/>
    <mergeCell ref="H141:N141"/>
    <mergeCell ref="O141:Z141"/>
    <mergeCell ref="B142:G144"/>
    <mergeCell ref="H142:N142"/>
    <mergeCell ref="O142:Z142"/>
    <mergeCell ref="H143:N143"/>
    <mergeCell ref="O143:Z143"/>
    <mergeCell ref="H144:N144"/>
    <mergeCell ref="O144:Z144"/>
    <mergeCell ref="Y102:AA103"/>
    <mergeCell ref="Y104:Z104"/>
    <mergeCell ref="Q107:AA108"/>
    <mergeCell ref="C110:N111"/>
    <mergeCell ref="Q110:AA111"/>
    <mergeCell ref="C113:N113"/>
    <mergeCell ref="Q113:AA113"/>
    <mergeCell ref="C116:Z117"/>
    <mergeCell ref="Y119:AA120"/>
    <mergeCell ref="Q88:T88"/>
    <mergeCell ref="U88:X89"/>
    <mergeCell ref="Y88:AA89"/>
    <mergeCell ref="D89:P89"/>
    <mergeCell ref="Q89:T89"/>
    <mergeCell ref="D47:H47"/>
    <mergeCell ref="I47:N47"/>
    <mergeCell ref="O47:S47"/>
    <mergeCell ref="T47:Y47"/>
    <mergeCell ref="D48:N48"/>
    <mergeCell ref="O48:Q48"/>
    <mergeCell ref="S48:T48"/>
    <mergeCell ref="V48:W48"/>
    <mergeCell ref="D64:O64"/>
    <mergeCell ref="P64:T64"/>
    <mergeCell ref="U64:Z64"/>
    <mergeCell ref="D65:O65"/>
    <mergeCell ref="P65:T65"/>
    <mergeCell ref="U65:Z65"/>
    <mergeCell ref="U52:Z52"/>
    <mergeCell ref="C76:AA77"/>
    <mergeCell ref="D80:H80"/>
    <mergeCell ref="I80:X80"/>
    <mergeCell ref="D66:O66"/>
    <mergeCell ref="D39:H39"/>
    <mergeCell ref="I39:X39"/>
    <mergeCell ref="D41:H41"/>
    <mergeCell ref="I41:X41"/>
    <mergeCell ref="D42:H42"/>
    <mergeCell ref="I42:X42"/>
    <mergeCell ref="D43:H43"/>
    <mergeCell ref="I43:X43"/>
    <mergeCell ref="D46:H46"/>
    <mergeCell ref="I46:N46"/>
    <mergeCell ref="O46:S46"/>
    <mergeCell ref="T46:Y46"/>
    <mergeCell ref="D36:H36"/>
    <mergeCell ref="I36:X36"/>
    <mergeCell ref="D37:H38"/>
    <mergeCell ref="I37:M37"/>
    <mergeCell ref="N37:Q37"/>
    <mergeCell ref="S37:T37"/>
    <mergeCell ref="V37:W37"/>
    <mergeCell ref="I38:M38"/>
    <mergeCell ref="N38:Q38"/>
    <mergeCell ref="S38:T38"/>
    <mergeCell ref="V38:W38"/>
    <mergeCell ref="M31:X31"/>
    <mergeCell ref="I32:X32"/>
    <mergeCell ref="D33:H33"/>
    <mergeCell ref="I33:N33"/>
    <mergeCell ref="O33:R33"/>
    <mergeCell ref="S33:V33"/>
    <mergeCell ref="W33:X33"/>
    <mergeCell ref="D34:H35"/>
    <mergeCell ref="I34:K35"/>
    <mergeCell ref="L34:L35"/>
    <mergeCell ref="M34:Q35"/>
    <mergeCell ref="R34:U34"/>
    <mergeCell ref="V34:W34"/>
    <mergeCell ref="R35:U35"/>
    <mergeCell ref="V35:W35"/>
    <mergeCell ref="D31:H32"/>
    <mergeCell ref="I31:L31"/>
    <mergeCell ref="A3:AA3"/>
    <mergeCell ref="A4:AA4"/>
    <mergeCell ref="A6:AA7"/>
    <mergeCell ref="C9:F9"/>
    <mergeCell ref="H9:I9"/>
    <mergeCell ref="K9:L9"/>
    <mergeCell ref="O11:Z11"/>
    <mergeCell ref="N12:Z12"/>
    <mergeCell ref="N13:Z13"/>
    <mergeCell ref="N15:Z15"/>
    <mergeCell ref="J13:M13"/>
    <mergeCell ref="J14:M14"/>
    <mergeCell ref="J15:M15"/>
    <mergeCell ref="N14:Z14"/>
    <mergeCell ref="A18:AA18"/>
    <mergeCell ref="C22:AA23"/>
    <mergeCell ref="C24:AA24"/>
    <mergeCell ref="C26:AA27"/>
  </mergeCells>
  <phoneticPr fontId="2"/>
  <conditionalFormatting sqref="B22">
    <cfRule type="containsBlanks" dxfId="65" priority="72">
      <formula>LEN(TRIM(B22))=0</formula>
    </cfRule>
  </conditionalFormatting>
  <conditionalFormatting sqref="B26">
    <cfRule type="containsBlanks" dxfId="64" priority="43">
      <formula>LEN(TRIM(B26))=0</formula>
    </cfRule>
  </conditionalFormatting>
  <conditionalFormatting sqref="B40">
    <cfRule type="containsBlanks" dxfId="63" priority="42">
      <formula>LEN(TRIM(B40))=0</formula>
    </cfRule>
  </conditionalFormatting>
  <conditionalFormatting sqref="B45">
    <cfRule type="containsBlanks" dxfId="62" priority="41">
      <formula>LEN(TRIM(B45))=0</formula>
    </cfRule>
  </conditionalFormatting>
  <conditionalFormatting sqref="B50">
    <cfRule type="containsBlanks" dxfId="61" priority="40">
      <formula>LEN(TRIM(B50))=0</formula>
    </cfRule>
  </conditionalFormatting>
  <conditionalFormatting sqref="B52">
    <cfRule type="containsBlanks" dxfId="60" priority="5">
      <formula>LEN(TRIM(B52))=0</formula>
    </cfRule>
  </conditionalFormatting>
  <conditionalFormatting sqref="B56">
    <cfRule type="containsBlanks" dxfId="59" priority="16">
      <formula>LEN(TRIM(B56))=0</formula>
    </cfRule>
  </conditionalFormatting>
  <conditionalFormatting sqref="B58">
    <cfRule type="containsBlanks" dxfId="58" priority="7">
      <formula>LEN(TRIM(B58))=0</formula>
    </cfRule>
  </conditionalFormatting>
  <conditionalFormatting sqref="B62">
    <cfRule type="containsBlanks" dxfId="57" priority="2">
      <formula>LEN(TRIM(B62))=0</formula>
    </cfRule>
  </conditionalFormatting>
  <conditionalFormatting sqref="B71">
    <cfRule type="containsBlanks" dxfId="56" priority="39">
      <formula>LEN(TRIM(B71))=0</formula>
    </cfRule>
  </conditionalFormatting>
  <conditionalFormatting sqref="B73">
    <cfRule type="containsBlanks" dxfId="55" priority="18">
      <formula>LEN(TRIM(B73))=0</formula>
    </cfRule>
  </conditionalFormatting>
  <conditionalFormatting sqref="B76">
    <cfRule type="containsBlanks" dxfId="54" priority="38">
      <formula>LEN(TRIM(B76))=0</formula>
    </cfRule>
  </conditionalFormatting>
  <conditionalFormatting sqref="B79">
    <cfRule type="containsBlanks" dxfId="53" priority="37">
      <formula>LEN(TRIM(B79))=0</formula>
    </cfRule>
  </conditionalFormatting>
  <conditionalFormatting sqref="B83">
    <cfRule type="containsBlanks" dxfId="52" priority="36">
      <formula>LEN(TRIM(B83))=0</formula>
    </cfRule>
  </conditionalFormatting>
  <conditionalFormatting sqref="B106">
    <cfRule type="containsBlanks" dxfId="51" priority="35">
      <formula>LEN(TRIM(B106))=0</formula>
    </cfRule>
  </conditionalFormatting>
  <conditionalFormatting sqref="B126">
    <cfRule type="containsBlanks" dxfId="50" priority="33">
      <formula>LEN(TRIM(B126))=0</formula>
    </cfRule>
  </conditionalFormatting>
  <conditionalFormatting sqref="B128">
    <cfRule type="containsBlanks" dxfId="49" priority="32">
      <formula>LEN(TRIM(B128))=0</formula>
    </cfRule>
  </conditionalFormatting>
  <conditionalFormatting sqref="B131">
    <cfRule type="containsBlanks" dxfId="48" priority="31">
      <formula>LEN(TRIM(B131))=0</formula>
    </cfRule>
  </conditionalFormatting>
  <conditionalFormatting sqref="B134">
    <cfRule type="containsBlanks" dxfId="47" priority="30">
      <formula>LEN(TRIM(B134))=0</formula>
    </cfRule>
  </conditionalFormatting>
  <conditionalFormatting sqref="B136">
    <cfRule type="containsBlanks" dxfId="46" priority="29">
      <formula>LEN(TRIM(B136))=0</formula>
    </cfRule>
  </conditionalFormatting>
  <conditionalFormatting sqref="B138">
    <cfRule type="containsBlanks" dxfId="45" priority="28">
      <formula>LEN(TRIM(B138))=0</formula>
    </cfRule>
  </conditionalFormatting>
  <conditionalFormatting sqref="B155">
    <cfRule type="containsBlanks" dxfId="44" priority="27">
      <formula>LEN(TRIM(B155))=0</formula>
    </cfRule>
  </conditionalFormatting>
  <conditionalFormatting sqref="B158">
    <cfRule type="containsBlanks" dxfId="43" priority="26">
      <formula>LEN(TRIM(B158))=0</formula>
    </cfRule>
  </conditionalFormatting>
  <conditionalFormatting sqref="B166">
    <cfRule type="containsBlanks" dxfId="42" priority="24">
      <formula>LEN(TRIM(B166))=0</formula>
    </cfRule>
  </conditionalFormatting>
  <conditionalFormatting sqref="B175">
    <cfRule type="containsBlanks" dxfId="41" priority="25">
      <formula>LEN(TRIM(B175))=0</formula>
    </cfRule>
  </conditionalFormatting>
  <conditionalFormatting sqref="C60">
    <cfRule type="containsBlanks" dxfId="40" priority="6">
      <formula>LEN(TRIM(C60))=0</formula>
    </cfRule>
  </conditionalFormatting>
  <conditionalFormatting sqref="C9:F9">
    <cfRule type="containsBlanks" dxfId="39" priority="59">
      <formula>LEN(TRIM(C9))=0</formula>
    </cfRule>
  </conditionalFormatting>
  <conditionalFormatting sqref="D65:Z69">
    <cfRule type="cellIs" dxfId="38" priority="8" operator="equal">
      <formula>""</formula>
    </cfRule>
  </conditionalFormatting>
  <conditionalFormatting sqref="H9">
    <cfRule type="containsBlanks" dxfId="37" priority="61">
      <formula>LEN(TRIM(H9))=0</formula>
    </cfRule>
  </conditionalFormatting>
  <conditionalFormatting sqref="I46:N47">
    <cfRule type="containsBlanks" dxfId="36" priority="23">
      <formula>LEN(TRIM(I46))=0</formula>
    </cfRule>
  </conditionalFormatting>
  <conditionalFormatting sqref="I39:X39">
    <cfRule type="expression" dxfId="35" priority="49">
      <formula>AND($I$36="その他",$I$39="")</formula>
    </cfRule>
  </conditionalFormatting>
  <conditionalFormatting sqref="I62:X70">
    <cfRule type="expression" dxfId="34" priority="1">
      <formula>AND($I$36="その他",#REF!="")</formula>
    </cfRule>
  </conditionalFormatting>
  <conditionalFormatting sqref="I72:X72">
    <cfRule type="expression" dxfId="33" priority="14">
      <formula>AND($I$36="その他",#REF!="")</formula>
    </cfRule>
  </conditionalFormatting>
  <conditionalFormatting sqref="I80:X80">
    <cfRule type="containsBlanks" dxfId="32" priority="45">
      <formula>LEN(TRIM(I80))=0</formula>
    </cfRule>
  </conditionalFormatting>
  <conditionalFormatting sqref="K9">
    <cfRule type="containsBlanks" dxfId="31" priority="60">
      <formula>LEN(TRIM(K9))=0</formula>
    </cfRule>
  </conditionalFormatting>
  <conditionalFormatting sqref="N163:P163">
    <cfRule type="containsBlanks" dxfId="30" priority="73">
      <formula>LEN(TRIM(N163))=0</formula>
    </cfRule>
  </conditionalFormatting>
  <conditionalFormatting sqref="N170:P170">
    <cfRule type="containsBlanks" dxfId="29" priority="74">
      <formula>LEN(TRIM(N170))=0</formula>
    </cfRule>
  </conditionalFormatting>
  <conditionalFormatting sqref="N181:P181">
    <cfRule type="containsBlanks" dxfId="28" priority="75">
      <formula>LEN(TRIM(N181))=0</formula>
    </cfRule>
  </conditionalFormatting>
  <conditionalFormatting sqref="N37:Q38">
    <cfRule type="containsBlanks" dxfId="27" priority="54">
      <formula>LEN(TRIM(N37))=0</formula>
    </cfRule>
  </conditionalFormatting>
  <conditionalFormatting sqref="O48">
    <cfRule type="containsBlanks" dxfId="26" priority="21">
      <formula>LEN(TRIM(O48))=0</formula>
    </cfRule>
  </conditionalFormatting>
  <conditionalFormatting sqref="O11:Z11 N12:Z13 N14 N15:Z15 M31 I32:I34 I36:X36 I41:X43">
    <cfRule type="containsBlanks" dxfId="25" priority="69">
      <formula>LEN(TRIM(I11))=0</formula>
    </cfRule>
  </conditionalFormatting>
  <conditionalFormatting sqref="O140:Z144">
    <cfRule type="containsBlanks" dxfId="24" priority="17">
      <formula>LEN(TRIM(O140))=0</formula>
    </cfRule>
  </conditionalFormatting>
  <conditionalFormatting sqref="P64:P69">
    <cfRule type="expression" dxfId="23" priority="9">
      <formula>AND($I$36="その他",#REF!="")</formula>
    </cfRule>
  </conditionalFormatting>
  <conditionalFormatting sqref="P106">
    <cfRule type="containsBlanks" dxfId="22" priority="34">
      <formula>LEN(TRIM(P106))=0</formula>
    </cfRule>
  </conditionalFormatting>
  <conditionalFormatting sqref="P219:AA220">
    <cfRule type="containsBlanks" dxfId="21" priority="52">
      <formula>LEN(TRIM(P219))=0</formula>
    </cfRule>
  </conditionalFormatting>
  <conditionalFormatting sqref="Q89:Q91">
    <cfRule type="containsBlanks" dxfId="20" priority="44">
      <formula>LEN(TRIM(Q89))=0</formula>
    </cfRule>
  </conditionalFormatting>
  <conditionalFormatting sqref="R170:U170">
    <cfRule type="containsBlanks" dxfId="19" priority="48">
      <formula>LEN(TRIM(R170))=0</formula>
    </cfRule>
  </conditionalFormatting>
  <conditionalFormatting sqref="S33">
    <cfRule type="containsBlanks" dxfId="18" priority="62">
      <formula>LEN(TRIM(S33))=0</formula>
    </cfRule>
  </conditionalFormatting>
  <conditionalFormatting sqref="S37:S38 V37:V38">
    <cfRule type="containsBlanks" dxfId="17" priority="55">
      <formula>LEN(TRIM(S37))=0</formula>
    </cfRule>
  </conditionalFormatting>
  <conditionalFormatting sqref="S48 V48">
    <cfRule type="containsBlanks" dxfId="16" priority="20">
      <formula>LEN(TRIM(S48))=0</formula>
    </cfRule>
  </conditionalFormatting>
  <conditionalFormatting sqref="T46:Y47">
    <cfRule type="containsBlanks" dxfId="15" priority="22">
      <formula>LEN(TRIM(T46))=0</formula>
    </cfRule>
  </conditionalFormatting>
  <conditionalFormatting sqref="T221:AA221 T222 Z222 T223:AA223">
    <cfRule type="containsBlanks" dxfId="14" priority="51">
      <formula>LEN(TRIM(T221))=0</formula>
    </cfRule>
  </conditionalFormatting>
  <conditionalFormatting sqref="U64:U69">
    <cfRule type="expression" dxfId="13" priority="10">
      <formula>AND($I$36="その他",#REF!="")</formula>
    </cfRule>
  </conditionalFormatting>
  <conditionalFormatting sqref="U88:X91">
    <cfRule type="expression" dxfId="12" priority="63">
      <formula>$I$33="併用住宅"</formula>
    </cfRule>
  </conditionalFormatting>
  <conditionalFormatting sqref="U90:X90">
    <cfRule type="expression" dxfId="11" priority="65">
      <formula>AND($I$33="併用住宅",$U$90="")</formula>
    </cfRule>
  </conditionalFormatting>
  <conditionalFormatting sqref="U91:X91">
    <cfRule type="expression" dxfId="10" priority="71">
      <formula>AND($I$33="併用住宅",#REF!="")</formula>
    </cfRule>
  </conditionalFormatting>
  <conditionalFormatting sqref="U52:Z52">
    <cfRule type="cellIs" dxfId="9" priority="4" operator="equal">
      <formula>""</formula>
    </cfRule>
  </conditionalFormatting>
  <conditionalFormatting sqref="V34:W34">
    <cfRule type="expression" dxfId="8" priority="68">
      <formula>AND($I$33="併用住宅",$V$34="")</formula>
    </cfRule>
  </conditionalFormatting>
  <conditionalFormatting sqref="V35:W35">
    <cfRule type="expression" dxfId="7" priority="67">
      <formula>AND($I$33="併用住宅",$V$35="")</formula>
    </cfRule>
  </conditionalFormatting>
  <conditionalFormatting sqref="V170:Z170">
    <cfRule type="expression" dxfId="6" priority="47">
      <formula>"$R$158=""その他のこて塗り"""</formula>
    </cfRule>
    <cfRule type="expression" dxfId="5" priority="46">
      <formula>AND($R$170="その他のこて塗り",$V$170="")</formula>
    </cfRule>
  </conditionalFormatting>
  <dataValidations count="18">
    <dataValidation type="list" allowBlank="1" showInputMessage="1" showErrorMessage="1" sqref="T47:Y47 I47:N47" xr:uid="{00000000-0002-0000-0000-000000000000}">
      <formula1>"有,無,"</formula1>
    </dataValidation>
    <dataValidation type="list" allowBlank="1" showInputMessage="1" showErrorMessage="1" sqref="I36:X36"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9:T89"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90:T90" xr:uid="{00000000-0002-0000-0000-000003000000}">
      <formula1>0.3</formula1>
      <formula2>Q89</formula2>
    </dataValidation>
    <dataValidation type="list" allowBlank="1" showInputMessage="1" showErrorMessage="1" sqref="M31:X31"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8:T48" xr:uid="{00000000-0002-0000-0000-000005000000}">
      <formula1>"1,2,3,4,5,6,7,8,9,10,11,12,"</formula1>
    </dataValidation>
    <dataValidation type="list" allowBlank="1" showInputMessage="1" showErrorMessage="1" sqref="K9:L9" xr:uid="{00000000-0002-0000-0000-000006000000}">
      <formula1>"1,2,3,4,5,6,7,8,9,10,11,12,13,14,15,16,17,18,19,20,21,22,23,24,25,26,27,28,29,30,31, "</formula1>
    </dataValidation>
    <dataValidation type="list" allowBlank="1" showInputMessage="1" showErrorMessage="1" sqref="C9:F9 N37:Q38 O48" xr:uid="{00000000-0002-0000-0000-000007000000}">
      <formula1>"2,3,4,5,6,7,8,9,10,"</formula1>
    </dataValidation>
    <dataValidation type="list" allowBlank="1" showInputMessage="1" showErrorMessage="1" sqref="I46:N46 T46:Y46" xr:uid="{00000000-0002-0000-0000-000008000000}">
      <formula1>"要,不要,"</formula1>
    </dataValidation>
    <dataValidation type="list" allowBlank="1" showInputMessage="1" showErrorMessage="1" sqref="V37:W38 V48:W48" xr:uid="{00000000-0002-0000-0000-000009000000}">
      <formula1>"1,2,3,4,5,6,7,8,9,10,11,12,13,14,15,16,17,18,19,20,21,22,23,24,25,26,27,28,29,30,31,"</formula1>
    </dataValidation>
    <dataValidation type="list" allowBlank="1" showInputMessage="1" showErrorMessage="1" sqref="I33:N33" xr:uid="{00000000-0002-0000-0000-00000A000000}">
      <formula1>"増築,改築,修繕,模様替"</formula1>
    </dataValidation>
    <dataValidation type="list" allowBlank="1" showInputMessage="1" showErrorMessage="1" sqref="B22 B138 B26 B40 B45 B56 B71 B79 B83 B106 P106 B126 B128 B131 B134 B136 B175 B155 B158 B166 B76 B73 B50 B58 C60 B52 B62" xr:uid="{00000000-0002-0000-0000-00000B000000}">
      <formula1>"✔,"</formula1>
    </dataValidation>
    <dataValidation type="list" allowBlank="1" showInputMessage="1" showErrorMessage="1" sqref="T221:AA221"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19:O219" xr:uid="{00000000-0002-0000-0000-00000E000000}">
      <formula1>"工事監理者氏名,工事施工者氏名"</formula1>
    </dataValidation>
    <dataValidation type="whole" allowBlank="1" showInputMessage="1" showErrorMessage="1" error="1以上が補助対象です。整数値以外入力不可です。" sqref="Q91:T91" xr:uid="{00000000-0002-0000-0000-00000F000000}">
      <formula1>1</formula1>
      <formula2>10000</formula2>
    </dataValidation>
    <dataValidation type="list" allowBlank="1" showInputMessage="1" showErrorMessage="1" sqref="O144:Z144" xr:uid="{00000000-0002-0000-0000-000010000000}">
      <formula1>"申請者と同じ,申請者と異なる"</formula1>
    </dataValidation>
    <dataValidation type="list" allowBlank="1" showInputMessage="1" showErrorMessage="1" sqref="U52:Z52" xr:uid="{51425D08-7BF2-4E9A-A344-A4AFA3EF608A}">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scale="92" orientation="portrait" horizontalDpi="1200" verticalDpi="1200" r:id="rId1"/>
  <rowBreaks count="3" manualBreakCount="3">
    <brk id="74" max="27" man="1"/>
    <brk id="139" max="27"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0228-B7F1-45BC-8CA1-A2ACC531544B}">
  <dimension ref="A1:Y67"/>
  <sheetViews>
    <sheetView view="pageBreakPreview" zoomScaleNormal="100" zoomScaleSheetLayoutView="100" workbookViewId="0">
      <selection activeCell="F17" sqref="F17"/>
    </sheetView>
  </sheetViews>
  <sheetFormatPr defaultColWidth="9" defaultRowHeight="12" x14ac:dyDescent="0.45"/>
  <cols>
    <col min="1" max="1" width="3.59765625" style="282" customWidth="1"/>
    <col min="2" max="2" width="9.69921875" style="282" customWidth="1"/>
    <col min="3" max="3" width="15.3984375" style="282" customWidth="1"/>
    <col min="4" max="4" width="12.69921875" style="282" customWidth="1"/>
    <col min="5" max="5" width="3.3984375" style="282" bestFit="1" customWidth="1"/>
    <col min="6" max="6" width="11.19921875" style="282" customWidth="1"/>
    <col min="7" max="7" width="15" style="282" bestFit="1" customWidth="1"/>
    <col min="8" max="8" width="10.59765625" style="282" bestFit="1" customWidth="1"/>
    <col min="9" max="9" width="3.3984375" style="282" bestFit="1" customWidth="1"/>
    <col min="10" max="11" width="13" style="282" bestFit="1" customWidth="1"/>
    <col min="12" max="16" width="9" style="282"/>
    <col min="17" max="17" width="12.3984375" style="282" bestFit="1" customWidth="1"/>
    <col min="18" max="16384" width="9" style="282"/>
  </cols>
  <sheetData>
    <row r="1" spans="1:25" x14ac:dyDescent="0.45">
      <c r="A1" s="289" t="s">
        <v>379</v>
      </c>
      <c r="B1" s="280"/>
      <c r="C1" s="280"/>
      <c r="D1" s="280"/>
      <c r="E1" s="280"/>
      <c r="F1" s="280"/>
      <c r="G1" s="280"/>
      <c r="H1" s="280"/>
      <c r="I1" s="280"/>
      <c r="J1" s="280"/>
      <c r="K1" s="281" t="s">
        <v>380</v>
      </c>
      <c r="L1" s="280"/>
      <c r="M1" s="280"/>
      <c r="N1" s="280"/>
      <c r="O1" s="280"/>
      <c r="P1" s="280"/>
      <c r="Q1" s="280"/>
      <c r="R1" s="280"/>
      <c r="S1" s="280"/>
      <c r="T1" s="280"/>
      <c r="U1" s="280"/>
      <c r="V1" s="280"/>
      <c r="W1" s="280"/>
      <c r="X1" s="280"/>
      <c r="Y1" s="280"/>
    </row>
    <row r="2" spans="1:25" x14ac:dyDescent="0.45">
      <c r="A2" s="280"/>
      <c r="B2" s="280"/>
      <c r="C2" s="280"/>
      <c r="D2" s="280"/>
      <c r="E2" s="280"/>
      <c r="F2" s="280"/>
      <c r="G2" s="280"/>
      <c r="H2" s="280"/>
      <c r="I2" s="280"/>
      <c r="J2" s="280"/>
      <c r="K2" s="280"/>
      <c r="L2" s="280"/>
      <c r="M2" s="280"/>
      <c r="N2" s="280"/>
      <c r="O2" s="280"/>
      <c r="P2" s="280"/>
      <c r="Q2" s="280"/>
      <c r="R2" s="280"/>
      <c r="S2" s="280"/>
      <c r="T2" s="280"/>
      <c r="U2" s="280"/>
      <c r="V2" s="280"/>
      <c r="W2" s="280"/>
      <c r="X2" s="280"/>
      <c r="Y2" s="280"/>
    </row>
    <row r="3" spans="1:25" ht="18.75" customHeight="1" x14ac:dyDescent="0.45">
      <c r="A3" s="447" t="s">
        <v>474</v>
      </c>
      <c r="B3" s="447"/>
      <c r="C3" s="447"/>
      <c r="D3" s="447"/>
      <c r="E3" s="447"/>
      <c r="F3" s="447"/>
      <c r="G3" s="447"/>
      <c r="H3" s="447"/>
      <c r="I3" s="447"/>
      <c r="J3" s="447"/>
      <c r="K3" s="447"/>
      <c r="L3" s="280"/>
      <c r="M3" s="280"/>
      <c r="N3" s="280"/>
      <c r="O3" s="280"/>
      <c r="P3" s="280"/>
      <c r="Q3" s="280"/>
      <c r="R3" s="280"/>
      <c r="S3" s="280"/>
      <c r="T3" s="280"/>
      <c r="U3" s="280"/>
      <c r="V3" s="280"/>
      <c r="W3" s="280"/>
      <c r="X3" s="280"/>
      <c r="Y3" s="280"/>
    </row>
    <row r="4" spans="1:25" x14ac:dyDescent="0.45">
      <c r="A4" s="280"/>
      <c r="B4" s="280"/>
      <c r="C4" s="280"/>
      <c r="D4" s="280"/>
      <c r="E4" s="280"/>
      <c r="F4" s="280"/>
      <c r="G4" s="280"/>
      <c r="H4" s="280"/>
      <c r="I4" s="280"/>
      <c r="J4" s="280"/>
      <c r="K4" s="280"/>
      <c r="L4" s="280"/>
      <c r="M4" s="280"/>
      <c r="N4" s="280"/>
      <c r="O4" s="280"/>
      <c r="P4" s="280"/>
      <c r="Q4" s="280"/>
      <c r="R4" s="280"/>
      <c r="S4" s="280"/>
      <c r="T4" s="280"/>
      <c r="U4" s="280"/>
      <c r="V4" s="280"/>
      <c r="W4" s="280"/>
      <c r="X4" s="280"/>
      <c r="Y4" s="280"/>
    </row>
    <row r="5" spans="1:25" x14ac:dyDescent="0.45">
      <c r="A5" s="280"/>
      <c r="B5" s="280" t="s">
        <v>381</v>
      </c>
      <c r="C5" s="283" t="s">
        <v>438</v>
      </c>
      <c r="D5" s="280"/>
      <c r="E5" s="280"/>
      <c r="F5" s="280"/>
      <c r="G5" s="280"/>
      <c r="H5" s="280"/>
      <c r="I5" s="280"/>
      <c r="J5" s="280"/>
      <c r="K5" s="280"/>
      <c r="L5" s="280"/>
      <c r="M5" s="280"/>
      <c r="N5" s="280"/>
      <c r="O5" s="280"/>
      <c r="P5" s="280"/>
      <c r="Q5" s="280" t="s">
        <v>382</v>
      </c>
      <c r="R5" s="280" t="s">
        <v>383</v>
      </c>
      <c r="S5" s="280"/>
      <c r="T5" s="280"/>
      <c r="U5" s="280"/>
      <c r="V5" s="280"/>
      <c r="W5" s="280"/>
      <c r="X5" s="280"/>
      <c r="Y5" s="280"/>
    </row>
    <row r="6" spans="1:25" x14ac:dyDescent="0.45">
      <c r="A6" s="280"/>
      <c r="B6" s="280" t="s">
        <v>384</v>
      </c>
      <c r="C6" s="283" t="str">
        <f>IF('【様式第２号の２】事業計画書兼チェックシート（改修）'!U52="","",'【様式第２号の２】事業計画書兼チェックシート（改修）'!U52)</f>
        <v/>
      </c>
      <c r="D6" s="280"/>
      <c r="E6" s="280"/>
      <c r="F6" s="280"/>
      <c r="G6" s="280"/>
      <c r="H6" s="280" t="s">
        <v>385</v>
      </c>
      <c r="I6" s="432" t="str">
        <f>IF('【様式第２号の２】事業計画書兼チェックシート（改修）'!N13="","",'【様式第２号の２】事業計画書兼チェックシート（改修）'!N13)</f>
        <v/>
      </c>
      <c r="J6" s="432"/>
      <c r="K6" s="432"/>
      <c r="L6" s="280"/>
      <c r="M6" s="280"/>
      <c r="N6" s="280"/>
      <c r="O6" s="280"/>
      <c r="P6" s="280"/>
      <c r="Q6" s="280" t="s">
        <v>386</v>
      </c>
      <c r="R6" s="280" t="s">
        <v>387</v>
      </c>
      <c r="S6" s="280"/>
      <c r="T6" s="280"/>
      <c r="U6" s="280"/>
      <c r="V6" s="280"/>
      <c r="W6" s="280"/>
      <c r="X6" s="280"/>
      <c r="Y6" s="280"/>
    </row>
    <row r="7" spans="1:25" x14ac:dyDescent="0.45">
      <c r="A7" s="280"/>
      <c r="B7" s="280"/>
      <c r="C7" s="280"/>
      <c r="D7" s="280"/>
      <c r="E7" s="280"/>
      <c r="F7" s="280"/>
      <c r="G7" s="280"/>
      <c r="H7" s="280"/>
      <c r="I7" s="280"/>
      <c r="J7" s="280"/>
      <c r="K7" s="280"/>
      <c r="L7" s="280"/>
      <c r="M7" s="280"/>
      <c r="N7" s="280"/>
      <c r="O7" s="280"/>
      <c r="P7" s="280"/>
      <c r="Q7" s="280"/>
      <c r="R7" s="280" t="s">
        <v>388</v>
      </c>
      <c r="S7" s="280"/>
      <c r="T7" s="280"/>
      <c r="U7" s="280"/>
      <c r="V7" s="280"/>
      <c r="W7" s="280"/>
      <c r="X7" s="280"/>
      <c r="Y7" s="280"/>
    </row>
    <row r="8" spans="1:25" x14ac:dyDescent="0.45">
      <c r="A8" s="280"/>
      <c r="B8" s="280" t="s">
        <v>389</v>
      </c>
      <c r="C8" s="280"/>
      <c r="D8" s="280"/>
      <c r="E8" s="280"/>
      <c r="F8" s="280"/>
      <c r="G8" s="280"/>
      <c r="H8" s="280"/>
      <c r="I8" s="280"/>
      <c r="J8" s="280"/>
      <c r="K8" s="280"/>
      <c r="L8" s="280"/>
      <c r="M8" s="280"/>
      <c r="N8" s="280"/>
      <c r="O8" s="280"/>
      <c r="P8" s="280"/>
      <c r="Q8" s="280"/>
      <c r="R8" s="280"/>
      <c r="S8" s="280"/>
      <c r="T8" s="280"/>
      <c r="U8" s="280"/>
      <c r="V8" s="280"/>
      <c r="W8" s="280"/>
      <c r="X8" s="280"/>
      <c r="Y8" s="280"/>
    </row>
    <row r="9" spans="1:25" x14ac:dyDescent="0.45">
      <c r="A9" s="280"/>
      <c r="B9" s="280" t="s">
        <v>390</v>
      </c>
      <c r="C9" s="280"/>
      <c r="D9" s="280"/>
      <c r="E9" s="280"/>
      <c r="F9" s="280"/>
      <c r="G9" s="280"/>
      <c r="H9" s="280"/>
      <c r="I9" s="280"/>
      <c r="J9" s="280"/>
      <c r="K9" s="280"/>
      <c r="L9" s="280"/>
      <c r="M9" s="280"/>
      <c r="N9" s="280"/>
      <c r="O9" s="280"/>
      <c r="P9" s="280"/>
      <c r="Q9" s="280"/>
      <c r="R9" s="280"/>
      <c r="S9" s="280"/>
      <c r="T9" s="280"/>
      <c r="U9" s="280"/>
      <c r="V9" s="280"/>
      <c r="W9" s="280"/>
      <c r="X9" s="280"/>
      <c r="Y9" s="280"/>
    </row>
    <row r="10" spans="1:25" ht="24" customHeight="1" x14ac:dyDescent="0.45">
      <c r="A10" s="280"/>
      <c r="B10" s="284" t="s">
        <v>391</v>
      </c>
      <c r="C10" s="284" t="s">
        <v>392</v>
      </c>
      <c r="D10" s="432" t="s">
        <v>393</v>
      </c>
      <c r="E10" s="432"/>
      <c r="F10" s="284" t="s">
        <v>394</v>
      </c>
      <c r="G10" s="284" t="s">
        <v>395</v>
      </c>
      <c r="H10" s="284" t="s">
        <v>396</v>
      </c>
      <c r="I10" s="284" t="s">
        <v>397</v>
      </c>
      <c r="J10" s="284" t="s">
        <v>398</v>
      </c>
      <c r="K10" s="284" t="s">
        <v>399</v>
      </c>
      <c r="L10" s="280"/>
      <c r="M10" s="280"/>
      <c r="N10" s="280"/>
      <c r="O10" s="280"/>
      <c r="P10" s="280"/>
      <c r="Q10" s="280"/>
      <c r="R10" s="280"/>
      <c r="S10" s="280"/>
      <c r="T10" s="280"/>
      <c r="U10" s="280"/>
      <c r="V10" s="280"/>
      <c r="W10" s="280"/>
      <c r="X10" s="280"/>
      <c r="Y10" s="280"/>
    </row>
    <row r="11" spans="1:25" x14ac:dyDescent="0.45">
      <c r="A11" s="280"/>
      <c r="B11" s="432" t="s">
        <v>400</v>
      </c>
      <c r="C11" s="285"/>
      <c r="D11" s="446"/>
      <c r="E11" s="446"/>
      <c r="F11" s="285"/>
      <c r="G11" s="286" t="e">
        <f>F11/1000/D11</f>
        <v>#DIV/0!</v>
      </c>
      <c r="H11" s="285"/>
      <c r="I11" s="284" t="s">
        <v>397</v>
      </c>
      <c r="J11" s="287" t="b">
        <f>IF(C11=$Q$12,IF(G11&lt;1,"NG",IF(G11&lt;2,3000,IF(G11&lt;3,4000,IF(G11&lt;4,5000,IF(G11&lt;5,7000,8000))))),IF(C11=$Q$13,IF(G11&lt;1,"NG",IF(G11&lt;3,2000,IF(G11&lt;4,3000,IF(G11&lt;5,4000,5000)))),IF(C11=$Q$14,IF(G11&lt;1,"NG",IF(G11&lt;2,1000,IF(G11&lt;3,2000,IF(G11&lt;4,3000,IF(G11&lt;5,4000,5000))))))))</f>
        <v>0</v>
      </c>
      <c r="K11" s="288">
        <f>H11*J11</f>
        <v>0</v>
      </c>
      <c r="L11" s="280"/>
      <c r="M11" s="280"/>
      <c r="N11" s="280"/>
      <c r="O11" s="280"/>
      <c r="P11" s="280"/>
      <c r="Q11" s="280"/>
      <c r="R11" s="280" t="s">
        <v>401</v>
      </c>
      <c r="S11" s="280" t="s">
        <v>402</v>
      </c>
      <c r="T11" s="280" t="s">
        <v>403</v>
      </c>
      <c r="U11" s="280" t="s">
        <v>404</v>
      </c>
      <c r="V11" s="280" t="s">
        <v>405</v>
      </c>
      <c r="W11" s="280"/>
      <c r="X11" s="280"/>
      <c r="Y11" s="280"/>
    </row>
    <row r="12" spans="1:25" x14ac:dyDescent="0.45">
      <c r="A12" s="280"/>
      <c r="B12" s="432"/>
      <c r="C12" s="285"/>
      <c r="D12" s="446"/>
      <c r="E12" s="446"/>
      <c r="F12" s="285"/>
      <c r="G12" s="286" t="e">
        <f t="shared" ref="G12:G19" si="0">F12/1000/D12</f>
        <v>#DIV/0!</v>
      </c>
      <c r="H12" s="285"/>
      <c r="I12" s="284" t="s">
        <v>397</v>
      </c>
      <c r="J12" s="287" t="b">
        <f t="shared" ref="J12:J19" si="1">IF(C12=$Q$12,IF(G12&lt;1,"NG",IF(G12&lt;2,3000,IF(G12&lt;3,4000,IF(G12&lt;4,5000,IF(G12&lt;5,7000,8000))))),IF(C12=$Q$13,IF(G12&lt;1,"NG",IF(G12&lt;3,2000,IF(G12&lt;4,3000,IF(G12&lt;5,4000,5000)))),IF(C12=$Q$14,IF(G12&lt;1,"NG",IF(G12&lt;2,1000,IF(G12&lt;3,2000,IF(G12&lt;4,3000,IF(G12&lt;5,4000,5000))))))))</f>
        <v>0</v>
      </c>
      <c r="K12" s="288">
        <f t="shared" ref="K12:K19" si="2">H12*J12</f>
        <v>0</v>
      </c>
      <c r="L12" s="280"/>
      <c r="M12" s="280"/>
      <c r="N12" s="280"/>
      <c r="O12" s="280"/>
      <c r="P12" s="280"/>
      <c r="Q12" s="280" t="s">
        <v>406</v>
      </c>
      <c r="R12" s="280">
        <v>3000</v>
      </c>
      <c r="S12" s="280">
        <v>4000</v>
      </c>
      <c r="T12" s="280">
        <v>5000</v>
      </c>
      <c r="U12" s="280">
        <v>7000</v>
      </c>
      <c r="V12" s="280">
        <v>8000</v>
      </c>
      <c r="W12" s="280"/>
      <c r="X12" s="280"/>
      <c r="Y12" s="280"/>
    </row>
    <row r="13" spans="1:25" x14ac:dyDescent="0.45">
      <c r="A13" s="280"/>
      <c r="B13" s="432"/>
      <c r="C13" s="285"/>
      <c r="D13" s="446"/>
      <c r="E13" s="446"/>
      <c r="F13" s="285"/>
      <c r="G13" s="286" t="e">
        <f t="shared" si="0"/>
        <v>#DIV/0!</v>
      </c>
      <c r="H13" s="285"/>
      <c r="I13" s="284" t="s">
        <v>397</v>
      </c>
      <c r="J13" s="287" t="b">
        <f t="shared" si="1"/>
        <v>0</v>
      </c>
      <c r="K13" s="288">
        <f t="shared" si="2"/>
        <v>0</v>
      </c>
      <c r="L13" s="280"/>
      <c r="M13" s="280"/>
      <c r="N13" s="280"/>
      <c r="O13" s="280"/>
      <c r="P13" s="280"/>
      <c r="Q13" s="280" t="s">
        <v>407</v>
      </c>
      <c r="R13" s="280">
        <v>2000</v>
      </c>
      <c r="S13" s="280">
        <v>2000</v>
      </c>
      <c r="T13" s="280">
        <v>3000</v>
      </c>
      <c r="U13" s="280">
        <v>4000</v>
      </c>
      <c r="V13" s="280">
        <v>5000</v>
      </c>
      <c r="W13" s="280"/>
      <c r="X13" s="280"/>
      <c r="Y13" s="280"/>
    </row>
    <row r="14" spans="1:25" x14ac:dyDescent="0.45">
      <c r="A14" s="280"/>
      <c r="B14" s="432" t="s">
        <v>408</v>
      </c>
      <c r="C14" s="285"/>
      <c r="D14" s="446"/>
      <c r="E14" s="446"/>
      <c r="F14" s="285"/>
      <c r="G14" s="286" t="e">
        <f t="shared" si="0"/>
        <v>#DIV/0!</v>
      </c>
      <c r="H14" s="285"/>
      <c r="I14" s="284" t="s">
        <v>397</v>
      </c>
      <c r="J14" s="287" t="b">
        <f t="shared" si="1"/>
        <v>0</v>
      </c>
      <c r="K14" s="288">
        <f t="shared" si="2"/>
        <v>0</v>
      </c>
      <c r="L14" s="280"/>
      <c r="M14" s="280"/>
      <c r="N14" s="280"/>
      <c r="O14" s="280"/>
      <c r="P14" s="280"/>
      <c r="Q14" s="280" t="s">
        <v>409</v>
      </c>
      <c r="R14" s="280">
        <v>1000</v>
      </c>
      <c r="S14" s="280">
        <v>2000</v>
      </c>
      <c r="T14" s="280">
        <v>3000</v>
      </c>
      <c r="U14" s="280">
        <v>4000</v>
      </c>
      <c r="V14" s="280">
        <v>5000</v>
      </c>
      <c r="W14" s="280"/>
      <c r="X14" s="280"/>
      <c r="Y14" s="280"/>
    </row>
    <row r="15" spans="1:25" x14ac:dyDescent="0.45">
      <c r="A15" s="280"/>
      <c r="B15" s="432"/>
      <c r="C15" s="285"/>
      <c r="D15" s="446"/>
      <c r="E15" s="446"/>
      <c r="F15" s="285"/>
      <c r="G15" s="286" t="e">
        <f t="shared" si="0"/>
        <v>#DIV/0!</v>
      </c>
      <c r="H15" s="285"/>
      <c r="I15" s="284" t="s">
        <v>397</v>
      </c>
      <c r="J15" s="287" t="b">
        <f t="shared" si="1"/>
        <v>0</v>
      </c>
      <c r="K15" s="288">
        <f t="shared" si="2"/>
        <v>0</v>
      </c>
      <c r="L15" s="280"/>
      <c r="M15" s="280"/>
      <c r="N15" s="280"/>
      <c r="O15" s="280"/>
      <c r="P15" s="280"/>
      <c r="Q15" s="280"/>
      <c r="R15" s="280"/>
      <c r="S15" s="280"/>
      <c r="T15" s="280"/>
      <c r="U15" s="280"/>
      <c r="V15" s="280"/>
      <c r="W15" s="280"/>
      <c r="X15" s="280"/>
      <c r="Y15" s="280"/>
    </row>
    <row r="16" spans="1:25" x14ac:dyDescent="0.45">
      <c r="A16" s="280"/>
      <c r="B16" s="432"/>
      <c r="C16" s="285"/>
      <c r="D16" s="446"/>
      <c r="E16" s="446"/>
      <c r="F16" s="285"/>
      <c r="G16" s="286" t="e">
        <f t="shared" si="0"/>
        <v>#DIV/0!</v>
      </c>
      <c r="H16" s="285"/>
      <c r="I16" s="284" t="s">
        <v>397</v>
      </c>
      <c r="J16" s="287" t="b">
        <f t="shared" si="1"/>
        <v>0</v>
      </c>
      <c r="K16" s="288">
        <f t="shared" si="2"/>
        <v>0</v>
      </c>
      <c r="L16" s="280"/>
      <c r="M16" s="280"/>
      <c r="N16" s="280"/>
      <c r="O16" s="280"/>
      <c r="P16" s="280"/>
      <c r="Q16" s="280"/>
      <c r="R16" s="280"/>
      <c r="S16" s="280"/>
      <c r="T16" s="280"/>
      <c r="U16" s="280"/>
      <c r="V16" s="280"/>
      <c r="W16" s="280"/>
      <c r="X16" s="280"/>
      <c r="Y16" s="280"/>
    </row>
    <row r="17" spans="1:25" x14ac:dyDescent="0.45">
      <c r="A17" s="280"/>
      <c r="B17" s="432" t="s">
        <v>410</v>
      </c>
      <c r="C17" s="285"/>
      <c r="D17" s="446"/>
      <c r="E17" s="446"/>
      <c r="F17" s="285"/>
      <c r="G17" s="286" t="e">
        <f t="shared" si="0"/>
        <v>#DIV/0!</v>
      </c>
      <c r="H17" s="285"/>
      <c r="I17" s="284" t="s">
        <v>397</v>
      </c>
      <c r="J17" s="287" t="b">
        <f t="shared" si="1"/>
        <v>0</v>
      </c>
      <c r="K17" s="288">
        <f t="shared" si="2"/>
        <v>0</v>
      </c>
      <c r="L17" s="280"/>
      <c r="M17" s="280"/>
      <c r="N17" s="280"/>
      <c r="O17" s="280"/>
      <c r="P17" s="280"/>
      <c r="Q17" s="280"/>
      <c r="R17" s="280"/>
      <c r="S17" s="280"/>
      <c r="T17" s="280"/>
      <c r="U17" s="280"/>
      <c r="V17" s="280"/>
      <c r="W17" s="280"/>
      <c r="X17" s="280"/>
      <c r="Y17" s="280"/>
    </row>
    <row r="18" spans="1:25" x14ac:dyDescent="0.45">
      <c r="A18" s="280"/>
      <c r="B18" s="432"/>
      <c r="C18" s="285"/>
      <c r="D18" s="446"/>
      <c r="E18" s="446"/>
      <c r="F18" s="285"/>
      <c r="G18" s="286" t="e">
        <f t="shared" si="0"/>
        <v>#DIV/0!</v>
      </c>
      <c r="H18" s="285"/>
      <c r="I18" s="284" t="s">
        <v>397</v>
      </c>
      <c r="J18" s="287" t="b">
        <f t="shared" si="1"/>
        <v>0</v>
      </c>
      <c r="K18" s="288">
        <f t="shared" si="2"/>
        <v>0</v>
      </c>
      <c r="L18" s="280"/>
      <c r="M18" s="280"/>
      <c r="N18" s="280"/>
      <c r="O18" s="280"/>
      <c r="P18" s="280"/>
      <c r="Q18" s="280"/>
      <c r="R18" s="280"/>
      <c r="S18" s="280"/>
      <c r="T18" s="280"/>
      <c r="U18" s="280"/>
      <c r="V18" s="280"/>
      <c r="W18" s="280"/>
      <c r="X18" s="280"/>
      <c r="Y18" s="280"/>
    </row>
    <row r="19" spans="1:25" x14ac:dyDescent="0.45">
      <c r="A19" s="280"/>
      <c r="B19" s="432"/>
      <c r="C19" s="285"/>
      <c r="D19" s="446"/>
      <c r="E19" s="446"/>
      <c r="F19" s="285"/>
      <c r="G19" s="286" t="e">
        <f t="shared" si="0"/>
        <v>#DIV/0!</v>
      </c>
      <c r="H19" s="285"/>
      <c r="I19" s="284" t="s">
        <v>397</v>
      </c>
      <c r="J19" s="287" t="b">
        <f t="shared" si="1"/>
        <v>0</v>
      </c>
      <c r="K19" s="288">
        <f t="shared" si="2"/>
        <v>0</v>
      </c>
      <c r="L19" s="280"/>
      <c r="M19" s="280"/>
      <c r="N19" s="280"/>
      <c r="O19" s="280"/>
      <c r="P19" s="280"/>
      <c r="Q19" s="280"/>
      <c r="R19" s="280"/>
      <c r="S19" s="280"/>
      <c r="T19" s="280"/>
      <c r="U19" s="280"/>
      <c r="V19" s="280"/>
      <c r="W19" s="280"/>
      <c r="X19" s="280"/>
      <c r="Y19" s="280"/>
    </row>
    <row r="20" spans="1:25" x14ac:dyDescent="0.45">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row>
    <row r="21" spans="1:25" x14ac:dyDescent="0.45">
      <c r="A21" s="280"/>
      <c r="B21" s="280" t="s">
        <v>411</v>
      </c>
      <c r="C21" s="280"/>
      <c r="D21" s="280"/>
      <c r="E21" s="280"/>
      <c r="F21" s="280"/>
      <c r="G21" s="280"/>
      <c r="H21" s="280"/>
      <c r="I21" s="280"/>
      <c r="J21" s="280"/>
      <c r="K21" s="280"/>
      <c r="L21" s="280"/>
      <c r="M21" s="280"/>
      <c r="N21" s="280"/>
      <c r="O21" s="280"/>
      <c r="P21" s="280"/>
      <c r="Q21" s="280"/>
      <c r="R21" s="280"/>
      <c r="S21" s="280"/>
      <c r="T21" s="280"/>
      <c r="U21" s="280"/>
      <c r="V21" s="280"/>
      <c r="W21" s="280"/>
      <c r="X21" s="280"/>
      <c r="Y21" s="280"/>
    </row>
    <row r="22" spans="1:25" x14ac:dyDescent="0.45">
      <c r="A22" s="280"/>
      <c r="B22" s="441" t="s">
        <v>412</v>
      </c>
      <c r="C22" s="430" t="s">
        <v>413</v>
      </c>
      <c r="D22" s="443" t="s">
        <v>414</v>
      </c>
      <c r="E22" s="444"/>
      <c r="F22" s="445"/>
      <c r="G22" s="430" t="s">
        <v>415</v>
      </c>
      <c r="H22" s="430" t="s">
        <v>416</v>
      </c>
      <c r="I22" s="430" t="s">
        <v>397</v>
      </c>
      <c r="J22" s="430" t="s">
        <v>398</v>
      </c>
      <c r="K22" s="432" t="s">
        <v>417</v>
      </c>
      <c r="L22" s="280"/>
      <c r="M22" s="280"/>
      <c r="N22" s="280"/>
      <c r="O22" s="280"/>
      <c r="P22" s="280"/>
      <c r="Q22" s="280"/>
      <c r="R22" s="280"/>
      <c r="S22" s="280"/>
      <c r="T22" s="280"/>
      <c r="U22" s="280"/>
      <c r="V22" s="280"/>
      <c r="W22" s="280"/>
      <c r="X22" s="280"/>
      <c r="Y22" s="280"/>
    </row>
    <row r="23" spans="1:25" x14ac:dyDescent="0.45">
      <c r="A23" s="280"/>
      <c r="B23" s="442"/>
      <c r="C23" s="431"/>
      <c r="D23" s="284" t="s">
        <v>418</v>
      </c>
      <c r="E23" s="284" t="s">
        <v>397</v>
      </c>
      <c r="F23" s="284" t="s">
        <v>419</v>
      </c>
      <c r="G23" s="431"/>
      <c r="H23" s="431"/>
      <c r="I23" s="431"/>
      <c r="J23" s="431"/>
      <c r="K23" s="432"/>
      <c r="L23" s="280"/>
      <c r="M23" s="280"/>
      <c r="N23" s="280"/>
      <c r="O23" s="280"/>
      <c r="P23" s="280"/>
      <c r="Q23" s="280"/>
      <c r="R23" s="280" t="s">
        <v>420</v>
      </c>
      <c r="S23" s="280" t="s">
        <v>421</v>
      </c>
      <c r="T23" s="280" t="s">
        <v>422</v>
      </c>
      <c r="U23" s="280" t="s">
        <v>423</v>
      </c>
      <c r="V23" s="280"/>
      <c r="W23" s="280"/>
      <c r="X23" s="280"/>
      <c r="Y23" s="280"/>
    </row>
    <row r="24" spans="1:25" x14ac:dyDescent="0.45">
      <c r="A24" s="280"/>
      <c r="B24" s="285"/>
      <c r="C24" s="285"/>
      <c r="D24" s="285"/>
      <c r="E24" s="284" t="s">
        <v>397</v>
      </c>
      <c r="F24" s="285"/>
      <c r="G24" s="285"/>
      <c r="H24" s="283">
        <f>D24/1000*F24/1000</f>
        <v>0</v>
      </c>
      <c r="I24" s="284" t="s">
        <v>397</v>
      </c>
      <c r="J24" s="287">
        <f>IF(G24="",0,(IF(C24=$Q$24,IF(G24&gt;2.33,"NG",IF(G24&gt;1.9,40000,IF(G24&gt;1.6,50000,IF(G24&gt;1.3,55000,60000)))),IF(C24=$Q$25,IF(G24&gt;2.33,0,30000),IF(C24=$Q$26,IF(G24&gt;2.33,0,50000))))))</f>
        <v>0</v>
      </c>
      <c r="K24" s="288">
        <f t="shared" ref="K24:K47" si="3">H24*J24</f>
        <v>0</v>
      </c>
      <c r="L24" s="280"/>
      <c r="M24" s="280"/>
      <c r="N24" s="280"/>
      <c r="O24" s="280"/>
      <c r="P24" s="280"/>
      <c r="Q24" s="280" t="s">
        <v>424</v>
      </c>
      <c r="R24" s="280">
        <v>40000</v>
      </c>
      <c r="S24" s="280">
        <v>50000</v>
      </c>
      <c r="T24" s="280">
        <v>55000</v>
      </c>
      <c r="U24" s="280">
        <v>60000</v>
      </c>
      <c r="V24" s="280"/>
      <c r="W24" s="280"/>
      <c r="X24" s="280"/>
      <c r="Y24" s="280"/>
    </row>
    <row r="25" spans="1:25" x14ac:dyDescent="0.45">
      <c r="A25" s="280"/>
      <c r="B25" s="285"/>
      <c r="C25" s="285"/>
      <c r="D25" s="285"/>
      <c r="E25" s="284" t="s">
        <v>397</v>
      </c>
      <c r="F25" s="285"/>
      <c r="G25" s="285"/>
      <c r="H25" s="283">
        <f t="shared" ref="H25:H47" si="4">D25/1000*F25/1000</f>
        <v>0</v>
      </c>
      <c r="I25" s="284" t="s">
        <v>397</v>
      </c>
      <c r="J25" s="287">
        <f>IF(G25="",0,(IF(C25=$Q$24,IF(G25&gt;2.33,"NG",IF(G25&gt;1.9,40000,IF(G25&gt;1.6,50000,IF(G25&gt;1.3,55000,60000)))),IF(C25=$Q$25,IF(G25&gt;2.33,0,30000),IF(C25=$Q$26,IF(G25&gt;2.33,0,50000))))))</f>
        <v>0</v>
      </c>
      <c r="K25" s="288">
        <f t="shared" si="3"/>
        <v>0</v>
      </c>
      <c r="L25" s="280"/>
      <c r="M25" s="280"/>
      <c r="N25" s="280"/>
      <c r="O25" s="280"/>
      <c r="P25" s="280"/>
      <c r="Q25" s="280" t="s">
        <v>425</v>
      </c>
      <c r="R25" s="280">
        <v>30000</v>
      </c>
      <c r="S25" s="280"/>
      <c r="T25" s="280"/>
      <c r="U25" s="280"/>
      <c r="V25" s="280"/>
      <c r="W25" s="280"/>
      <c r="X25" s="280"/>
      <c r="Y25" s="280"/>
    </row>
    <row r="26" spans="1:25" x14ac:dyDescent="0.45">
      <c r="A26" s="280"/>
      <c r="B26" s="285"/>
      <c r="C26" s="285"/>
      <c r="D26" s="285"/>
      <c r="E26" s="284" t="s">
        <v>397</v>
      </c>
      <c r="F26" s="285"/>
      <c r="G26" s="285"/>
      <c r="H26" s="283">
        <f t="shared" si="4"/>
        <v>0</v>
      </c>
      <c r="I26" s="284" t="s">
        <v>397</v>
      </c>
      <c r="J26" s="287">
        <f t="shared" ref="J26:J47" si="5">IF(G26="",0,(IF(C26=$Q$24,IF(G26&gt;2.33,"NG",IF(G26&gt;1.9,40000,IF(G26&gt;1.6,50000,IF(G26&gt;1.3,55000,60000)))),IF(C26=$Q$25,IF(G26&gt;2.33,0,30000),IF(C26=$Q$26,IF(G26&gt;2.33,0,50000))))))</f>
        <v>0</v>
      </c>
      <c r="K26" s="288">
        <f t="shared" si="3"/>
        <v>0</v>
      </c>
      <c r="L26" s="280"/>
      <c r="M26" s="280"/>
      <c r="N26" s="280"/>
      <c r="O26" s="280"/>
      <c r="P26" s="280"/>
      <c r="Q26" s="280" t="s">
        <v>426</v>
      </c>
      <c r="R26" s="280">
        <v>50000</v>
      </c>
      <c r="S26" s="280"/>
      <c r="T26" s="280"/>
      <c r="U26" s="280"/>
      <c r="V26" s="280"/>
      <c r="W26" s="280"/>
      <c r="X26" s="280"/>
      <c r="Y26" s="280"/>
    </row>
    <row r="27" spans="1:25" x14ac:dyDescent="0.45">
      <c r="A27" s="280"/>
      <c r="B27" s="285"/>
      <c r="C27" s="285"/>
      <c r="D27" s="285"/>
      <c r="E27" s="284" t="s">
        <v>397</v>
      </c>
      <c r="F27" s="285"/>
      <c r="G27" s="285"/>
      <c r="H27" s="283">
        <f t="shared" si="4"/>
        <v>0</v>
      </c>
      <c r="I27" s="284" t="s">
        <v>397</v>
      </c>
      <c r="J27" s="287">
        <f t="shared" si="5"/>
        <v>0</v>
      </c>
      <c r="K27" s="288">
        <f t="shared" si="3"/>
        <v>0</v>
      </c>
      <c r="L27" s="280"/>
      <c r="M27" s="280"/>
      <c r="N27" s="280"/>
      <c r="O27" s="280"/>
      <c r="P27" s="280"/>
      <c r="Q27" s="280"/>
      <c r="R27" s="280"/>
      <c r="S27" s="280"/>
      <c r="T27" s="280"/>
      <c r="U27" s="280"/>
      <c r="V27" s="280"/>
      <c r="W27" s="280"/>
      <c r="X27" s="280"/>
      <c r="Y27" s="280"/>
    </row>
    <row r="28" spans="1:25" x14ac:dyDescent="0.45">
      <c r="A28" s="280"/>
      <c r="B28" s="285"/>
      <c r="C28" s="285"/>
      <c r="D28" s="285"/>
      <c r="E28" s="284" t="s">
        <v>397</v>
      </c>
      <c r="F28" s="285"/>
      <c r="G28" s="285"/>
      <c r="H28" s="283">
        <f t="shared" si="4"/>
        <v>0</v>
      </c>
      <c r="I28" s="284" t="s">
        <v>397</v>
      </c>
      <c r="J28" s="287">
        <f t="shared" si="5"/>
        <v>0</v>
      </c>
      <c r="K28" s="288">
        <f t="shared" si="3"/>
        <v>0</v>
      </c>
      <c r="L28" s="280"/>
      <c r="M28" s="280"/>
      <c r="N28" s="280"/>
      <c r="O28" s="280"/>
      <c r="P28" s="280"/>
      <c r="Q28" s="280"/>
      <c r="R28" s="280"/>
      <c r="S28" s="280"/>
      <c r="T28" s="280"/>
      <c r="U28" s="280"/>
      <c r="V28" s="280"/>
      <c r="W28" s="280"/>
      <c r="X28" s="280"/>
      <c r="Y28" s="280"/>
    </row>
    <row r="29" spans="1:25" x14ac:dyDescent="0.45">
      <c r="A29" s="280"/>
      <c r="B29" s="285"/>
      <c r="C29" s="285"/>
      <c r="D29" s="285"/>
      <c r="E29" s="284" t="s">
        <v>397</v>
      </c>
      <c r="F29" s="285"/>
      <c r="G29" s="285"/>
      <c r="H29" s="283">
        <f t="shared" si="4"/>
        <v>0</v>
      </c>
      <c r="I29" s="284" t="s">
        <v>397</v>
      </c>
      <c r="J29" s="287">
        <f t="shared" si="5"/>
        <v>0</v>
      </c>
      <c r="K29" s="288">
        <f t="shared" si="3"/>
        <v>0</v>
      </c>
      <c r="L29" s="280"/>
      <c r="M29" s="280"/>
      <c r="N29" s="280"/>
      <c r="O29" s="280"/>
      <c r="P29" s="280"/>
      <c r="Q29" s="280"/>
      <c r="R29" s="280"/>
      <c r="S29" s="280"/>
      <c r="T29" s="280"/>
      <c r="U29" s="280"/>
      <c r="V29" s="280"/>
      <c r="W29" s="280"/>
      <c r="X29" s="280"/>
      <c r="Y29" s="280"/>
    </row>
    <row r="30" spans="1:25" x14ac:dyDescent="0.45">
      <c r="A30" s="280"/>
      <c r="B30" s="285"/>
      <c r="C30" s="285"/>
      <c r="D30" s="285"/>
      <c r="E30" s="284" t="s">
        <v>397</v>
      </c>
      <c r="F30" s="285"/>
      <c r="G30" s="285"/>
      <c r="H30" s="283">
        <f t="shared" si="4"/>
        <v>0</v>
      </c>
      <c r="I30" s="284" t="s">
        <v>397</v>
      </c>
      <c r="J30" s="287">
        <f t="shared" si="5"/>
        <v>0</v>
      </c>
      <c r="K30" s="288">
        <f t="shared" si="3"/>
        <v>0</v>
      </c>
      <c r="L30" s="280"/>
      <c r="M30" s="280"/>
      <c r="N30" s="280"/>
      <c r="O30" s="280"/>
      <c r="P30" s="280"/>
      <c r="Q30" s="280"/>
      <c r="R30" s="280"/>
      <c r="S30" s="280"/>
      <c r="T30" s="280"/>
      <c r="U30" s="280"/>
      <c r="V30" s="280"/>
      <c r="W30" s="280"/>
      <c r="X30" s="280"/>
      <c r="Y30" s="280"/>
    </row>
    <row r="31" spans="1:25" x14ac:dyDescent="0.45">
      <c r="A31" s="280"/>
      <c r="B31" s="285"/>
      <c r="C31" s="285"/>
      <c r="D31" s="285"/>
      <c r="E31" s="284" t="s">
        <v>397</v>
      </c>
      <c r="F31" s="285"/>
      <c r="G31" s="285"/>
      <c r="H31" s="283">
        <f t="shared" si="4"/>
        <v>0</v>
      </c>
      <c r="I31" s="284" t="s">
        <v>397</v>
      </c>
      <c r="J31" s="287">
        <f t="shared" si="5"/>
        <v>0</v>
      </c>
      <c r="K31" s="288">
        <f t="shared" si="3"/>
        <v>0</v>
      </c>
      <c r="L31" s="280"/>
      <c r="M31" s="280"/>
      <c r="N31" s="280"/>
      <c r="O31" s="280"/>
      <c r="P31" s="280"/>
      <c r="Q31" s="280"/>
      <c r="R31" s="280"/>
      <c r="S31" s="280"/>
      <c r="T31" s="280"/>
      <c r="U31" s="280"/>
      <c r="V31" s="280"/>
      <c r="W31" s="280"/>
      <c r="X31" s="280"/>
      <c r="Y31" s="280"/>
    </row>
    <row r="32" spans="1:25" x14ac:dyDescent="0.45">
      <c r="A32" s="280"/>
      <c r="B32" s="285"/>
      <c r="C32" s="285"/>
      <c r="D32" s="285"/>
      <c r="E32" s="284" t="s">
        <v>397</v>
      </c>
      <c r="F32" s="285"/>
      <c r="G32" s="285"/>
      <c r="H32" s="283">
        <f t="shared" si="4"/>
        <v>0</v>
      </c>
      <c r="I32" s="284" t="s">
        <v>397</v>
      </c>
      <c r="J32" s="287">
        <f t="shared" si="5"/>
        <v>0</v>
      </c>
      <c r="K32" s="288">
        <f t="shared" si="3"/>
        <v>0</v>
      </c>
      <c r="L32" s="280"/>
      <c r="M32" s="280"/>
      <c r="N32" s="280"/>
      <c r="O32" s="280"/>
      <c r="P32" s="280"/>
      <c r="Q32" s="280"/>
      <c r="R32" s="280"/>
      <c r="S32" s="280"/>
      <c r="T32" s="280"/>
      <c r="U32" s="280"/>
      <c r="V32" s="280"/>
      <c r="W32" s="280"/>
      <c r="X32" s="280"/>
    </row>
    <row r="33" spans="1:24" x14ac:dyDescent="0.45">
      <c r="A33" s="280"/>
      <c r="B33" s="285"/>
      <c r="C33" s="285"/>
      <c r="D33" s="285"/>
      <c r="E33" s="284" t="s">
        <v>397</v>
      </c>
      <c r="F33" s="285"/>
      <c r="G33" s="285"/>
      <c r="H33" s="283">
        <f t="shared" si="4"/>
        <v>0</v>
      </c>
      <c r="I33" s="284" t="s">
        <v>397</v>
      </c>
      <c r="J33" s="287">
        <f t="shared" si="5"/>
        <v>0</v>
      </c>
      <c r="K33" s="288">
        <f t="shared" si="3"/>
        <v>0</v>
      </c>
      <c r="L33" s="280"/>
      <c r="M33" s="280"/>
      <c r="N33" s="280"/>
      <c r="O33" s="280"/>
      <c r="P33" s="280"/>
      <c r="Q33" s="280"/>
      <c r="R33" s="280"/>
      <c r="S33" s="280"/>
      <c r="T33" s="280"/>
      <c r="U33" s="280"/>
      <c r="V33" s="280"/>
      <c r="W33" s="280"/>
      <c r="X33" s="280"/>
    </row>
    <row r="34" spans="1:24" x14ac:dyDescent="0.45">
      <c r="A34" s="280"/>
      <c r="B34" s="285"/>
      <c r="C34" s="285"/>
      <c r="D34" s="285"/>
      <c r="E34" s="284" t="s">
        <v>397</v>
      </c>
      <c r="F34" s="285"/>
      <c r="G34" s="285"/>
      <c r="H34" s="283">
        <f t="shared" si="4"/>
        <v>0</v>
      </c>
      <c r="I34" s="284" t="s">
        <v>397</v>
      </c>
      <c r="J34" s="287">
        <f t="shared" si="5"/>
        <v>0</v>
      </c>
      <c r="K34" s="288">
        <f t="shared" si="3"/>
        <v>0</v>
      </c>
      <c r="L34" s="280"/>
      <c r="M34" s="280"/>
      <c r="N34" s="280"/>
      <c r="O34" s="280"/>
      <c r="P34" s="280"/>
      <c r="Q34" s="280"/>
      <c r="R34" s="280"/>
      <c r="S34" s="280"/>
      <c r="T34" s="280"/>
      <c r="U34" s="280"/>
      <c r="V34" s="280"/>
      <c r="W34" s="280"/>
      <c r="X34" s="280"/>
    </row>
    <row r="35" spans="1:24" x14ac:dyDescent="0.45">
      <c r="A35" s="280"/>
      <c r="B35" s="285"/>
      <c r="C35" s="285"/>
      <c r="D35" s="285"/>
      <c r="E35" s="284" t="s">
        <v>397</v>
      </c>
      <c r="F35" s="285"/>
      <c r="G35" s="285"/>
      <c r="H35" s="283">
        <f t="shared" si="4"/>
        <v>0</v>
      </c>
      <c r="I35" s="284" t="s">
        <v>397</v>
      </c>
      <c r="J35" s="287">
        <f t="shared" si="5"/>
        <v>0</v>
      </c>
      <c r="K35" s="288">
        <f t="shared" si="3"/>
        <v>0</v>
      </c>
      <c r="L35" s="280"/>
      <c r="M35" s="280"/>
      <c r="N35" s="280"/>
      <c r="O35" s="280"/>
      <c r="P35" s="280"/>
      <c r="Q35" s="280"/>
      <c r="R35" s="280"/>
      <c r="S35" s="280"/>
      <c r="T35" s="280"/>
      <c r="U35" s="280"/>
      <c r="V35" s="280"/>
      <c r="W35" s="280"/>
      <c r="X35" s="280"/>
    </row>
    <row r="36" spans="1:24" x14ac:dyDescent="0.45">
      <c r="A36" s="280"/>
      <c r="B36" s="285"/>
      <c r="C36" s="285"/>
      <c r="D36" s="285"/>
      <c r="E36" s="284" t="s">
        <v>397</v>
      </c>
      <c r="F36" s="285"/>
      <c r="G36" s="285"/>
      <c r="H36" s="283">
        <f t="shared" si="4"/>
        <v>0</v>
      </c>
      <c r="I36" s="284" t="s">
        <v>397</v>
      </c>
      <c r="J36" s="287">
        <f t="shared" si="5"/>
        <v>0</v>
      </c>
      <c r="K36" s="288">
        <f t="shared" si="3"/>
        <v>0</v>
      </c>
      <c r="L36" s="280"/>
      <c r="M36" s="280"/>
      <c r="N36" s="280"/>
      <c r="O36" s="280"/>
      <c r="P36" s="280"/>
      <c r="Q36" s="280"/>
      <c r="R36" s="280"/>
      <c r="S36" s="280"/>
      <c r="T36" s="280"/>
      <c r="U36" s="280"/>
      <c r="V36" s="280"/>
      <c r="W36" s="280"/>
      <c r="X36" s="280"/>
    </row>
    <row r="37" spans="1:24" x14ac:dyDescent="0.45">
      <c r="A37" s="280"/>
      <c r="B37" s="285"/>
      <c r="C37" s="285"/>
      <c r="D37" s="285"/>
      <c r="E37" s="284" t="s">
        <v>397</v>
      </c>
      <c r="F37" s="285"/>
      <c r="G37" s="285"/>
      <c r="H37" s="283">
        <f t="shared" si="4"/>
        <v>0</v>
      </c>
      <c r="I37" s="284" t="s">
        <v>397</v>
      </c>
      <c r="J37" s="287">
        <f t="shared" si="5"/>
        <v>0</v>
      </c>
      <c r="K37" s="288">
        <f t="shared" si="3"/>
        <v>0</v>
      </c>
      <c r="L37" s="280"/>
      <c r="M37" s="280"/>
      <c r="N37" s="280"/>
      <c r="O37" s="280"/>
      <c r="P37" s="280"/>
      <c r="Q37" s="280"/>
      <c r="R37" s="280"/>
      <c r="S37" s="280"/>
      <c r="T37" s="280"/>
      <c r="U37" s="280"/>
      <c r="V37" s="280"/>
      <c r="W37" s="280"/>
      <c r="X37" s="280"/>
    </row>
    <row r="38" spans="1:24" x14ac:dyDescent="0.45">
      <c r="A38" s="280"/>
      <c r="B38" s="285"/>
      <c r="C38" s="285"/>
      <c r="D38" s="285"/>
      <c r="E38" s="284" t="s">
        <v>397</v>
      </c>
      <c r="F38" s="285"/>
      <c r="G38" s="285"/>
      <c r="H38" s="283">
        <f t="shared" si="4"/>
        <v>0</v>
      </c>
      <c r="I38" s="284" t="s">
        <v>397</v>
      </c>
      <c r="J38" s="287">
        <f t="shared" si="5"/>
        <v>0</v>
      </c>
      <c r="K38" s="288">
        <f t="shared" si="3"/>
        <v>0</v>
      </c>
      <c r="L38" s="280"/>
      <c r="M38" s="280"/>
      <c r="N38" s="280"/>
      <c r="O38" s="280"/>
      <c r="P38" s="280"/>
      <c r="Q38" s="280"/>
      <c r="R38" s="280"/>
      <c r="S38" s="280"/>
      <c r="T38" s="280"/>
      <c r="U38" s="280"/>
      <c r="V38" s="280"/>
      <c r="W38" s="280"/>
      <c r="X38" s="280"/>
    </row>
    <row r="39" spans="1:24" x14ac:dyDescent="0.45">
      <c r="A39" s="280"/>
      <c r="B39" s="285"/>
      <c r="C39" s="285"/>
      <c r="D39" s="285"/>
      <c r="E39" s="284" t="s">
        <v>397</v>
      </c>
      <c r="F39" s="285"/>
      <c r="G39" s="285"/>
      <c r="H39" s="283">
        <f t="shared" si="4"/>
        <v>0</v>
      </c>
      <c r="I39" s="284" t="s">
        <v>397</v>
      </c>
      <c r="J39" s="287">
        <f t="shared" si="5"/>
        <v>0</v>
      </c>
      <c r="K39" s="288">
        <f t="shared" si="3"/>
        <v>0</v>
      </c>
      <c r="L39" s="280"/>
      <c r="M39" s="280"/>
      <c r="N39" s="280"/>
      <c r="O39" s="280"/>
      <c r="P39" s="280"/>
      <c r="Q39" s="280"/>
      <c r="R39" s="280"/>
      <c r="S39" s="280"/>
      <c r="T39" s="280"/>
      <c r="U39" s="280"/>
      <c r="V39" s="280"/>
      <c r="W39" s="280"/>
      <c r="X39" s="280"/>
    </row>
    <row r="40" spans="1:24" x14ac:dyDescent="0.45">
      <c r="A40" s="280"/>
      <c r="B40" s="285"/>
      <c r="C40" s="285"/>
      <c r="D40" s="285"/>
      <c r="E40" s="284" t="s">
        <v>397</v>
      </c>
      <c r="F40" s="285"/>
      <c r="G40" s="285"/>
      <c r="H40" s="283">
        <f t="shared" si="4"/>
        <v>0</v>
      </c>
      <c r="I40" s="284" t="s">
        <v>397</v>
      </c>
      <c r="J40" s="287">
        <f t="shared" si="5"/>
        <v>0</v>
      </c>
      <c r="K40" s="288">
        <f t="shared" si="3"/>
        <v>0</v>
      </c>
      <c r="L40" s="280"/>
      <c r="M40" s="280"/>
      <c r="N40" s="280"/>
      <c r="O40" s="280"/>
      <c r="P40" s="280"/>
      <c r="Q40" s="280"/>
      <c r="R40" s="280"/>
      <c r="S40" s="280"/>
      <c r="T40" s="280"/>
      <c r="U40" s="280"/>
      <c r="V40" s="280"/>
      <c r="W40" s="280"/>
      <c r="X40" s="280"/>
    </row>
    <row r="41" spans="1:24" x14ac:dyDescent="0.45">
      <c r="A41" s="280"/>
      <c r="B41" s="285"/>
      <c r="C41" s="285"/>
      <c r="D41" s="285"/>
      <c r="E41" s="284" t="s">
        <v>397</v>
      </c>
      <c r="F41" s="285"/>
      <c r="G41" s="285"/>
      <c r="H41" s="283">
        <f t="shared" si="4"/>
        <v>0</v>
      </c>
      <c r="I41" s="284" t="s">
        <v>397</v>
      </c>
      <c r="J41" s="287">
        <f t="shared" si="5"/>
        <v>0</v>
      </c>
      <c r="K41" s="288">
        <f t="shared" si="3"/>
        <v>0</v>
      </c>
      <c r="L41" s="280"/>
      <c r="M41" s="280"/>
      <c r="N41" s="280"/>
      <c r="O41" s="280"/>
      <c r="P41" s="280"/>
      <c r="Q41" s="280"/>
      <c r="R41" s="280"/>
      <c r="S41" s="280"/>
      <c r="T41" s="280"/>
      <c r="U41" s="280"/>
      <c r="V41" s="280"/>
      <c r="W41" s="280"/>
      <c r="X41" s="280"/>
    </row>
    <row r="42" spans="1:24" x14ac:dyDescent="0.45">
      <c r="A42" s="280"/>
      <c r="B42" s="285"/>
      <c r="C42" s="285"/>
      <c r="D42" s="285"/>
      <c r="E42" s="284" t="s">
        <v>397</v>
      </c>
      <c r="F42" s="285"/>
      <c r="G42" s="285"/>
      <c r="H42" s="283">
        <f t="shared" si="4"/>
        <v>0</v>
      </c>
      <c r="I42" s="284" t="s">
        <v>397</v>
      </c>
      <c r="J42" s="287">
        <f t="shared" si="5"/>
        <v>0</v>
      </c>
      <c r="K42" s="288">
        <f t="shared" si="3"/>
        <v>0</v>
      </c>
      <c r="L42" s="280"/>
      <c r="M42" s="280"/>
      <c r="N42" s="280"/>
      <c r="O42" s="280"/>
      <c r="P42" s="280"/>
      <c r="Q42" s="280"/>
      <c r="R42" s="280"/>
      <c r="S42" s="280"/>
      <c r="T42" s="280"/>
      <c r="U42" s="280"/>
      <c r="V42" s="280"/>
      <c r="W42" s="280"/>
      <c r="X42" s="280"/>
    </row>
    <row r="43" spans="1:24" x14ac:dyDescent="0.45">
      <c r="A43" s="280"/>
      <c r="B43" s="285"/>
      <c r="C43" s="285"/>
      <c r="D43" s="285"/>
      <c r="E43" s="284" t="s">
        <v>397</v>
      </c>
      <c r="F43" s="285"/>
      <c r="G43" s="285"/>
      <c r="H43" s="283">
        <f t="shared" si="4"/>
        <v>0</v>
      </c>
      <c r="I43" s="284" t="s">
        <v>397</v>
      </c>
      <c r="J43" s="287">
        <f t="shared" si="5"/>
        <v>0</v>
      </c>
      <c r="K43" s="288">
        <f t="shared" si="3"/>
        <v>0</v>
      </c>
      <c r="L43" s="280"/>
      <c r="M43" s="280"/>
      <c r="N43" s="280"/>
      <c r="O43" s="280"/>
      <c r="P43" s="280"/>
      <c r="Q43" s="280"/>
      <c r="R43" s="280"/>
      <c r="S43" s="280"/>
      <c r="T43" s="280"/>
      <c r="U43" s="280"/>
      <c r="V43" s="280"/>
      <c r="W43" s="280"/>
      <c r="X43" s="280"/>
    </row>
    <row r="44" spans="1:24" x14ac:dyDescent="0.45">
      <c r="A44" s="280"/>
      <c r="B44" s="285"/>
      <c r="C44" s="285"/>
      <c r="D44" s="285"/>
      <c r="E44" s="284" t="s">
        <v>397</v>
      </c>
      <c r="F44" s="285"/>
      <c r="G44" s="285"/>
      <c r="H44" s="283">
        <f t="shared" si="4"/>
        <v>0</v>
      </c>
      <c r="I44" s="284" t="s">
        <v>397</v>
      </c>
      <c r="J44" s="287">
        <f t="shared" si="5"/>
        <v>0</v>
      </c>
      <c r="K44" s="288">
        <f t="shared" si="3"/>
        <v>0</v>
      </c>
      <c r="L44" s="280"/>
      <c r="M44" s="280"/>
      <c r="N44" s="280"/>
      <c r="O44" s="280"/>
      <c r="P44" s="280"/>
      <c r="Q44" s="280"/>
      <c r="R44" s="280"/>
      <c r="S44" s="280"/>
      <c r="T44" s="280"/>
      <c r="U44" s="280"/>
      <c r="V44" s="280"/>
      <c r="W44" s="280"/>
      <c r="X44" s="280"/>
    </row>
    <row r="45" spans="1:24" x14ac:dyDescent="0.45">
      <c r="A45" s="280"/>
      <c r="B45" s="285"/>
      <c r="C45" s="285"/>
      <c r="D45" s="285"/>
      <c r="E45" s="284" t="s">
        <v>397</v>
      </c>
      <c r="F45" s="285"/>
      <c r="G45" s="285"/>
      <c r="H45" s="283">
        <f t="shared" si="4"/>
        <v>0</v>
      </c>
      <c r="I45" s="284" t="s">
        <v>397</v>
      </c>
      <c r="J45" s="287">
        <f t="shared" si="5"/>
        <v>0</v>
      </c>
      <c r="K45" s="288">
        <f t="shared" si="3"/>
        <v>0</v>
      </c>
      <c r="L45" s="280"/>
      <c r="M45" s="280"/>
      <c r="N45" s="280"/>
      <c r="O45" s="280"/>
      <c r="P45" s="280"/>
      <c r="Q45" s="280"/>
      <c r="R45" s="280"/>
      <c r="S45" s="280"/>
      <c r="T45" s="280"/>
      <c r="U45" s="280"/>
      <c r="V45" s="280"/>
      <c r="W45" s="280"/>
      <c r="X45" s="280"/>
    </row>
    <row r="46" spans="1:24" x14ac:dyDescent="0.45">
      <c r="A46" s="280"/>
      <c r="B46" s="285"/>
      <c r="C46" s="285"/>
      <c r="D46" s="285"/>
      <c r="E46" s="284" t="s">
        <v>397</v>
      </c>
      <c r="F46" s="285"/>
      <c r="G46" s="285"/>
      <c r="H46" s="283">
        <f t="shared" si="4"/>
        <v>0</v>
      </c>
      <c r="I46" s="284" t="s">
        <v>397</v>
      </c>
      <c r="J46" s="287">
        <f t="shared" si="5"/>
        <v>0</v>
      </c>
      <c r="K46" s="288">
        <f t="shared" si="3"/>
        <v>0</v>
      </c>
      <c r="L46" s="280"/>
      <c r="M46" s="280"/>
      <c r="N46" s="280"/>
      <c r="O46" s="280"/>
      <c r="P46" s="280"/>
      <c r="Q46" s="280"/>
      <c r="R46" s="280"/>
      <c r="S46" s="280"/>
      <c r="T46" s="280"/>
      <c r="U46" s="280"/>
      <c r="V46" s="280"/>
      <c r="W46" s="280"/>
      <c r="X46" s="280"/>
    </row>
    <row r="47" spans="1:24" x14ac:dyDescent="0.45">
      <c r="A47" s="280"/>
      <c r="B47" s="285"/>
      <c r="C47" s="285"/>
      <c r="D47" s="285"/>
      <c r="E47" s="284" t="s">
        <v>397</v>
      </c>
      <c r="F47" s="285"/>
      <c r="G47" s="285"/>
      <c r="H47" s="283">
        <f t="shared" si="4"/>
        <v>0</v>
      </c>
      <c r="I47" s="284" t="s">
        <v>397</v>
      </c>
      <c r="J47" s="287">
        <f t="shared" si="5"/>
        <v>0</v>
      </c>
      <c r="K47" s="288">
        <f t="shared" si="3"/>
        <v>0</v>
      </c>
      <c r="L47" s="280"/>
      <c r="M47" s="280"/>
      <c r="N47" s="280"/>
      <c r="O47" s="280"/>
      <c r="P47" s="280"/>
      <c r="Q47" s="280"/>
      <c r="R47" s="280"/>
      <c r="S47" s="280"/>
      <c r="T47" s="280"/>
      <c r="U47" s="280"/>
      <c r="V47" s="280"/>
      <c r="W47" s="280"/>
      <c r="X47" s="280"/>
    </row>
    <row r="48" spans="1:24" x14ac:dyDescent="0.45">
      <c r="A48" s="280"/>
      <c r="B48" s="280"/>
      <c r="C48" s="280"/>
      <c r="D48" s="280"/>
      <c r="E48" s="280"/>
      <c r="F48" s="280"/>
      <c r="G48" s="280"/>
      <c r="H48" s="280"/>
      <c r="I48" s="280"/>
      <c r="J48" s="280"/>
      <c r="K48" s="280"/>
      <c r="L48" s="280"/>
      <c r="M48" s="280"/>
      <c r="N48" s="280"/>
      <c r="O48" s="280"/>
      <c r="P48" s="280"/>
      <c r="Q48" s="280"/>
      <c r="R48" s="280"/>
      <c r="S48" s="280"/>
      <c r="T48" s="280"/>
      <c r="U48" s="280"/>
      <c r="V48" s="280"/>
      <c r="W48" s="280"/>
      <c r="X48" s="280"/>
    </row>
    <row r="49" spans="1:25" x14ac:dyDescent="0.45">
      <c r="A49" s="280"/>
      <c r="B49" s="289" t="s">
        <v>427</v>
      </c>
      <c r="C49" s="289"/>
      <c r="D49" s="289"/>
      <c r="E49" s="289"/>
      <c r="F49" s="289"/>
      <c r="G49" s="289"/>
      <c r="H49" s="289"/>
      <c r="I49" s="289"/>
      <c r="J49" s="289"/>
      <c r="K49" s="289"/>
      <c r="L49" s="280"/>
      <c r="M49" s="280"/>
      <c r="N49" s="280"/>
      <c r="O49" s="280"/>
      <c r="P49" s="280"/>
      <c r="Q49" s="280"/>
      <c r="R49" s="280"/>
      <c r="S49" s="280"/>
      <c r="T49" s="280"/>
      <c r="U49" s="280"/>
      <c r="V49" s="280"/>
      <c r="W49" s="280"/>
      <c r="X49" s="280"/>
      <c r="Y49" s="280"/>
    </row>
    <row r="50" spans="1:25" x14ac:dyDescent="0.45">
      <c r="A50" s="280"/>
      <c r="B50" s="433" t="s">
        <v>428</v>
      </c>
      <c r="C50" s="435" t="s">
        <v>384</v>
      </c>
      <c r="D50" s="437" t="s">
        <v>414</v>
      </c>
      <c r="E50" s="438"/>
      <c r="F50" s="439"/>
      <c r="G50" s="435" t="s">
        <v>415</v>
      </c>
      <c r="H50" s="435" t="s">
        <v>416</v>
      </c>
      <c r="I50" s="435" t="s">
        <v>397</v>
      </c>
      <c r="J50" s="435" t="s">
        <v>429</v>
      </c>
      <c r="K50" s="440" t="s">
        <v>417</v>
      </c>
      <c r="L50" s="280"/>
      <c r="M50" s="280"/>
      <c r="N50" s="280"/>
      <c r="O50" s="280"/>
      <c r="P50" s="280"/>
      <c r="Q50" s="280"/>
      <c r="R50" s="280"/>
      <c r="S50" s="280"/>
      <c r="T50" s="280"/>
      <c r="U50" s="280"/>
      <c r="V50" s="280"/>
      <c r="W50" s="280"/>
      <c r="X50" s="280"/>
      <c r="Y50" s="280"/>
    </row>
    <row r="51" spans="1:25" x14ac:dyDescent="0.45">
      <c r="A51" s="280"/>
      <c r="B51" s="434"/>
      <c r="C51" s="436"/>
      <c r="D51" s="290" t="s">
        <v>418</v>
      </c>
      <c r="E51" s="290" t="s">
        <v>397</v>
      </c>
      <c r="F51" s="290" t="s">
        <v>419</v>
      </c>
      <c r="G51" s="436"/>
      <c r="H51" s="436"/>
      <c r="I51" s="436"/>
      <c r="J51" s="436"/>
      <c r="K51" s="440"/>
      <c r="L51" s="280"/>
      <c r="M51" s="280"/>
      <c r="N51" s="280"/>
      <c r="O51" s="280"/>
      <c r="P51" s="280"/>
      <c r="Q51" s="280"/>
      <c r="R51" s="280">
        <v>4.6500000000000004</v>
      </c>
      <c r="S51" s="280"/>
      <c r="T51" s="280"/>
      <c r="U51" s="280"/>
      <c r="V51" s="280"/>
      <c r="W51" s="280"/>
      <c r="X51" s="280"/>
      <c r="Y51" s="280"/>
    </row>
    <row r="52" spans="1:25" x14ac:dyDescent="0.45">
      <c r="A52" s="280"/>
      <c r="B52" s="285"/>
      <c r="C52" s="285"/>
      <c r="D52" s="285"/>
      <c r="E52" s="284" t="s">
        <v>397</v>
      </c>
      <c r="F52" s="285"/>
      <c r="G52" s="291"/>
      <c r="H52" s="283">
        <f>D52/1000*F52/1000</f>
        <v>0</v>
      </c>
      <c r="I52" s="284" t="s">
        <v>397</v>
      </c>
      <c r="J52" s="292"/>
      <c r="K52" s="288">
        <f>IF(G52="",0,(IF(G52&gt;R51,"NG",IF(J52&gt;R52,R52,J52))))</f>
        <v>0</v>
      </c>
      <c r="L52" s="280"/>
      <c r="M52" s="280"/>
      <c r="N52" s="280"/>
      <c r="O52" s="280"/>
      <c r="P52" s="280"/>
      <c r="Q52" s="280" t="s">
        <v>430</v>
      </c>
      <c r="R52" s="280">
        <v>150000</v>
      </c>
      <c r="S52" s="280"/>
      <c r="T52" s="280"/>
      <c r="U52" s="280"/>
      <c r="V52" s="280"/>
      <c r="W52" s="280"/>
      <c r="X52" s="280"/>
      <c r="Y52" s="280"/>
    </row>
    <row r="53" spans="1:25" x14ac:dyDescent="0.45">
      <c r="A53" s="280"/>
      <c r="B53" s="293"/>
      <c r="C53" s="280"/>
      <c r="D53" s="280"/>
      <c r="E53" s="280"/>
      <c r="F53" s="280"/>
      <c r="G53" s="280"/>
      <c r="H53" s="280"/>
      <c r="I53" s="280"/>
      <c r="J53" s="280"/>
      <c r="K53" s="280"/>
      <c r="L53" s="280"/>
      <c r="M53" s="280"/>
      <c r="N53" s="280"/>
      <c r="O53" s="280"/>
      <c r="P53" s="280"/>
      <c r="Q53" s="280" t="s">
        <v>431</v>
      </c>
      <c r="R53" s="280"/>
      <c r="S53" s="280"/>
      <c r="T53" s="280"/>
      <c r="U53" s="280"/>
      <c r="V53" s="280"/>
      <c r="W53" s="280"/>
      <c r="X53" s="280"/>
    </row>
    <row r="54" spans="1:25" ht="24" customHeight="1" x14ac:dyDescent="0.45">
      <c r="A54" s="280"/>
      <c r="B54" s="426" t="s">
        <v>432</v>
      </c>
      <c r="C54" s="427"/>
      <c r="D54" s="428">
        <f>SUM(K11:K19,K24:K47,K52)</f>
        <v>0</v>
      </c>
      <c r="E54" s="428"/>
      <c r="F54" s="428"/>
      <c r="G54" s="280" t="s">
        <v>145</v>
      </c>
      <c r="H54" s="280"/>
      <c r="I54" s="280"/>
      <c r="J54" s="280"/>
      <c r="K54" s="280"/>
      <c r="L54" s="280"/>
      <c r="M54" s="280"/>
      <c r="N54" s="280"/>
      <c r="O54" s="280"/>
      <c r="P54" s="280"/>
      <c r="Q54" s="280"/>
      <c r="R54" s="280"/>
      <c r="S54" s="280"/>
      <c r="T54" s="280"/>
      <c r="U54" s="280"/>
      <c r="V54" s="280"/>
      <c r="W54" s="280"/>
      <c r="X54" s="280"/>
    </row>
    <row r="55" spans="1:25" x14ac:dyDescent="0.45">
      <c r="A55" s="280"/>
      <c r="B55" s="280"/>
      <c r="C55" s="280"/>
      <c r="D55" s="294"/>
      <c r="E55" s="294"/>
      <c r="F55" s="294"/>
      <c r="G55" s="280" t="s">
        <v>433</v>
      </c>
      <c r="H55" s="280"/>
      <c r="I55" s="280"/>
      <c r="J55" s="280"/>
      <c r="K55" s="280"/>
      <c r="L55" s="280"/>
      <c r="M55" s="280"/>
      <c r="N55" s="280"/>
      <c r="O55" s="280"/>
      <c r="P55" s="280"/>
      <c r="Q55" s="280"/>
      <c r="R55" s="280"/>
      <c r="S55" s="280"/>
      <c r="T55" s="280"/>
      <c r="U55" s="280"/>
      <c r="V55" s="280"/>
      <c r="W55" s="280"/>
      <c r="X55" s="280"/>
    </row>
    <row r="56" spans="1:25" x14ac:dyDescent="0.45">
      <c r="A56" s="280"/>
      <c r="B56" s="280"/>
      <c r="C56" s="280"/>
      <c r="D56" s="294"/>
      <c r="E56" s="294"/>
      <c r="F56" s="294"/>
      <c r="G56" s="280"/>
      <c r="H56" s="280"/>
      <c r="I56" s="280"/>
      <c r="J56" s="280"/>
      <c r="K56" s="280"/>
      <c r="L56" s="280"/>
      <c r="M56" s="280"/>
      <c r="N56" s="280"/>
      <c r="O56" s="280"/>
      <c r="P56" s="280"/>
      <c r="Q56" s="280"/>
      <c r="R56" s="280"/>
      <c r="S56" s="280"/>
      <c r="T56" s="280"/>
      <c r="U56" s="280"/>
      <c r="V56" s="280"/>
      <c r="W56" s="280"/>
      <c r="X56" s="280"/>
    </row>
    <row r="57" spans="1:25" ht="24" customHeight="1" x14ac:dyDescent="0.45">
      <c r="A57" s="280"/>
      <c r="B57" s="426" t="s">
        <v>434</v>
      </c>
      <c r="C57" s="426"/>
      <c r="D57" s="429"/>
      <c r="E57" s="429"/>
      <c r="F57" s="429"/>
      <c r="G57" s="280" t="s">
        <v>145</v>
      </c>
      <c r="H57" s="280"/>
      <c r="I57" s="280"/>
      <c r="J57" s="280"/>
      <c r="K57" s="280"/>
      <c r="L57" s="280"/>
      <c r="M57" s="280"/>
      <c r="N57" s="280"/>
      <c r="O57" s="280"/>
      <c r="P57" s="280"/>
      <c r="Q57" s="280"/>
      <c r="R57" s="280"/>
      <c r="S57" s="280"/>
      <c r="T57" s="280"/>
      <c r="U57" s="280"/>
      <c r="V57" s="280"/>
      <c r="W57" s="280"/>
      <c r="X57" s="280"/>
    </row>
    <row r="58" spans="1:25" x14ac:dyDescent="0.45">
      <c r="A58" s="280"/>
      <c r="B58" s="293"/>
      <c r="C58" s="280"/>
      <c r="D58" s="294"/>
      <c r="E58" s="294"/>
      <c r="F58" s="294"/>
      <c r="G58" s="280"/>
      <c r="H58" s="280"/>
      <c r="I58" s="280"/>
      <c r="J58" s="280"/>
      <c r="K58" s="280"/>
      <c r="L58" s="280"/>
      <c r="M58" s="280"/>
      <c r="N58" s="280"/>
      <c r="O58" s="280"/>
      <c r="P58" s="280"/>
      <c r="Q58" s="280"/>
      <c r="R58" s="280"/>
      <c r="S58" s="280"/>
      <c r="T58" s="280"/>
      <c r="U58" s="280"/>
      <c r="V58" s="280"/>
      <c r="W58" s="280"/>
      <c r="X58" s="280"/>
    </row>
    <row r="59" spans="1:25" ht="24" customHeight="1" x14ac:dyDescent="0.45">
      <c r="A59" s="280"/>
      <c r="B59" s="427" t="s">
        <v>435</v>
      </c>
      <c r="C59" s="427"/>
      <c r="D59" s="429"/>
      <c r="E59" s="429"/>
      <c r="F59" s="429"/>
      <c r="G59" s="280" t="s">
        <v>145</v>
      </c>
      <c r="H59" s="280" t="s">
        <v>436</v>
      </c>
      <c r="I59" s="280"/>
      <c r="J59" s="280"/>
      <c r="K59" s="280"/>
      <c r="L59" s="280"/>
      <c r="M59" s="280"/>
      <c r="N59" s="280"/>
      <c r="O59" s="280"/>
      <c r="P59" s="280"/>
      <c r="Q59" s="280"/>
      <c r="R59" s="280"/>
      <c r="S59" s="280"/>
      <c r="T59" s="280"/>
      <c r="U59" s="280"/>
      <c r="V59" s="280"/>
      <c r="W59" s="280"/>
      <c r="X59" s="280"/>
    </row>
    <row r="60" spans="1:25" x14ac:dyDescent="0.45">
      <c r="A60" s="280"/>
      <c r="B60" s="280"/>
      <c r="C60" s="280"/>
      <c r="D60" s="294"/>
      <c r="E60" s="294"/>
      <c r="F60" s="294"/>
      <c r="G60" s="280"/>
      <c r="H60" s="280"/>
      <c r="I60" s="280"/>
      <c r="J60" s="280"/>
      <c r="K60" s="280"/>
      <c r="L60" s="280"/>
      <c r="M60" s="280"/>
      <c r="N60" s="280"/>
      <c r="O60" s="280"/>
      <c r="P60" s="280"/>
      <c r="Q60" s="280"/>
      <c r="R60" s="280"/>
      <c r="S60" s="280"/>
      <c r="T60" s="280"/>
      <c r="U60" s="280"/>
      <c r="V60" s="280"/>
      <c r="W60" s="280"/>
      <c r="X60" s="280"/>
    </row>
    <row r="61" spans="1:25" ht="24" customHeight="1" x14ac:dyDescent="0.45">
      <c r="A61" s="280"/>
      <c r="B61" s="426" t="s">
        <v>437</v>
      </c>
      <c r="C61" s="427"/>
      <c r="D61" s="428" t="str">
        <f>IF(D59="","",(D59+IF(J52&lt;150000,J52,150000)))</f>
        <v/>
      </c>
      <c r="E61" s="428"/>
      <c r="F61" s="428"/>
      <c r="G61" s="280" t="s">
        <v>145</v>
      </c>
      <c r="H61" s="280"/>
      <c r="I61" s="280"/>
      <c r="J61" s="280"/>
      <c r="K61" s="280"/>
      <c r="L61" s="280"/>
      <c r="M61" s="280"/>
      <c r="N61" s="280"/>
      <c r="O61" s="280"/>
      <c r="P61" s="280"/>
      <c r="Q61" s="280"/>
      <c r="R61" s="280"/>
      <c r="S61" s="280"/>
      <c r="T61" s="280"/>
      <c r="U61" s="280"/>
      <c r="V61" s="280"/>
      <c r="W61" s="280"/>
      <c r="X61" s="280"/>
    </row>
    <row r="62" spans="1:25" x14ac:dyDescent="0.45">
      <c r="A62" s="280"/>
      <c r="B62" s="293"/>
      <c r="C62" s="280"/>
      <c r="D62" s="294"/>
      <c r="E62" s="294"/>
      <c r="F62" s="294"/>
      <c r="G62" s="280"/>
      <c r="H62" s="280"/>
      <c r="I62" s="280"/>
      <c r="J62" s="280"/>
      <c r="K62" s="280"/>
      <c r="L62" s="280"/>
      <c r="M62" s="280"/>
      <c r="N62" s="280"/>
      <c r="O62" s="280"/>
      <c r="P62" s="280"/>
      <c r="Q62" s="280"/>
      <c r="R62" s="280"/>
      <c r="S62" s="280"/>
      <c r="T62" s="280"/>
      <c r="U62" s="280"/>
      <c r="V62" s="280"/>
      <c r="W62" s="280"/>
      <c r="X62" s="280"/>
    </row>
    <row r="63" spans="1:25" ht="24" customHeight="1" x14ac:dyDescent="0.45">
      <c r="A63" s="280"/>
      <c r="B63" s="426" t="s">
        <v>399</v>
      </c>
      <c r="C63" s="427"/>
      <c r="D63" s="428">
        <f>MIN(D54,D61)</f>
        <v>0</v>
      </c>
      <c r="E63" s="428"/>
      <c r="F63" s="428"/>
      <c r="G63" s="280" t="s">
        <v>145</v>
      </c>
      <c r="H63" s="280"/>
      <c r="I63" s="280"/>
      <c r="J63" s="280"/>
      <c r="K63" s="280"/>
      <c r="L63" s="280"/>
      <c r="M63" s="280"/>
      <c r="N63" s="280"/>
      <c r="O63" s="280"/>
      <c r="P63" s="280"/>
      <c r="Q63" s="280"/>
      <c r="R63" s="280"/>
      <c r="S63" s="280"/>
      <c r="T63" s="280"/>
      <c r="U63" s="280"/>
      <c r="V63" s="280"/>
      <c r="W63" s="280"/>
      <c r="X63" s="280"/>
    </row>
    <row r="64" spans="1:25" x14ac:dyDescent="0.45">
      <c r="A64" s="280"/>
      <c r="B64" s="280"/>
      <c r="C64" s="280"/>
      <c r="D64" s="280"/>
      <c r="E64" s="280"/>
      <c r="F64" s="280"/>
      <c r="G64" s="280"/>
      <c r="H64" s="280"/>
      <c r="I64" s="280"/>
      <c r="J64" s="280"/>
      <c r="K64" s="280"/>
      <c r="L64" s="280"/>
      <c r="M64" s="280"/>
      <c r="N64" s="280"/>
      <c r="O64" s="280"/>
      <c r="P64" s="280"/>
      <c r="Q64" s="280"/>
      <c r="R64" s="280"/>
      <c r="S64" s="280"/>
      <c r="T64" s="280"/>
      <c r="U64" s="280"/>
      <c r="V64" s="280"/>
      <c r="W64" s="280"/>
      <c r="X64" s="280"/>
    </row>
    <row r="65" spans="1:24" x14ac:dyDescent="0.45">
      <c r="A65" s="280"/>
      <c r="B65" s="293"/>
      <c r="C65" s="280"/>
      <c r="D65" s="280"/>
      <c r="E65" s="280"/>
      <c r="F65" s="280"/>
      <c r="G65" s="280"/>
      <c r="H65" s="280"/>
      <c r="I65" s="280"/>
      <c r="J65" s="280"/>
      <c r="K65" s="280"/>
      <c r="L65" s="280"/>
      <c r="M65" s="280"/>
      <c r="N65" s="280"/>
      <c r="O65" s="280"/>
      <c r="P65" s="280"/>
      <c r="Q65" s="280"/>
      <c r="R65" s="280"/>
      <c r="S65" s="280"/>
      <c r="T65" s="280"/>
      <c r="U65" s="280"/>
      <c r="V65" s="280"/>
      <c r="W65" s="280"/>
      <c r="X65" s="280"/>
    </row>
    <row r="66" spans="1:24" ht="24" customHeight="1" x14ac:dyDescent="0.45">
      <c r="A66" s="280"/>
      <c r="B66" s="426" t="s">
        <v>218</v>
      </c>
      <c r="C66" s="427"/>
      <c r="D66" s="428">
        <f>IF(D63/3&gt;O66,O66,(ROUNDDOWN(D63/3,-3)))</f>
        <v>0</v>
      </c>
      <c r="E66" s="428"/>
      <c r="F66" s="428"/>
      <c r="G66" s="280" t="s">
        <v>145</v>
      </c>
      <c r="H66" s="280"/>
      <c r="I66" s="280"/>
      <c r="J66" s="280"/>
      <c r="K66" s="280"/>
      <c r="L66" s="280"/>
      <c r="M66" s="280" t="str">
        <f>C6</f>
        <v/>
      </c>
      <c r="N66" s="280"/>
      <c r="O66" s="280">
        <f>IF(M66="",0,IF(M66=R7,500000,IF(M66=R6,1000000,IF(M66=R5,1500000))))</f>
        <v>0</v>
      </c>
      <c r="P66" s="280"/>
      <c r="Q66" s="280"/>
      <c r="R66" s="280"/>
      <c r="S66" s="280"/>
      <c r="T66" s="280"/>
      <c r="U66" s="280"/>
      <c r="V66" s="280"/>
      <c r="W66" s="280"/>
      <c r="X66" s="280"/>
    </row>
    <row r="67" spans="1:24" x14ac:dyDescent="0.45">
      <c r="A67" s="280"/>
      <c r="B67" s="280"/>
      <c r="C67" s="280"/>
      <c r="D67" s="280"/>
      <c r="E67" s="280"/>
      <c r="F67" s="280"/>
      <c r="G67" s="280"/>
      <c r="H67" s="280"/>
      <c r="I67" s="280"/>
      <c r="J67" s="280"/>
      <c r="K67" s="280"/>
      <c r="L67" s="280"/>
      <c r="M67" s="280"/>
      <c r="N67" s="280"/>
      <c r="O67" s="280"/>
      <c r="P67" s="280"/>
      <c r="Q67" s="280"/>
      <c r="R67" s="280"/>
      <c r="S67" s="280"/>
      <c r="T67" s="280"/>
      <c r="U67" s="280"/>
      <c r="V67" s="280"/>
      <c r="W67" s="280"/>
      <c r="X67" s="280"/>
    </row>
  </sheetData>
  <sheetProtection algorithmName="SHA-512" hashValue="rp+N7lJ+JYmckRSDVtf+fj9Ao7AxHHEb1Z9VO6IupxuWOkpVNjSxwGmtYsG/KXz36HaYjqfelyJjgNU5n+wRgA==" saltValue="Z3uqrrA1WoK/mkDFZj5Qig==" spinCount="100000" sheet="1" objects="1" scenarios="1" selectLockedCells="1"/>
  <mergeCells count="43">
    <mergeCell ref="A3:K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54:C54"/>
    <mergeCell ref="D54:F54"/>
    <mergeCell ref="B57:C57"/>
    <mergeCell ref="D57:F57"/>
    <mergeCell ref="B59:C59"/>
    <mergeCell ref="D59:F59"/>
    <mergeCell ref="B61:C61"/>
    <mergeCell ref="D61:F61"/>
    <mergeCell ref="B63:C63"/>
    <mergeCell ref="D63:F63"/>
    <mergeCell ref="B66:C66"/>
    <mergeCell ref="D66:F66"/>
  </mergeCells>
  <phoneticPr fontId="2"/>
  <dataValidations count="3">
    <dataValidation type="list" allowBlank="1" showInputMessage="1" showErrorMessage="1" sqref="C11:C19" xr:uid="{F194BBBD-1585-4926-B340-A02E70480A3D}">
      <formula1>$Q$12:$Q$14</formula1>
    </dataValidation>
    <dataValidation type="list" allowBlank="1" showInputMessage="1" showErrorMessage="1" sqref="C52" xr:uid="{A07318D5-BA51-4BCC-A5D1-878901D59682}">
      <formula1>$Q$52:$Q$53</formula1>
    </dataValidation>
    <dataValidation type="list" allowBlank="1" showInputMessage="1" showErrorMessage="1" sqref="C24:C47" xr:uid="{E0FB3E10-BFF9-4688-A53D-E5C8136B4BBD}">
      <formula1>$Q$24:$Q$26</formula1>
    </dataValidation>
  </dataValidations>
  <pageMargins left="0.51181102362204722" right="0.51181102362204722" top="0.55118110236220474" bottom="0.35433070866141736" header="0.31496062992125984" footer="0.31496062992125984"/>
  <pageSetup paperSize="9" scale="75"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2"/>
  <sheetViews>
    <sheetView view="pageBreakPreview" zoomScaleNormal="100" zoomScaleSheetLayoutView="100" workbookViewId="0">
      <selection activeCell="A4" sqref="A4"/>
    </sheetView>
  </sheetViews>
  <sheetFormatPr defaultColWidth="2.8984375" defaultRowHeight="18" customHeight="1" x14ac:dyDescent="0.45"/>
  <cols>
    <col min="1" max="26" width="2.8984375" style="49"/>
    <col min="27" max="27" width="2.8984375" style="50"/>
    <col min="28" max="16384" width="2.8984375" style="49"/>
  </cols>
  <sheetData>
    <row r="1" spans="1:27" ht="18" customHeight="1" x14ac:dyDescent="0.45">
      <c r="A1" s="53" t="s">
        <v>157</v>
      </c>
      <c r="B1" s="53"/>
      <c r="C1" s="53"/>
      <c r="D1" s="53"/>
      <c r="E1" s="53"/>
      <c r="F1" s="53"/>
      <c r="G1" s="53"/>
      <c r="H1" s="53"/>
      <c r="I1" s="53"/>
      <c r="J1" s="53"/>
      <c r="K1" s="53"/>
      <c r="L1" s="53"/>
      <c r="M1" s="53"/>
      <c r="N1" s="53"/>
      <c r="O1" s="53"/>
      <c r="P1" s="53"/>
      <c r="Q1" s="53"/>
      <c r="R1" s="53"/>
      <c r="S1" s="53"/>
      <c r="T1" s="53"/>
      <c r="U1" s="53"/>
      <c r="V1" s="53"/>
      <c r="W1" s="53"/>
      <c r="X1" s="53"/>
      <c r="Y1" s="53"/>
      <c r="Z1" s="53"/>
    </row>
    <row r="2" spans="1:27" ht="18" customHeight="1" x14ac:dyDescent="0.45">
      <c r="A2" s="448" t="s">
        <v>372</v>
      </c>
      <c r="B2" s="448"/>
      <c r="C2" s="448"/>
      <c r="D2" s="448"/>
      <c r="E2" s="448"/>
      <c r="F2" s="448"/>
      <c r="G2" s="448"/>
      <c r="H2" s="448"/>
      <c r="I2" s="448"/>
      <c r="J2" s="448"/>
      <c r="K2" s="448"/>
      <c r="L2" s="448"/>
      <c r="M2" s="448"/>
      <c r="N2" s="448"/>
      <c r="O2" s="448"/>
      <c r="P2" s="448"/>
      <c r="Q2" s="448"/>
      <c r="R2" s="448"/>
      <c r="S2" s="448"/>
      <c r="T2" s="448"/>
      <c r="U2" s="448"/>
      <c r="V2" s="448"/>
      <c r="W2" s="448"/>
      <c r="X2" s="448"/>
      <c r="Y2" s="448"/>
      <c r="Z2" s="448"/>
    </row>
    <row r="3" spans="1:27" ht="18" customHeight="1" x14ac:dyDescent="0.4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row>
    <row r="4" spans="1:27" ht="18" customHeight="1" x14ac:dyDescent="0.45">
      <c r="A4" s="82"/>
      <c r="B4" s="82"/>
      <c r="C4" s="82"/>
      <c r="D4" s="82"/>
      <c r="E4" s="82"/>
      <c r="F4" s="82"/>
      <c r="G4" s="82"/>
      <c r="H4" s="82"/>
      <c r="I4" s="82"/>
      <c r="J4" s="82"/>
      <c r="K4" s="82"/>
      <c r="L4" s="82"/>
      <c r="M4" s="82"/>
      <c r="N4" s="82"/>
      <c r="O4" s="81" t="s">
        <v>156</v>
      </c>
      <c r="P4" s="81"/>
      <c r="Q4" s="456" t="str">
        <f>IF('【様式第２号の２】事業計画書兼チェックシート（改修）'!C9="","",'【様式第２号の２】事業計画書兼チェックシート（改修）'!C9)</f>
        <v/>
      </c>
      <c r="R4" s="456"/>
      <c r="S4" s="80" t="s">
        <v>87</v>
      </c>
      <c r="T4" s="456" t="str">
        <f>IF('【様式第２号の２】事業計画書兼チェックシート（改修）'!H9="","",'【様式第２号の２】事業計画書兼チェックシート（改修）'!H9)</f>
        <v/>
      </c>
      <c r="U4" s="456"/>
      <c r="V4" s="80" t="s">
        <v>155</v>
      </c>
      <c r="W4" s="456" t="str">
        <f>IF('【様式第２号の２】事業計画書兼チェックシート（改修）'!K9="","",'【様式第２号の２】事業計画書兼チェックシート（改修）'!K9)</f>
        <v/>
      </c>
      <c r="X4" s="456"/>
      <c r="Y4" s="80" t="s">
        <v>85</v>
      </c>
      <c r="Z4" s="80"/>
      <c r="AA4" s="79" t="s">
        <v>154</v>
      </c>
    </row>
    <row r="5" spans="1:27" ht="18" customHeight="1" x14ac:dyDescent="0.45">
      <c r="A5" s="53"/>
      <c r="B5" s="53" t="str">
        <f>IF('【様式第２号の２】事業計画書兼チェックシート（改修）'!BG27="","鳥取県　　　　　所長　様",'【様式第２号の２】事業計画書兼チェックシート（改修）'!BG27&amp;"　様")</f>
        <v>鳥取県　　　　　所長　様</v>
      </c>
      <c r="C5" s="53"/>
      <c r="D5" s="53"/>
      <c r="E5" s="53"/>
      <c r="F5" s="53"/>
      <c r="G5" s="53"/>
      <c r="H5" s="53"/>
      <c r="I5" s="53"/>
      <c r="J5" s="53"/>
      <c r="K5" s="53"/>
      <c r="L5" s="53"/>
      <c r="M5" s="53"/>
      <c r="N5" s="53"/>
      <c r="O5" s="53"/>
      <c r="P5" s="53"/>
      <c r="Q5" s="53"/>
      <c r="R5" s="53"/>
      <c r="S5" s="53"/>
      <c r="T5" s="53"/>
      <c r="U5" s="53"/>
      <c r="V5" s="53"/>
      <c r="W5" s="53"/>
      <c r="X5" s="53"/>
      <c r="Y5" s="53"/>
      <c r="Z5" s="53"/>
    </row>
    <row r="6" spans="1:27" ht="18" customHeight="1" x14ac:dyDescent="0.45">
      <c r="A6" s="53"/>
      <c r="B6" s="53"/>
      <c r="C6" s="53"/>
      <c r="D6" s="53"/>
      <c r="E6" s="53"/>
      <c r="F6" s="53"/>
      <c r="G6" s="53"/>
      <c r="H6" s="53"/>
      <c r="I6" s="53"/>
      <c r="J6" s="53"/>
      <c r="K6" s="53"/>
      <c r="L6" s="53"/>
      <c r="M6" s="53"/>
      <c r="N6" s="53"/>
      <c r="O6" s="53"/>
      <c r="P6" s="53"/>
      <c r="Q6" s="53"/>
      <c r="R6" s="53"/>
      <c r="S6" s="53"/>
      <c r="T6" s="53"/>
      <c r="U6" s="53"/>
      <c r="V6" s="53"/>
      <c r="W6" s="53"/>
      <c r="X6" s="53"/>
      <c r="Y6" s="53"/>
      <c r="Z6" s="53"/>
    </row>
    <row r="7" spans="1:27" ht="18" customHeight="1" x14ac:dyDescent="0.45">
      <c r="A7" s="53"/>
      <c r="B7" s="53"/>
      <c r="C7" s="53"/>
      <c r="D7" s="53"/>
      <c r="E7" s="53"/>
      <c r="F7" s="53"/>
      <c r="G7" s="53"/>
      <c r="H7" s="53"/>
      <c r="I7" s="53"/>
      <c r="J7" s="53"/>
      <c r="K7" s="53"/>
      <c r="L7" s="53"/>
      <c r="M7" s="53" t="s">
        <v>153</v>
      </c>
      <c r="N7" s="53"/>
      <c r="O7" s="53"/>
      <c r="P7" s="53"/>
      <c r="Q7" s="53"/>
      <c r="R7" s="53"/>
      <c r="S7" s="53"/>
      <c r="T7" s="53"/>
      <c r="U7" s="53"/>
      <c r="V7" s="53"/>
      <c r="W7" s="53"/>
      <c r="X7" s="53"/>
      <c r="Y7" s="53"/>
      <c r="Z7" s="53"/>
    </row>
    <row r="8" spans="1:27" ht="18" customHeight="1" x14ac:dyDescent="0.45">
      <c r="A8" s="53"/>
      <c r="B8" s="53"/>
      <c r="C8" s="53"/>
      <c r="D8" s="53"/>
      <c r="E8" s="53"/>
      <c r="F8" s="53"/>
      <c r="G8" s="53"/>
      <c r="H8" s="53"/>
      <c r="I8" s="53"/>
      <c r="J8" s="53"/>
      <c r="K8" s="53"/>
      <c r="L8" s="53"/>
      <c r="M8" s="53" t="s">
        <v>47</v>
      </c>
      <c r="N8" s="53"/>
      <c r="O8" s="53" t="s">
        <v>127</v>
      </c>
      <c r="P8" s="455" t="str">
        <f>IF('【様式第２号の２】事業計画書兼チェックシート（改修）'!O11="","",'【様式第２号の２】事業計画書兼チェックシート（改修）'!O11)</f>
        <v/>
      </c>
      <c r="Q8" s="455"/>
      <c r="R8" s="455"/>
      <c r="S8" s="455"/>
      <c r="T8" s="455"/>
      <c r="U8" s="455"/>
      <c r="V8" s="455"/>
      <c r="W8" s="455"/>
      <c r="X8" s="455"/>
      <c r="Y8" s="53"/>
      <c r="Z8" s="53"/>
    </row>
    <row r="9" spans="1:27" ht="35.25" customHeight="1" x14ac:dyDescent="0.45">
      <c r="A9" s="53"/>
      <c r="B9" s="53"/>
      <c r="C9" s="53"/>
      <c r="D9" s="53"/>
      <c r="E9" s="53"/>
      <c r="F9" s="53"/>
      <c r="G9" s="53"/>
      <c r="H9" s="53"/>
      <c r="I9" s="53"/>
      <c r="J9" s="53"/>
      <c r="K9" s="53"/>
      <c r="L9" s="53"/>
      <c r="M9" s="53"/>
      <c r="N9" s="53"/>
      <c r="O9" s="453" t="str">
        <f>IF('【様式第２号の２】事業計画書兼チェックシート（改修）'!N12="","",'【様式第２号の２】事業計画書兼チェックシート（改修）'!N12)</f>
        <v/>
      </c>
      <c r="P9" s="453"/>
      <c r="Q9" s="453"/>
      <c r="R9" s="453"/>
      <c r="S9" s="453"/>
      <c r="T9" s="453"/>
      <c r="U9" s="453"/>
      <c r="V9" s="453"/>
      <c r="W9" s="453"/>
      <c r="X9" s="453"/>
      <c r="Y9" s="53"/>
      <c r="Z9" s="53"/>
    </row>
    <row r="10" spans="1:27" ht="18" customHeight="1" x14ac:dyDescent="0.45">
      <c r="A10" s="53"/>
      <c r="B10" s="53"/>
      <c r="C10" s="53"/>
      <c r="D10" s="53"/>
      <c r="E10" s="53"/>
      <c r="F10" s="53"/>
      <c r="G10" s="53"/>
      <c r="H10" s="53"/>
      <c r="I10" s="53"/>
      <c r="J10" s="60" t="s">
        <v>466</v>
      </c>
      <c r="K10" s="60"/>
      <c r="L10" s="60"/>
      <c r="M10" s="60"/>
      <c r="N10" s="53"/>
      <c r="O10" s="453" t="str">
        <f>IF('【様式第２号の２】事業計画書兼チェックシート（改修）'!N13="","",'【様式第２号の２】事業計画書兼チェックシート（改修）'!N13)</f>
        <v/>
      </c>
      <c r="P10" s="453"/>
      <c r="Q10" s="453"/>
      <c r="R10" s="453"/>
      <c r="S10" s="453"/>
      <c r="T10" s="453"/>
      <c r="U10" s="453"/>
      <c r="V10" s="453"/>
      <c r="W10" s="453"/>
      <c r="X10" s="453"/>
      <c r="Y10" s="53"/>
      <c r="Z10" s="53"/>
      <c r="AA10" s="50" t="s">
        <v>152</v>
      </c>
    </row>
    <row r="11" spans="1:27" ht="18" customHeight="1" x14ac:dyDescent="0.45">
      <c r="A11" s="53"/>
      <c r="B11" s="53"/>
      <c r="C11" s="53"/>
      <c r="D11" s="53"/>
      <c r="E11" s="53"/>
      <c r="F11" s="53"/>
      <c r="G11" s="53"/>
      <c r="H11" s="53"/>
      <c r="I11" s="53"/>
      <c r="J11" s="60" t="s">
        <v>373</v>
      </c>
      <c r="K11" s="60"/>
      <c r="L11" s="60"/>
      <c r="M11" s="60"/>
      <c r="N11" s="53"/>
      <c r="O11" s="453" t="str">
        <f>IF('【様式第２号の２】事業計画書兼チェックシート（改修）'!N14="","",'【様式第２号の２】事業計画書兼チェックシート（改修）'!N14)</f>
        <v/>
      </c>
      <c r="P11" s="453"/>
      <c r="Q11" s="453"/>
      <c r="R11" s="453"/>
      <c r="S11" s="453"/>
      <c r="T11" s="453"/>
      <c r="U11" s="453"/>
      <c r="V11" s="453"/>
      <c r="W11" s="453"/>
      <c r="X11" s="453"/>
      <c r="Y11" s="53"/>
      <c r="Z11" s="53"/>
    </row>
    <row r="12" spans="1:27" ht="18" customHeight="1" x14ac:dyDescent="0.45">
      <c r="A12" s="53"/>
      <c r="B12" s="53"/>
      <c r="C12" s="53"/>
      <c r="D12" s="53"/>
      <c r="E12" s="53"/>
      <c r="F12" s="53"/>
      <c r="G12" s="53"/>
      <c r="H12" s="53"/>
      <c r="I12" s="53"/>
      <c r="J12" s="455" t="s">
        <v>122</v>
      </c>
      <c r="K12" s="455"/>
      <c r="L12" s="455"/>
      <c r="M12" s="455"/>
      <c r="N12" s="53"/>
      <c r="O12" s="455" t="str">
        <f>IF('【様式第２号の２】事業計画書兼チェックシート（改修）'!N15="","",'【様式第２号の２】事業計画書兼チェックシート（改修）'!N15)</f>
        <v/>
      </c>
      <c r="P12" s="455"/>
      <c r="Q12" s="455"/>
      <c r="R12" s="455"/>
      <c r="S12" s="455"/>
      <c r="T12" s="455"/>
      <c r="U12" s="455"/>
      <c r="V12" s="455"/>
      <c r="W12" s="455"/>
      <c r="X12" s="455"/>
      <c r="Y12" s="53"/>
      <c r="Z12" s="53"/>
    </row>
    <row r="13" spans="1:27" ht="18" customHeight="1" x14ac:dyDescent="0.4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7" ht="18" customHeight="1" x14ac:dyDescent="0.4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7" ht="36" customHeight="1" x14ac:dyDescent="0.45">
      <c r="A15" s="453" t="s">
        <v>376</v>
      </c>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row>
    <row r="16" spans="1:27" ht="18" customHeight="1" x14ac:dyDescent="0.45">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35" ht="18" customHeight="1" x14ac:dyDescent="0.45">
      <c r="A17" s="454" t="s">
        <v>151</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row>
    <row r="18" spans="1:35" ht="18" customHeight="1" x14ac:dyDescent="0.4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35" ht="18" customHeight="1" x14ac:dyDescent="0.45">
      <c r="A19" s="53"/>
      <c r="B19" s="75" t="s">
        <v>150</v>
      </c>
      <c r="C19" s="74"/>
      <c r="D19" s="74"/>
      <c r="E19" s="74"/>
      <c r="F19" s="74"/>
      <c r="G19" s="73"/>
      <c r="H19" s="449" t="s">
        <v>149</v>
      </c>
      <c r="I19" s="450"/>
      <c r="J19" s="450"/>
      <c r="K19" s="450"/>
      <c r="L19" s="450"/>
      <c r="M19" s="450"/>
      <c r="N19" s="450"/>
      <c r="O19" s="450"/>
      <c r="P19" s="450"/>
      <c r="Q19" s="450"/>
      <c r="R19" s="450"/>
      <c r="S19" s="450"/>
      <c r="T19" s="450"/>
      <c r="U19" s="450"/>
      <c r="V19" s="450"/>
      <c r="W19" s="450"/>
      <c r="X19" s="450"/>
      <c r="Y19" s="451"/>
      <c r="Z19" s="53"/>
    </row>
    <row r="20" spans="1:35" ht="18" customHeight="1" x14ac:dyDescent="0.45">
      <c r="A20" s="53"/>
      <c r="B20" s="75" t="s">
        <v>148</v>
      </c>
      <c r="C20" s="74"/>
      <c r="D20" s="74"/>
      <c r="E20" s="74"/>
      <c r="F20" s="74"/>
      <c r="G20" s="73"/>
      <c r="H20" s="78"/>
      <c r="I20" s="70"/>
      <c r="J20" s="70"/>
      <c r="K20" s="70"/>
      <c r="L20" s="77" t="s">
        <v>146</v>
      </c>
      <c r="M20" s="452">
        <f>IF('【様式第２号の２】事業計画書兼チェックシート（改修）'!K187="","",'【様式第２号の２】事業計画書兼チェックシート（改修）'!AB187*10000)</f>
        <v>0</v>
      </c>
      <c r="N20" s="452"/>
      <c r="O20" s="452"/>
      <c r="P20" s="452"/>
      <c r="Q20" s="452"/>
      <c r="R20" s="452"/>
      <c r="S20" s="70" t="s">
        <v>145</v>
      </c>
      <c r="T20" s="70"/>
      <c r="U20" s="70"/>
      <c r="V20" s="70"/>
      <c r="W20" s="70"/>
      <c r="X20" s="70"/>
      <c r="Y20" s="76"/>
      <c r="Z20" s="53"/>
      <c r="AA20" s="50" t="s">
        <v>144</v>
      </c>
    </row>
    <row r="21" spans="1:35" ht="18" customHeight="1" x14ac:dyDescent="0.45">
      <c r="A21" s="53"/>
      <c r="B21" s="75" t="s">
        <v>147</v>
      </c>
      <c r="C21" s="74"/>
      <c r="D21" s="74"/>
      <c r="E21" s="74"/>
      <c r="F21" s="74"/>
      <c r="G21" s="73"/>
      <c r="H21" s="72"/>
      <c r="I21" s="69"/>
      <c r="J21" s="69"/>
      <c r="K21" s="69"/>
      <c r="L21" s="71" t="s">
        <v>146</v>
      </c>
      <c r="M21" s="452">
        <f>IF('【様式第２号の２】事業計画書兼チェックシート（改修）'!K187="","",'【様式第２号の２】事業計画書兼チェックシート（改修）'!K187*10000)</f>
        <v>0</v>
      </c>
      <c r="N21" s="452"/>
      <c r="O21" s="452"/>
      <c r="P21" s="452"/>
      <c r="Q21" s="452"/>
      <c r="R21" s="452"/>
      <c r="S21" s="70" t="s">
        <v>145</v>
      </c>
      <c r="T21" s="69"/>
      <c r="U21" s="69"/>
      <c r="V21" s="69"/>
      <c r="W21" s="69"/>
      <c r="X21" s="69"/>
      <c r="Y21" s="68"/>
      <c r="Z21" s="53"/>
      <c r="AA21" s="50" t="s">
        <v>144</v>
      </c>
    </row>
    <row r="22" spans="1:35" ht="18" customHeight="1" x14ac:dyDescent="0.45">
      <c r="A22" s="53"/>
      <c r="B22" s="67" t="s">
        <v>143</v>
      </c>
      <c r="C22" s="64"/>
      <c r="D22" s="64"/>
      <c r="E22" s="64"/>
      <c r="F22" s="64"/>
      <c r="G22" s="63"/>
      <c r="H22" s="66"/>
      <c r="I22" s="65"/>
      <c r="J22" s="64"/>
      <c r="K22" s="64"/>
      <c r="L22" s="64"/>
      <c r="M22" s="64"/>
      <c r="N22" s="64"/>
      <c r="O22" s="64"/>
      <c r="P22" s="64"/>
      <c r="Q22" s="64"/>
      <c r="R22" s="64"/>
      <c r="S22" s="64"/>
      <c r="T22" s="64"/>
      <c r="U22" s="64"/>
      <c r="V22" s="64"/>
      <c r="W22" s="64"/>
      <c r="X22" s="64"/>
      <c r="Y22" s="63"/>
      <c r="Z22" s="53"/>
    </row>
    <row r="23" spans="1:35" ht="18" customHeight="1" x14ac:dyDescent="0.45">
      <c r="A23" s="53"/>
      <c r="B23" s="62"/>
      <c r="C23" s="53"/>
      <c r="D23" s="53"/>
      <c r="E23" s="53"/>
      <c r="F23" s="53"/>
      <c r="G23" s="59"/>
      <c r="H23" s="61" t="s">
        <v>365</v>
      </c>
      <c r="I23" s="60"/>
      <c r="J23" s="53"/>
      <c r="K23" s="53"/>
      <c r="L23" s="53"/>
      <c r="M23" s="53"/>
      <c r="N23" s="53"/>
      <c r="O23" s="53"/>
      <c r="P23" s="53"/>
      <c r="Q23" s="53"/>
      <c r="R23" s="53"/>
      <c r="S23" s="53"/>
      <c r="T23" s="53"/>
      <c r="U23" s="53"/>
      <c r="V23" s="53"/>
      <c r="W23" s="53"/>
      <c r="X23" s="53"/>
      <c r="Y23" s="59"/>
      <c r="Z23" s="53"/>
      <c r="AA23" s="50" t="s">
        <v>142</v>
      </c>
    </row>
    <row r="24" spans="1:35" ht="18" customHeight="1" x14ac:dyDescent="0.45">
      <c r="A24" s="53"/>
      <c r="B24" s="62"/>
      <c r="C24" s="53"/>
      <c r="D24" s="53"/>
      <c r="E24" s="53"/>
      <c r="F24" s="53"/>
      <c r="G24" s="59"/>
      <c r="H24" s="61" t="str">
        <f>IF('【様式第２号の２】事業計画書兼チェックシート（改修）'!C204="","","・"&amp;'【様式第２号の２】事業計画書兼チェックシート（改修）'!C204)</f>
        <v/>
      </c>
      <c r="I24" s="60"/>
      <c r="J24" s="53"/>
      <c r="K24" s="53"/>
      <c r="L24" s="53"/>
      <c r="M24" s="53"/>
      <c r="N24" s="53"/>
      <c r="O24" s="53"/>
      <c r="P24" s="53"/>
      <c r="Q24" s="53"/>
      <c r="R24" s="53"/>
      <c r="S24" s="53"/>
      <c r="T24" s="53"/>
      <c r="U24" s="53"/>
      <c r="V24" s="53"/>
      <c r="W24" s="53"/>
      <c r="X24" s="53"/>
      <c r="Y24" s="59"/>
      <c r="Z24" s="53"/>
    </row>
    <row r="25" spans="1:35" ht="18" customHeight="1" x14ac:dyDescent="0.45">
      <c r="A25" s="53"/>
      <c r="B25" s="62"/>
      <c r="C25" s="53"/>
      <c r="D25" s="53"/>
      <c r="E25" s="53"/>
      <c r="F25" s="53"/>
      <c r="G25" s="59"/>
      <c r="H25" s="61" t="s">
        <v>356</v>
      </c>
      <c r="I25" s="60"/>
      <c r="J25" s="53"/>
      <c r="K25" s="53"/>
      <c r="L25" s="53"/>
      <c r="M25" s="53"/>
      <c r="N25" s="53"/>
      <c r="O25" s="53"/>
      <c r="P25" s="53"/>
      <c r="Q25" s="53"/>
      <c r="R25" s="53"/>
      <c r="S25" s="53"/>
      <c r="T25" s="53"/>
      <c r="U25" s="53"/>
      <c r="V25" s="53"/>
      <c r="W25" s="53"/>
      <c r="X25" s="53"/>
      <c r="Y25" s="59"/>
      <c r="Z25" s="53"/>
    </row>
    <row r="26" spans="1:35" ht="18" customHeight="1" x14ac:dyDescent="0.45">
      <c r="A26" s="53"/>
      <c r="B26" s="62"/>
      <c r="C26" s="53"/>
      <c r="D26" s="53"/>
      <c r="E26" s="53"/>
      <c r="F26" s="53"/>
      <c r="G26" s="59"/>
      <c r="H26" s="61"/>
      <c r="I26" s="60"/>
      <c r="J26" s="53"/>
      <c r="K26" s="53"/>
      <c r="L26" s="53"/>
      <c r="M26" s="53"/>
      <c r="N26" s="53"/>
      <c r="O26" s="53"/>
      <c r="P26" s="53"/>
      <c r="Q26" s="53"/>
      <c r="R26" s="53"/>
      <c r="S26" s="53"/>
      <c r="T26" s="53"/>
      <c r="U26" s="53"/>
      <c r="V26" s="53"/>
      <c r="W26" s="53"/>
      <c r="X26" s="53"/>
      <c r="Y26" s="59"/>
      <c r="Z26" s="53"/>
    </row>
    <row r="27" spans="1:35" ht="18" customHeight="1" x14ac:dyDescent="0.45">
      <c r="A27" s="53"/>
      <c r="B27" s="62"/>
      <c r="C27" s="53"/>
      <c r="D27" s="53"/>
      <c r="E27" s="53"/>
      <c r="F27" s="53"/>
      <c r="G27" s="59"/>
      <c r="H27" s="61"/>
      <c r="I27" s="60"/>
      <c r="J27" s="53"/>
      <c r="K27" s="53"/>
      <c r="L27" s="53"/>
      <c r="M27" s="53"/>
      <c r="N27" s="53"/>
      <c r="O27" s="53"/>
      <c r="P27" s="53"/>
      <c r="Q27" s="53"/>
      <c r="R27" s="53"/>
      <c r="S27" s="53"/>
      <c r="T27" s="53"/>
      <c r="U27" s="53"/>
      <c r="V27" s="53"/>
      <c r="W27" s="53"/>
      <c r="X27" s="53"/>
      <c r="Y27" s="59"/>
      <c r="Z27" s="53"/>
    </row>
    <row r="28" spans="1:35" ht="18" customHeight="1" x14ac:dyDescent="0.45">
      <c r="A28" s="53"/>
      <c r="B28" s="62"/>
      <c r="C28" s="53"/>
      <c r="D28" s="53"/>
      <c r="E28" s="53"/>
      <c r="F28" s="53"/>
      <c r="G28" s="59"/>
      <c r="H28" s="61"/>
      <c r="I28" s="60"/>
      <c r="J28" s="53"/>
      <c r="K28" s="53"/>
      <c r="L28" s="53"/>
      <c r="M28" s="53"/>
      <c r="N28" s="53"/>
      <c r="O28" s="53"/>
      <c r="P28" s="53"/>
      <c r="Q28" s="53"/>
      <c r="R28" s="53"/>
      <c r="S28" s="53"/>
      <c r="T28" s="53"/>
      <c r="U28" s="53"/>
      <c r="V28" s="53"/>
      <c r="W28" s="53"/>
      <c r="X28" s="53"/>
      <c r="Y28" s="59"/>
      <c r="Z28" s="53"/>
    </row>
    <row r="29" spans="1:35" ht="18" customHeight="1" x14ac:dyDescent="0.45">
      <c r="A29" s="53"/>
      <c r="B29" s="58"/>
      <c r="C29" s="55"/>
      <c r="D29" s="55"/>
      <c r="E29" s="55"/>
      <c r="F29" s="55"/>
      <c r="G29" s="54"/>
      <c r="H29" s="57"/>
      <c r="I29" s="56"/>
      <c r="J29" s="55"/>
      <c r="K29" s="55"/>
      <c r="L29" s="55"/>
      <c r="M29" s="55"/>
      <c r="N29" s="55"/>
      <c r="O29" s="55"/>
      <c r="P29" s="55"/>
      <c r="Q29" s="55"/>
      <c r="R29" s="55"/>
      <c r="S29" s="55"/>
      <c r="T29" s="55"/>
      <c r="U29" s="55"/>
      <c r="V29" s="55"/>
      <c r="W29" s="55"/>
      <c r="X29" s="55"/>
      <c r="Y29" s="54"/>
      <c r="Z29" s="53"/>
    </row>
    <row r="30" spans="1:35" ht="18" customHeight="1" x14ac:dyDescent="0.4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35" ht="18" customHeight="1" x14ac:dyDescent="0.4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35" s="51" customFormat="1" ht="18" customHeight="1" x14ac:dyDescent="0.45">
      <c r="AA32" s="52"/>
      <c r="AB32" s="52"/>
      <c r="AC32" s="52"/>
      <c r="AD32" s="52"/>
      <c r="AE32" s="52"/>
      <c r="AF32" s="52"/>
      <c r="AG32" s="52"/>
      <c r="AH32" s="52"/>
      <c r="AI32" s="52"/>
    </row>
  </sheetData>
  <sheetProtection algorithmName="SHA-512" hashValue="r4rfuEO2UqAmOpwq7KataODK2wjmHGV9VOKAhN6uvFkUvHfxUJkNvIltIJwX/SHUMjKqTo1byjjwLN2KClM63g==" saltValue="OCdQNf7AI02nAMCzqoXYUg==" spinCount="100000" sheet="1" selectLockedCells="1"/>
  <mergeCells count="15">
    <mergeCell ref="A2:Z2"/>
    <mergeCell ref="H19:Y19"/>
    <mergeCell ref="M20:R20"/>
    <mergeCell ref="M21:R21"/>
    <mergeCell ref="A15:Z15"/>
    <mergeCell ref="A17:Z17"/>
    <mergeCell ref="J12:M12"/>
    <mergeCell ref="O12:X12"/>
    <mergeCell ref="Q4:R4"/>
    <mergeCell ref="T4:U4"/>
    <mergeCell ref="W4:X4"/>
    <mergeCell ref="P8:X8"/>
    <mergeCell ref="O9:X9"/>
    <mergeCell ref="O10:X10"/>
    <mergeCell ref="O11:X11"/>
  </mergeCells>
  <phoneticPr fontId="2"/>
  <conditionalFormatting sqref="A4:O4 S4 V4 Y4:Z4">
    <cfRule type="cellIs" dxfId="4"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F5512-1D86-41A2-81F7-8E3CBC4A06BD}">
  <dimension ref="A1:AI32"/>
  <sheetViews>
    <sheetView view="pageBreakPreview" zoomScaleNormal="100" zoomScaleSheetLayoutView="100" workbookViewId="0">
      <selection activeCell="A4" sqref="A4"/>
    </sheetView>
  </sheetViews>
  <sheetFormatPr defaultColWidth="2.8984375" defaultRowHeight="18" customHeight="1" x14ac:dyDescent="0.45"/>
  <cols>
    <col min="1" max="26" width="2.8984375" style="49"/>
    <col min="27" max="27" width="2.8984375" style="50"/>
    <col min="28" max="16384" width="2.8984375" style="49"/>
  </cols>
  <sheetData>
    <row r="1" spans="1:27" ht="18" customHeight="1" x14ac:dyDescent="0.45">
      <c r="A1" s="53" t="s">
        <v>157</v>
      </c>
      <c r="B1" s="53"/>
      <c r="C1" s="53"/>
      <c r="D1" s="53"/>
      <c r="E1" s="53"/>
      <c r="F1" s="53"/>
      <c r="G1" s="53"/>
      <c r="H1" s="53"/>
      <c r="I1" s="53"/>
      <c r="J1" s="53"/>
      <c r="K1" s="53"/>
      <c r="L1" s="53"/>
      <c r="M1" s="53"/>
      <c r="N1" s="53"/>
      <c r="O1" s="53"/>
      <c r="P1" s="53"/>
      <c r="Q1" s="53"/>
      <c r="R1" s="53"/>
      <c r="S1" s="53"/>
      <c r="T1" s="53"/>
      <c r="U1" s="53"/>
      <c r="V1" s="53"/>
      <c r="W1" s="53"/>
      <c r="X1" s="53"/>
      <c r="Y1" s="53"/>
      <c r="Z1" s="53"/>
    </row>
    <row r="2" spans="1:27" ht="18" customHeight="1" x14ac:dyDescent="0.45">
      <c r="A2" s="448" t="s">
        <v>449</v>
      </c>
      <c r="B2" s="448"/>
      <c r="C2" s="448"/>
      <c r="D2" s="448"/>
      <c r="E2" s="448"/>
      <c r="F2" s="448"/>
      <c r="G2" s="448"/>
      <c r="H2" s="448"/>
      <c r="I2" s="448"/>
      <c r="J2" s="448"/>
      <c r="K2" s="448"/>
      <c r="L2" s="448"/>
      <c r="M2" s="448"/>
      <c r="N2" s="448"/>
      <c r="O2" s="448"/>
      <c r="P2" s="448"/>
      <c r="Q2" s="448"/>
      <c r="R2" s="448"/>
      <c r="S2" s="448"/>
      <c r="T2" s="448"/>
      <c r="U2" s="448"/>
      <c r="V2" s="448"/>
      <c r="W2" s="448"/>
      <c r="X2" s="448"/>
      <c r="Y2" s="448"/>
      <c r="Z2" s="448"/>
    </row>
    <row r="3" spans="1:27" ht="18" customHeight="1" x14ac:dyDescent="0.4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row>
    <row r="4" spans="1:27" ht="18" customHeight="1" x14ac:dyDescent="0.45">
      <c r="A4" s="82"/>
      <c r="B4" s="82"/>
      <c r="C4" s="82"/>
      <c r="D4" s="82"/>
      <c r="E4" s="82"/>
      <c r="F4" s="82"/>
      <c r="G4" s="82"/>
      <c r="H4" s="82"/>
      <c r="I4" s="82"/>
      <c r="J4" s="82"/>
      <c r="K4" s="82"/>
      <c r="L4" s="82"/>
      <c r="M4" s="82"/>
      <c r="N4" s="82"/>
      <c r="O4" s="81" t="s">
        <v>156</v>
      </c>
      <c r="P4" s="81"/>
      <c r="Q4" s="456" t="str">
        <f>IF('【様式第２号の２】事業計画書兼チェックシート（改修）'!C9="","",'【様式第２号の２】事業計画書兼チェックシート（改修）'!C9)</f>
        <v/>
      </c>
      <c r="R4" s="456"/>
      <c r="S4" s="80" t="s">
        <v>87</v>
      </c>
      <c r="T4" s="456" t="str">
        <f>IF('【様式第２号の２】事業計画書兼チェックシート（改修）'!H9="","",'【様式第２号の２】事業計画書兼チェックシート（改修）'!H9)</f>
        <v/>
      </c>
      <c r="U4" s="456"/>
      <c r="V4" s="80" t="s">
        <v>155</v>
      </c>
      <c r="W4" s="456" t="str">
        <f>IF('【様式第２号の２】事業計画書兼チェックシート（改修）'!K9="","",'【様式第２号の２】事業計画書兼チェックシート（改修）'!K9)</f>
        <v/>
      </c>
      <c r="X4" s="456"/>
      <c r="Y4" s="80" t="s">
        <v>85</v>
      </c>
      <c r="Z4" s="80"/>
      <c r="AA4" s="79" t="s">
        <v>154</v>
      </c>
    </row>
    <row r="5" spans="1:27" ht="18" customHeight="1" x14ac:dyDescent="0.45">
      <c r="A5" s="53"/>
      <c r="B5" s="53" t="str">
        <f>IF('【様式第２号の２】事業計画書兼チェックシート（改修）'!BG27="","鳥取県　　　　　所長　様",'【様式第２号の２】事業計画書兼チェックシート（改修）'!BG27&amp;"　様")</f>
        <v>鳥取県　　　　　所長　様</v>
      </c>
      <c r="C5" s="53"/>
      <c r="D5" s="53"/>
      <c r="E5" s="53"/>
      <c r="F5" s="53"/>
      <c r="G5" s="53"/>
      <c r="H5" s="53"/>
      <c r="I5" s="53"/>
      <c r="J5" s="53"/>
      <c r="K5" s="53"/>
      <c r="L5" s="53"/>
      <c r="M5" s="53"/>
      <c r="N5" s="53"/>
      <c r="O5" s="53"/>
      <c r="P5" s="53"/>
      <c r="Q5" s="53"/>
      <c r="R5" s="53"/>
      <c r="S5" s="53"/>
      <c r="T5" s="53"/>
      <c r="U5" s="53"/>
      <c r="V5" s="53"/>
      <c r="W5" s="53"/>
      <c r="X5" s="53"/>
      <c r="Y5" s="53"/>
      <c r="Z5" s="53"/>
    </row>
    <row r="6" spans="1:27" ht="18" customHeight="1" x14ac:dyDescent="0.45">
      <c r="A6" s="53"/>
      <c r="B6" s="53"/>
      <c r="C6" s="53"/>
      <c r="D6" s="53"/>
      <c r="E6" s="53"/>
      <c r="F6" s="53"/>
      <c r="G6" s="53"/>
      <c r="H6" s="53"/>
      <c r="I6" s="53"/>
      <c r="J6" s="53"/>
      <c r="K6" s="53"/>
      <c r="L6" s="53"/>
      <c r="M6" s="53"/>
      <c r="N6" s="53"/>
      <c r="O6" s="53"/>
      <c r="P6" s="53"/>
      <c r="Q6" s="53"/>
      <c r="R6" s="53"/>
      <c r="S6" s="53"/>
      <c r="T6" s="53"/>
      <c r="U6" s="53"/>
      <c r="V6" s="53"/>
      <c r="W6" s="53"/>
      <c r="X6" s="53"/>
      <c r="Y6" s="53"/>
      <c r="Z6" s="53"/>
    </row>
    <row r="7" spans="1:27" ht="18" customHeight="1" x14ac:dyDescent="0.45">
      <c r="A7" s="53"/>
      <c r="B7" s="53"/>
      <c r="C7" s="53"/>
      <c r="D7" s="53"/>
      <c r="E7" s="53"/>
      <c r="F7" s="53"/>
      <c r="G7" s="53"/>
      <c r="H7" s="53"/>
      <c r="I7" s="53"/>
      <c r="J7" s="53"/>
      <c r="K7" s="53"/>
      <c r="L7" s="53"/>
      <c r="M7" s="53" t="s">
        <v>153</v>
      </c>
      <c r="N7" s="53"/>
      <c r="O7" s="53"/>
      <c r="P7" s="53"/>
      <c r="Q7" s="53"/>
      <c r="R7" s="53"/>
      <c r="S7" s="53"/>
      <c r="T7" s="53"/>
      <c r="U7" s="53"/>
      <c r="V7" s="53"/>
      <c r="W7" s="53"/>
      <c r="X7" s="53"/>
      <c r="Y7" s="53"/>
      <c r="Z7" s="53"/>
    </row>
    <row r="8" spans="1:27" ht="18" customHeight="1" x14ac:dyDescent="0.45">
      <c r="A8" s="53"/>
      <c r="B8" s="53"/>
      <c r="C8" s="53"/>
      <c r="D8" s="53"/>
      <c r="E8" s="53"/>
      <c r="F8" s="53"/>
      <c r="G8" s="53"/>
      <c r="H8" s="53"/>
      <c r="I8" s="53"/>
      <c r="J8" s="53"/>
      <c r="K8" s="53"/>
      <c r="L8" s="53"/>
      <c r="M8" s="53" t="s">
        <v>47</v>
      </c>
      <c r="N8" s="53"/>
      <c r="O8" s="53" t="s">
        <v>127</v>
      </c>
      <c r="P8" s="455" t="str">
        <f>IF('【様式第２号の２】事業計画書兼チェックシート（改修）'!O11="","",'【様式第２号の２】事業計画書兼チェックシート（改修）'!O11)</f>
        <v/>
      </c>
      <c r="Q8" s="455"/>
      <c r="R8" s="455"/>
      <c r="S8" s="455"/>
      <c r="T8" s="455"/>
      <c r="U8" s="455"/>
      <c r="V8" s="455"/>
      <c r="W8" s="455"/>
      <c r="X8" s="455"/>
      <c r="Y8" s="53"/>
      <c r="Z8" s="53"/>
    </row>
    <row r="9" spans="1:27" ht="35.25" customHeight="1" x14ac:dyDescent="0.45">
      <c r="A9" s="53"/>
      <c r="B9" s="53"/>
      <c r="C9" s="53"/>
      <c r="D9" s="53"/>
      <c r="E9" s="53"/>
      <c r="F9" s="53"/>
      <c r="G9" s="53"/>
      <c r="H9" s="53"/>
      <c r="I9" s="53"/>
      <c r="J9" s="53"/>
      <c r="K9" s="53"/>
      <c r="L9" s="53"/>
      <c r="M9" s="53"/>
      <c r="N9" s="53"/>
      <c r="O9" s="453" t="str">
        <f>IF('【様式第２号の２】事業計画書兼チェックシート（改修）'!N12="","",'【様式第２号の２】事業計画書兼チェックシート（改修）'!N12)</f>
        <v/>
      </c>
      <c r="P9" s="453"/>
      <c r="Q9" s="453"/>
      <c r="R9" s="453"/>
      <c r="S9" s="453"/>
      <c r="T9" s="453"/>
      <c r="U9" s="453"/>
      <c r="V9" s="453"/>
      <c r="W9" s="453"/>
      <c r="X9" s="453"/>
      <c r="Y9" s="53"/>
      <c r="Z9" s="53"/>
    </row>
    <row r="10" spans="1:27" ht="18" customHeight="1" x14ac:dyDescent="0.45">
      <c r="A10" s="53"/>
      <c r="B10" s="53"/>
      <c r="C10" s="53"/>
      <c r="D10" s="53"/>
      <c r="E10" s="53"/>
      <c r="F10" s="53"/>
      <c r="G10" s="53"/>
      <c r="H10" s="53"/>
      <c r="I10" s="53"/>
      <c r="J10" s="60" t="s">
        <v>375</v>
      </c>
      <c r="K10" s="60"/>
      <c r="L10" s="60"/>
      <c r="M10" s="60"/>
      <c r="N10" s="53"/>
      <c r="O10" s="453" t="str">
        <f>IF('【様式第２号の２】事業計画書兼チェックシート（改修）'!N13="","",'【様式第２号の２】事業計画書兼チェックシート（改修）'!N13)</f>
        <v/>
      </c>
      <c r="P10" s="453"/>
      <c r="Q10" s="453"/>
      <c r="R10" s="453"/>
      <c r="S10" s="453"/>
      <c r="T10" s="453"/>
      <c r="U10" s="453"/>
      <c r="V10" s="453"/>
      <c r="W10" s="453"/>
      <c r="X10" s="453"/>
      <c r="Y10" s="53"/>
      <c r="Z10" s="53"/>
      <c r="AA10" s="50" t="s">
        <v>152</v>
      </c>
    </row>
    <row r="11" spans="1:27" ht="18" customHeight="1" x14ac:dyDescent="0.45">
      <c r="A11" s="53"/>
      <c r="B11" s="53"/>
      <c r="C11" s="53"/>
      <c r="D11" s="53"/>
      <c r="E11" s="53"/>
      <c r="F11" s="53"/>
      <c r="G11" s="53"/>
      <c r="H11" s="53"/>
      <c r="I11" s="53"/>
      <c r="J11" s="60" t="s">
        <v>373</v>
      </c>
      <c r="K11" s="60"/>
      <c r="L11" s="60"/>
      <c r="M11" s="60"/>
      <c r="N11" s="53"/>
      <c r="O11" s="453" t="str">
        <f>IF('【様式第２号の２】事業計画書兼チェックシート（改修）'!N14="","",'【様式第２号の２】事業計画書兼チェックシート（改修）'!N14)</f>
        <v/>
      </c>
      <c r="P11" s="453"/>
      <c r="Q11" s="453"/>
      <c r="R11" s="453"/>
      <c r="S11" s="453"/>
      <c r="T11" s="453"/>
      <c r="U11" s="453"/>
      <c r="V11" s="453"/>
      <c r="W11" s="453"/>
      <c r="X11" s="453"/>
      <c r="Y11" s="53"/>
      <c r="Z11" s="53"/>
    </row>
    <row r="12" spans="1:27" ht="18" customHeight="1" x14ac:dyDescent="0.45">
      <c r="A12" s="53"/>
      <c r="B12" s="53"/>
      <c r="C12" s="53"/>
      <c r="D12" s="53"/>
      <c r="E12" s="53"/>
      <c r="F12" s="53"/>
      <c r="G12" s="53"/>
      <c r="H12" s="53"/>
      <c r="I12" s="53"/>
      <c r="J12" s="455" t="s">
        <v>122</v>
      </c>
      <c r="K12" s="455"/>
      <c r="L12" s="455"/>
      <c r="M12" s="455"/>
      <c r="N12" s="53"/>
      <c r="O12" s="455" t="str">
        <f>IF('【様式第２号の２】事業計画書兼チェックシート（改修）'!N15="","",'【様式第２号の２】事業計画書兼チェックシート（改修）'!N15)</f>
        <v/>
      </c>
      <c r="P12" s="455"/>
      <c r="Q12" s="455"/>
      <c r="R12" s="455"/>
      <c r="S12" s="455"/>
      <c r="T12" s="455"/>
      <c r="U12" s="455"/>
      <c r="V12" s="455"/>
      <c r="W12" s="455"/>
      <c r="X12" s="455"/>
      <c r="Y12" s="53"/>
      <c r="Z12" s="53"/>
    </row>
    <row r="13" spans="1:27" ht="18" customHeight="1" x14ac:dyDescent="0.4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row>
    <row r="14" spans="1:27" ht="18" customHeight="1" x14ac:dyDescent="0.4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row>
    <row r="15" spans="1:27" ht="36" customHeight="1" x14ac:dyDescent="0.45">
      <c r="A15" s="453" t="s">
        <v>450</v>
      </c>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row>
    <row r="16" spans="1:27" ht="18" customHeight="1" x14ac:dyDescent="0.45">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35" ht="18" customHeight="1" x14ac:dyDescent="0.45">
      <c r="A17" s="454" t="s">
        <v>151</v>
      </c>
      <c r="B17" s="454"/>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row>
    <row r="18" spans="1:35" ht="18" customHeight="1" x14ac:dyDescent="0.45">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35" ht="18" customHeight="1" x14ac:dyDescent="0.45">
      <c r="A19" s="53"/>
      <c r="B19" s="75" t="s">
        <v>150</v>
      </c>
      <c r="C19" s="74"/>
      <c r="D19" s="74"/>
      <c r="E19" s="74"/>
      <c r="F19" s="74"/>
      <c r="G19" s="73"/>
      <c r="H19" s="449" t="s">
        <v>451</v>
      </c>
      <c r="I19" s="450"/>
      <c r="J19" s="450"/>
      <c r="K19" s="450"/>
      <c r="L19" s="450"/>
      <c r="M19" s="450"/>
      <c r="N19" s="450"/>
      <c r="O19" s="450"/>
      <c r="P19" s="450"/>
      <c r="Q19" s="450"/>
      <c r="R19" s="450"/>
      <c r="S19" s="450"/>
      <c r="T19" s="450"/>
      <c r="U19" s="450"/>
      <c r="V19" s="450"/>
      <c r="W19" s="450"/>
      <c r="X19" s="450"/>
      <c r="Y19" s="451"/>
      <c r="Z19" s="53"/>
    </row>
    <row r="20" spans="1:35" ht="18" customHeight="1" x14ac:dyDescent="0.45">
      <c r="A20" s="53"/>
      <c r="B20" s="75" t="s">
        <v>148</v>
      </c>
      <c r="C20" s="74"/>
      <c r="D20" s="74"/>
      <c r="E20" s="74"/>
      <c r="F20" s="74"/>
      <c r="G20" s="73"/>
      <c r="H20" s="78"/>
      <c r="I20" s="70"/>
      <c r="J20" s="70"/>
      <c r="K20" s="70"/>
      <c r="L20" s="77" t="s">
        <v>146</v>
      </c>
      <c r="M20" s="452">
        <f>【様式第６号の３】補助基準額等算定表!D63</f>
        <v>0</v>
      </c>
      <c r="N20" s="452"/>
      <c r="O20" s="452"/>
      <c r="P20" s="452"/>
      <c r="Q20" s="452"/>
      <c r="R20" s="452"/>
      <c r="S20" s="70" t="s">
        <v>145</v>
      </c>
      <c r="T20" s="70"/>
      <c r="U20" s="70"/>
      <c r="V20" s="70"/>
      <c r="W20" s="70"/>
      <c r="X20" s="70"/>
      <c r="Y20" s="76"/>
      <c r="Z20" s="53"/>
      <c r="AA20" s="50" t="s">
        <v>144</v>
      </c>
    </row>
    <row r="21" spans="1:35" ht="18" customHeight="1" x14ac:dyDescent="0.45">
      <c r="A21" s="53"/>
      <c r="B21" s="75" t="s">
        <v>147</v>
      </c>
      <c r="C21" s="74"/>
      <c r="D21" s="74"/>
      <c r="E21" s="74"/>
      <c r="F21" s="74"/>
      <c r="G21" s="73"/>
      <c r="H21" s="72"/>
      <c r="I21" s="69"/>
      <c r="J21" s="69"/>
      <c r="K21" s="69"/>
      <c r="L21" s="71" t="s">
        <v>146</v>
      </c>
      <c r="M21" s="452">
        <f>【様式第６号の３】補助基準額等算定表!D66</f>
        <v>0</v>
      </c>
      <c r="N21" s="452"/>
      <c r="O21" s="452"/>
      <c r="P21" s="452"/>
      <c r="Q21" s="452"/>
      <c r="R21" s="452"/>
      <c r="S21" s="70" t="s">
        <v>145</v>
      </c>
      <c r="T21" s="69"/>
      <c r="U21" s="69"/>
      <c r="V21" s="69"/>
      <c r="W21" s="69"/>
      <c r="X21" s="69"/>
      <c r="Y21" s="68"/>
      <c r="Z21" s="53"/>
      <c r="AA21" s="50" t="s">
        <v>144</v>
      </c>
    </row>
    <row r="22" spans="1:35" ht="18" customHeight="1" x14ac:dyDescent="0.45">
      <c r="A22" s="53"/>
      <c r="B22" s="67" t="s">
        <v>143</v>
      </c>
      <c r="C22" s="64"/>
      <c r="D22" s="64"/>
      <c r="E22" s="64"/>
      <c r="F22" s="64"/>
      <c r="G22" s="63"/>
      <c r="H22" s="66"/>
      <c r="I22" s="65"/>
      <c r="J22" s="64"/>
      <c r="K22" s="64"/>
      <c r="L22" s="64"/>
      <c r="M22" s="64"/>
      <c r="N22" s="64"/>
      <c r="O22" s="64"/>
      <c r="P22" s="64"/>
      <c r="Q22" s="64"/>
      <c r="R22" s="64"/>
      <c r="S22" s="64"/>
      <c r="T22" s="64"/>
      <c r="U22" s="64"/>
      <c r="V22" s="64"/>
      <c r="W22" s="64"/>
      <c r="X22" s="64"/>
      <c r="Y22" s="63"/>
      <c r="Z22" s="53"/>
    </row>
    <row r="23" spans="1:35" ht="18" customHeight="1" x14ac:dyDescent="0.45">
      <c r="A23" s="53"/>
      <c r="B23" s="62"/>
      <c r="C23" s="53"/>
      <c r="D23" s="53"/>
      <c r="E23" s="53"/>
      <c r="F23" s="53"/>
      <c r="G23" s="59"/>
      <c r="H23" s="61" t="str">
        <f>IF('【様式第２号の２】事業計画書兼チェックシート（改修）'!C206="","","・"&amp;'【様式第２号の２】事業計画書兼チェックシート（改修）'!C206)</f>
        <v/>
      </c>
      <c r="I23" s="60"/>
      <c r="J23" s="53"/>
      <c r="K23" s="53"/>
      <c r="L23" s="53"/>
      <c r="M23" s="53"/>
      <c r="N23" s="53"/>
      <c r="O23" s="53"/>
      <c r="P23" s="53"/>
      <c r="Q23" s="53"/>
      <c r="R23" s="53"/>
      <c r="S23" s="53"/>
      <c r="T23" s="53"/>
      <c r="U23" s="53"/>
      <c r="V23" s="53"/>
      <c r="W23" s="53"/>
      <c r="X23" s="53"/>
      <c r="Y23" s="59"/>
      <c r="Z23" s="53"/>
      <c r="AA23" s="50" t="s">
        <v>142</v>
      </c>
    </row>
    <row r="24" spans="1:35" ht="18" customHeight="1" x14ac:dyDescent="0.45">
      <c r="A24" s="53"/>
      <c r="B24" s="62"/>
      <c r="C24" s="53"/>
      <c r="D24" s="53"/>
      <c r="E24" s="53"/>
      <c r="F24" s="53"/>
      <c r="G24" s="59"/>
      <c r="H24" s="61" t="str">
        <f>IF('【様式第２号の２】事業計画書兼チェックシート（改修）'!C207="","","・"&amp;'【様式第２号の２】事業計画書兼チェックシート（改修）'!C207)</f>
        <v/>
      </c>
      <c r="I24" s="60"/>
      <c r="J24" s="53"/>
      <c r="K24" s="53"/>
      <c r="L24" s="53"/>
      <c r="M24" s="53"/>
      <c r="N24" s="53"/>
      <c r="O24" s="53"/>
      <c r="P24" s="53"/>
      <c r="Q24" s="53"/>
      <c r="R24" s="53"/>
      <c r="S24" s="53"/>
      <c r="T24" s="53"/>
      <c r="U24" s="53"/>
      <c r="V24" s="53"/>
      <c r="W24" s="53"/>
      <c r="X24" s="53"/>
      <c r="Y24" s="59"/>
      <c r="Z24" s="53"/>
    </row>
    <row r="25" spans="1:35" ht="18" customHeight="1" x14ac:dyDescent="0.45">
      <c r="A25" s="53"/>
      <c r="B25" s="62"/>
      <c r="C25" s="53"/>
      <c r="D25" s="53"/>
      <c r="E25" s="53"/>
      <c r="F25" s="53"/>
      <c r="G25" s="59"/>
      <c r="H25" s="61" t="str">
        <f>IF('【様式第２号の２】事業計画書兼チェックシート（改修）'!C208="","","・"&amp;'【様式第２号の２】事業計画書兼チェックシート（改修）'!C208)</f>
        <v/>
      </c>
      <c r="I25" s="60"/>
      <c r="J25" s="53"/>
      <c r="K25" s="53"/>
      <c r="L25" s="53"/>
      <c r="M25" s="53"/>
      <c r="N25" s="53"/>
      <c r="O25" s="53"/>
      <c r="P25" s="53"/>
      <c r="Q25" s="53"/>
      <c r="R25" s="53"/>
      <c r="S25" s="53"/>
      <c r="T25" s="53"/>
      <c r="U25" s="53"/>
      <c r="V25" s="53"/>
      <c r="W25" s="53"/>
      <c r="X25" s="53"/>
      <c r="Y25" s="59"/>
      <c r="Z25" s="53"/>
    </row>
    <row r="26" spans="1:35" ht="18" customHeight="1" x14ac:dyDescent="0.45">
      <c r="A26" s="53"/>
      <c r="B26" s="62"/>
      <c r="C26" s="53"/>
      <c r="D26" s="53"/>
      <c r="E26" s="53"/>
      <c r="F26" s="53"/>
      <c r="G26" s="59"/>
      <c r="H26" s="61" t="str">
        <f>IF('【様式第２号の２】事業計画書兼チェックシート（改修）'!C209="","","・"&amp;'【様式第２号の２】事業計画書兼チェックシート（改修）'!C209)</f>
        <v/>
      </c>
      <c r="I26" s="60"/>
      <c r="J26" s="53"/>
      <c r="K26" s="53"/>
      <c r="L26" s="53"/>
      <c r="M26" s="53"/>
      <c r="N26" s="53"/>
      <c r="O26" s="53"/>
      <c r="P26" s="53"/>
      <c r="Q26" s="53"/>
      <c r="R26" s="53"/>
      <c r="S26" s="53"/>
      <c r="T26" s="53"/>
      <c r="U26" s="53"/>
      <c r="V26" s="53"/>
      <c r="W26" s="53"/>
      <c r="X26" s="53"/>
      <c r="Y26" s="59"/>
      <c r="Z26" s="53"/>
    </row>
    <row r="27" spans="1:35" ht="18" customHeight="1" x14ac:dyDescent="0.45">
      <c r="A27" s="53"/>
      <c r="B27" s="62"/>
      <c r="C27" s="53"/>
      <c r="D27" s="53"/>
      <c r="E27" s="53"/>
      <c r="F27" s="53"/>
      <c r="G27" s="59"/>
      <c r="H27" s="61"/>
      <c r="I27" s="60"/>
      <c r="J27" s="53"/>
      <c r="K27" s="53"/>
      <c r="L27" s="53"/>
      <c r="M27" s="53"/>
      <c r="N27" s="53"/>
      <c r="O27" s="53"/>
      <c r="P27" s="53"/>
      <c r="Q27" s="53"/>
      <c r="R27" s="53"/>
      <c r="S27" s="53"/>
      <c r="T27" s="53"/>
      <c r="U27" s="53"/>
      <c r="V27" s="53"/>
      <c r="W27" s="53"/>
      <c r="X27" s="53"/>
      <c r="Y27" s="59"/>
      <c r="Z27" s="53"/>
    </row>
    <row r="28" spans="1:35" ht="18" customHeight="1" x14ac:dyDescent="0.45">
      <c r="A28" s="53"/>
      <c r="B28" s="62"/>
      <c r="C28" s="53"/>
      <c r="D28" s="53"/>
      <c r="E28" s="53"/>
      <c r="F28" s="53"/>
      <c r="G28" s="59"/>
      <c r="H28" s="61"/>
      <c r="I28" s="60"/>
      <c r="J28" s="53"/>
      <c r="K28" s="53"/>
      <c r="L28" s="53"/>
      <c r="M28" s="53"/>
      <c r="N28" s="53"/>
      <c r="O28" s="53"/>
      <c r="P28" s="53"/>
      <c r="Q28" s="53"/>
      <c r="R28" s="53"/>
      <c r="S28" s="53"/>
      <c r="T28" s="53"/>
      <c r="U28" s="53"/>
      <c r="V28" s="53"/>
      <c r="W28" s="53"/>
      <c r="X28" s="53"/>
      <c r="Y28" s="59"/>
      <c r="Z28" s="53"/>
    </row>
    <row r="29" spans="1:35" ht="18" customHeight="1" x14ac:dyDescent="0.45">
      <c r="A29" s="53"/>
      <c r="B29" s="58"/>
      <c r="C29" s="55"/>
      <c r="D29" s="55"/>
      <c r="E29" s="55"/>
      <c r="F29" s="55"/>
      <c r="G29" s="54"/>
      <c r="H29" s="57"/>
      <c r="I29" s="56"/>
      <c r="J29" s="55"/>
      <c r="K29" s="55"/>
      <c r="L29" s="55"/>
      <c r="M29" s="55"/>
      <c r="N29" s="55"/>
      <c r="O29" s="55"/>
      <c r="P29" s="55"/>
      <c r="Q29" s="55"/>
      <c r="R29" s="55"/>
      <c r="S29" s="55"/>
      <c r="T29" s="55"/>
      <c r="U29" s="55"/>
      <c r="V29" s="55"/>
      <c r="W29" s="55"/>
      <c r="X29" s="55"/>
      <c r="Y29" s="54"/>
      <c r="Z29" s="53"/>
    </row>
    <row r="30" spans="1:35" ht="18" customHeight="1" x14ac:dyDescent="0.4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35" ht="18" customHeight="1" x14ac:dyDescent="0.4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35" s="51" customFormat="1" ht="18" customHeight="1" x14ac:dyDescent="0.45">
      <c r="AA32" s="52"/>
      <c r="AB32" s="52"/>
      <c r="AC32" s="52"/>
      <c r="AD32" s="52"/>
      <c r="AE32" s="52"/>
      <c r="AF32" s="52"/>
      <c r="AG32" s="52"/>
      <c r="AH32" s="52"/>
      <c r="AI32" s="52"/>
    </row>
  </sheetData>
  <sheetProtection algorithmName="SHA-512" hashValue="dBIqXXr1X3keBxomUvq8mT68800tVAur06JIrLdpdL5OpICLlSERrm1mPFrtIohkWdmuscU8nTziucsBCD3I6Q==" saltValue="HOyyxWlEASNGd2zS3d8wXw==" spinCount="100000" sheet="1" selectLockedCells="1"/>
  <mergeCells count="15">
    <mergeCell ref="O9:X9"/>
    <mergeCell ref="A2:Z2"/>
    <mergeCell ref="Q4:R4"/>
    <mergeCell ref="T4:U4"/>
    <mergeCell ref="W4:X4"/>
    <mergeCell ref="P8:X8"/>
    <mergeCell ref="H19:Y19"/>
    <mergeCell ref="M20:R20"/>
    <mergeCell ref="M21:R21"/>
    <mergeCell ref="O10:X10"/>
    <mergeCell ref="O11:X11"/>
    <mergeCell ref="J12:M12"/>
    <mergeCell ref="O12:X12"/>
    <mergeCell ref="A15:Z15"/>
    <mergeCell ref="A17:Z17"/>
  </mergeCells>
  <phoneticPr fontId="2"/>
  <conditionalFormatting sqref="A4:O4 S4 V4 Y4:Z4">
    <cfRule type="cellIs" dxfId="3"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X27"/>
  <sheetViews>
    <sheetView topLeftCell="CX1" zoomScale="70" zoomScaleNormal="70" workbookViewId="0">
      <selection activeCell="DF20" sqref="DF20"/>
    </sheetView>
  </sheetViews>
  <sheetFormatPr defaultColWidth="8.19921875" defaultRowHeight="18" outlineLevelRow="1" outlineLevelCol="1" x14ac:dyDescent="0.45"/>
  <cols>
    <col min="1" max="1" width="8.19921875" style="85"/>
    <col min="2" max="2" width="6.09765625" style="83" customWidth="1"/>
    <col min="3" max="3" width="6.09765625" customWidth="1"/>
    <col min="4" max="5" width="7" style="84" customWidth="1"/>
    <col min="6" max="6" width="8.8984375" style="85" bestFit="1" customWidth="1"/>
    <col min="7" max="7" width="8" style="85" bestFit="1" customWidth="1"/>
    <col min="8" max="8" width="10.59765625" style="86" customWidth="1"/>
    <col min="9" max="9" width="24.19921875" style="85" customWidth="1"/>
    <col min="10" max="10" width="9.69921875" style="84" customWidth="1"/>
    <col min="11" max="11" width="45.8984375" style="85" customWidth="1"/>
    <col min="12" max="12" width="15.19921875" style="84" customWidth="1"/>
    <col min="13" max="13" width="9.69921875" style="84" customWidth="1"/>
    <col min="14" max="14" width="52.19921875" style="85" customWidth="1"/>
    <col min="15" max="35" width="6.09765625" style="88" customWidth="1"/>
    <col min="36" max="37" width="6.09765625" style="88" customWidth="1" outlineLevel="1"/>
    <col min="38" max="38" width="8" style="88" bestFit="1" customWidth="1"/>
    <col min="39" max="39" width="6.09765625" style="88" customWidth="1"/>
    <col min="40" max="41" width="6.09765625" style="88" customWidth="1" outlineLevel="1"/>
    <col min="42" max="56" width="6.09765625" style="88" customWidth="1"/>
    <col min="57" max="57" width="8.19921875" style="88" customWidth="1"/>
    <col min="58" max="59" width="6.09765625" style="88" customWidth="1"/>
    <col min="60" max="60" width="8.69921875" style="88" bestFit="1" customWidth="1"/>
    <col min="61" max="61" width="6.09765625" style="88" customWidth="1"/>
    <col min="62" max="63" width="6.09765625" style="88" customWidth="1" outlineLevel="1"/>
    <col min="64" max="65" width="6.09765625" style="88" customWidth="1"/>
    <col min="66" max="68" width="6.09765625" style="88" customWidth="1" outlineLevel="1"/>
    <col min="69" max="69" width="6.09765625" style="88" customWidth="1"/>
    <col min="70" max="70" width="8.8984375" style="88" customWidth="1"/>
    <col min="71" max="73" width="6.09765625" style="88" customWidth="1" outlineLevel="1"/>
    <col min="74" max="75" width="6.09765625" style="88" customWidth="1"/>
    <col min="76" max="76" width="8.69921875" style="88" bestFit="1" customWidth="1"/>
    <col min="77" max="77" width="9.69921875" style="86" customWidth="1"/>
    <col min="78" max="78" width="3.09765625" style="86" bestFit="1" customWidth="1"/>
    <col min="79" max="79" width="4" style="86" customWidth="1"/>
    <col min="80" max="80" width="3.09765625" style="86" bestFit="1" customWidth="1"/>
    <col min="81" max="81" width="4.5" style="86" customWidth="1"/>
    <col min="82" max="82" width="3.09765625" style="86" bestFit="1" customWidth="1"/>
    <col min="83" max="83" width="9.69921875" style="86" customWidth="1"/>
    <col min="84" max="84" width="3.09765625" style="86" bestFit="1" customWidth="1"/>
    <col min="85" max="85" width="4" style="86" customWidth="1"/>
    <col min="86" max="86" width="3.09765625" style="86" bestFit="1" customWidth="1"/>
    <col min="87" max="87" width="4.5" style="86" customWidth="1"/>
    <col min="88" max="88" width="3.09765625" style="86" bestFit="1" customWidth="1"/>
    <col min="89" max="89" width="9.69921875" style="86" customWidth="1"/>
    <col min="90" max="90" width="8.19921875" style="89" customWidth="1"/>
    <col min="91" max="91" width="26.8984375" style="85" customWidth="1"/>
    <col min="92" max="92" width="37.19921875" style="85" customWidth="1"/>
    <col min="93" max="93" width="9.8984375" style="84" customWidth="1"/>
    <col min="94" max="95" width="8.19921875" style="85" customWidth="1"/>
    <col min="96" max="96" width="8.19921875" style="84" customWidth="1"/>
    <col min="97" max="97" width="8.19921875" style="86" customWidth="1"/>
    <col min="98" max="99" width="8.19921875" style="85" customWidth="1"/>
    <col min="100" max="101" width="8.19921875" style="86" customWidth="1"/>
    <col min="102" max="103" width="10.09765625" style="85" customWidth="1"/>
    <col min="104" max="105" width="11.69921875" style="85" customWidth="1"/>
    <col min="106" max="115" width="22.09765625" style="85" customWidth="1"/>
    <col min="116" max="116" width="8.19921875" style="85" customWidth="1"/>
    <col min="117" max="117" width="8" style="85" hidden="1" customWidth="1"/>
    <col min="118" max="119" width="6.09765625" style="88" hidden="1" customWidth="1"/>
    <col min="120" max="120" width="9.3984375" style="88" hidden="1" customWidth="1"/>
    <col min="121" max="124" width="6.09765625" style="88" hidden="1" customWidth="1"/>
    <col min="125" max="125" width="9.19921875" style="88" hidden="1" customWidth="1"/>
    <col min="126" max="129" width="6.09765625" style="88" hidden="1" customWidth="1"/>
    <col min="130" max="130" width="9.09765625" style="88" hidden="1" customWidth="1"/>
    <col min="131" max="134" width="6.09765625" style="88" hidden="1" customWidth="1"/>
    <col min="135" max="135" width="8.8984375" style="88" hidden="1" customWidth="1"/>
    <col min="136" max="142" width="6.09765625" style="88" hidden="1" customWidth="1"/>
    <col min="143" max="144" width="6.09765625" style="88" hidden="1" customWidth="1" outlineLevel="1"/>
    <col min="145" max="145" width="6.09765625" style="88" hidden="1" customWidth="1" collapsed="1"/>
    <col min="146" max="147" width="6.09765625" style="88" hidden="1" customWidth="1"/>
    <col min="148" max="149" width="6.09765625" style="88" hidden="1" customWidth="1" outlineLevel="1"/>
    <col min="150" max="150" width="6.09765625" style="88" hidden="1" customWidth="1" collapsed="1"/>
    <col min="151" max="165" width="6.09765625" style="88" hidden="1" customWidth="1"/>
    <col min="166" max="167" width="7.8984375" style="88" hidden="1" customWidth="1"/>
    <col min="168" max="169" width="6.09765625" style="88" hidden="1" customWidth="1"/>
    <col min="170" max="170" width="8.19921875" style="88" hidden="1" customWidth="1"/>
    <col min="171" max="171" width="6.09765625" style="88" hidden="1" customWidth="1"/>
    <col min="172" max="172" width="9.19921875" style="88" hidden="1" customWidth="1"/>
    <col min="173" max="173" width="6.09765625" style="88" hidden="1" customWidth="1"/>
    <col min="174" max="174" width="9.09765625" style="88" hidden="1" customWidth="1"/>
    <col min="175" max="177" width="6.09765625" style="88" hidden="1" customWidth="1"/>
    <col min="178" max="179" width="6.09765625" style="88" hidden="1" customWidth="1" outlineLevel="1"/>
    <col min="180" max="180" width="6.09765625" style="88" hidden="1" customWidth="1" collapsed="1"/>
    <col min="181" max="182" width="6.09765625" style="88" hidden="1" customWidth="1"/>
    <col min="183" max="185" width="6.09765625" style="88" hidden="1" customWidth="1" outlineLevel="1"/>
    <col min="186" max="186" width="6.09765625" style="88" hidden="1" customWidth="1" collapsed="1"/>
    <col min="187" max="188" width="6.09765625" style="88" hidden="1" customWidth="1"/>
    <col min="189" max="191" width="6.09765625" style="88" hidden="1" customWidth="1" outlineLevel="1"/>
    <col min="192" max="192" width="6.09765625" style="88" hidden="1" customWidth="1" collapsed="1"/>
    <col min="193" max="194" width="6.09765625" style="88" hidden="1" customWidth="1"/>
    <col min="195" max="195" width="10" style="88" hidden="1" customWidth="1"/>
    <col min="196" max="197" width="6.09765625" style="88" hidden="1" customWidth="1"/>
    <col min="198" max="198" width="6.09765625" style="85" hidden="1" customWidth="1"/>
    <col min="199" max="199" width="8.8984375" style="86" hidden="1" customWidth="1"/>
    <col min="200" max="201" width="8.59765625" style="86" hidden="1" customWidth="1"/>
    <col min="202" max="204" width="8.19921875" style="89" hidden="1" customWidth="1"/>
    <col min="205" max="16384" width="8.19921875" style="85"/>
  </cols>
  <sheetData>
    <row r="1" spans="1:882" x14ac:dyDescent="0.45">
      <c r="C1" t="s">
        <v>354</v>
      </c>
      <c r="I1" s="87" t="s">
        <v>158</v>
      </c>
    </row>
    <row r="2" spans="1:882" x14ac:dyDescent="0.45">
      <c r="H2" s="90" t="s">
        <v>159</v>
      </c>
      <c r="I2" s="91"/>
      <c r="J2" s="92"/>
      <c r="K2" s="91"/>
      <c r="L2" s="92"/>
      <c r="M2" s="92"/>
      <c r="N2" s="91"/>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0"/>
      <c r="BZ2" s="90"/>
      <c r="CA2" s="90"/>
      <c r="CB2" s="90"/>
      <c r="CC2" s="90"/>
      <c r="CD2" s="90"/>
      <c r="CE2" s="90"/>
      <c r="CF2" s="90"/>
      <c r="CG2" s="90"/>
      <c r="CH2" s="90"/>
      <c r="CI2" s="90"/>
      <c r="CJ2" s="90"/>
      <c r="CK2" s="90"/>
      <c r="CL2" s="94"/>
      <c r="CM2" s="91"/>
      <c r="CN2" s="91"/>
      <c r="CO2" s="92"/>
      <c r="CP2" s="91"/>
      <c r="CQ2" s="91"/>
      <c r="CR2" s="92"/>
      <c r="CS2" s="91"/>
      <c r="CT2" s="91"/>
      <c r="CU2" s="91"/>
      <c r="CV2" s="91"/>
      <c r="CW2" s="91"/>
      <c r="CX2" s="91"/>
      <c r="CY2" s="91"/>
      <c r="CZ2" s="91"/>
      <c r="DA2" s="91"/>
      <c r="DB2" s="91"/>
      <c r="DC2" s="91"/>
      <c r="DD2" s="91"/>
      <c r="DE2" s="91"/>
      <c r="DF2" s="91"/>
      <c r="DG2" s="91"/>
      <c r="DH2" s="91"/>
      <c r="DI2" s="91"/>
      <c r="DJ2" s="91"/>
      <c r="DK2" s="91"/>
      <c r="DN2" s="95" t="s">
        <v>160</v>
      </c>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row>
    <row r="3" spans="1:882" s="121" customFormat="1" ht="90" x14ac:dyDescent="0.45">
      <c r="B3" s="96" t="s">
        <v>161</v>
      </c>
      <c r="C3" s="97" t="s">
        <v>162</v>
      </c>
      <c r="D3" s="98" t="s">
        <v>163</v>
      </c>
      <c r="E3" s="98"/>
      <c r="F3" s="99" t="s">
        <v>164</v>
      </c>
      <c r="G3" s="100" t="s">
        <v>165</v>
      </c>
      <c r="H3" s="102" t="s">
        <v>167</v>
      </c>
      <c r="I3" s="103" t="s">
        <v>168</v>
      </c>
      <c r="J3" s="104"/>
      <c r="K3" s="105"/>
      <c r="L3" s="106"/>
      <c r="M3" s="107" t="s">
        <v>169</v>
      </c>
      <c r="N3" s="108"/>
      <c r="O3" s="109" t="s">
        <v>170</v>
      </c>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463" t="s">
        <v>171</v>
      </c>
      <c r="BE3" s="111" t="s">
        <v>172</v>
      </c>
      <c r="BF3" s="111"/>
      <c r="BG3" s="111"/>
      <c r="BH3" s="111"/>
      <c r="BI3" s="111"/>
      <c r="BJ3" s="111"/>
      <c r="BK3" s="111"/>
      <c r="BL3" s="111"/>
      <c r="BM3" s="111"/>
      <c r="BN3" s="111"/>
      <c r="BO3" s="111"/>
      <c r="BP3" s="111"/>
      <c r="BQ3" s="111"/>
      <c r="BR3" s="111"/>
      <c r="BS3" s="111"/>
      <c r="BT3" s="111"/>
      <c r="BU3" s="111"/>
      <c r="BV3" s="111"/>
      <c r="BW3" s="111"/>
      <c r="BX3" s="111"/>
      <c r="BY3" s="112" t="s">
        <v>173</v>
      </c>
      <c r="BZ3" s="113"/>
      <c r="CA3" s="113"/>
      <c r="CB3" s="113"/>
      <c r="CC3" s="113"/>
      <c r="CD3" s="113"/>
      <c r="CE3" s="113"/>
      <c r="CF3" s="113"/>
      <c r="CG3" s="113"/>
      <c r="CH3" s="113"/>
      <c r="CI3" s="113"/>
      <c r="CJ3" s="113"/>
      <c r="CK3" s="114" t="s">
        <v>174</v>
      </c>
      <c r="CL3" s="115"/>
      <c r="CM3" s="116" t="s">
        <v>175</v>
      </c>
      <c r="CN3" s="117"/>
      <c r="CO3" s="118" t="s">
        <v>176</v>
      </c>
      <c r="CP3" s="99" t="s">
        <v>177</v>
      </c>
      <c r="CQ3" s="99" t="s">
        <v>178</v>
      </c>
      <c r="CR3" s="98" t="s">
        <v>179</v>
      </c>
      <c r="CS3" s="112" t="s">
        <v>180</v>
      </c>
      <c r="CT3" s="117"/>
      <c r="CU3" s="119" t="s">
        <v>181</v>
      </c>
      <c r="CV3" s="113"/>
      <c r="CW3" s="113"/>
      <c r="CX3" s="120"/>
      <c r="CY3" s="117"/>
      <c r="CZ3" s="267" t="s">
        <v>465</v>
      </c>
      <c r="DA3" s="277" t="s">
        <v>351</v>
      </c>
      <c r="DB3" s="119" t="s">
        <v>182</v>
      </c>
      <c r="DC3" s="117"/>
      <c r="DD3" s="119" t="s">
        <v>182</v>
      </c>
      <c r="DE3" s="117"/>
      <c r="DF3" s="119" t="s">
        <v>182</v>
      </c>
      <c r="DG3" s="117"/>
      <c r="DH3" s="119" t="s">
        <v>182</v>
      </c>
      <c r="DI3" s="117"/>
      <c r="DJ3" s="119" t="s">
        <v>182</v>
      </c>
      <c r="DK3" s="117"/>
      <c r="DM3" s="101" t="s">
        <v>166</v>
      </c>
      <c r="DN3" s="109" t="s">
        <v>183</v>
      </c>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22"/>
      <c r="FN3" s="123" t="s">
        <v>184</v>
      </c>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11"/>
      <c r="GM3" s="111"/>
      <c r="GN3" s="111"/>
      <c r="GO3" s="111"/>
      <c r="GP3" s="119" t="s">
        <v>185</v>
      </c>
      <c r="GQ3" s="125"/>
      <c r="GR3" s="125"/>
      <c r="GS3" s="125"/>
      <c r="GT3" s="126"/>
      <c r="GU3" s="126"/>
      <c r="GV3" s="115"/>
    </row>
    <row r="4" spans="1:882" ht="64.8" x14ac:dyDescent="0.4">
      <c r="B4" s="127"/>
      <c r="C4" s="128"/>
      <c r="D4" s="129"/>
      <c r="E4" s="129"/>
      <c r="F4" s="130"/>
      <c r="G4" s="130"/>
      <c r="H4" s="131"/>
      <c r="I4" s="132" t="s">
        <v>186</v>
      </c>
      <c r="J4" s="133" t="s">
        <v>187</v>
      </c>
      <c r="K4" s="134" t="s">
        <v>188</v>
      </c>
      <c r="L4" s="133" t="s">
        <v>189</v>
      </c>
      <c r="M4" s="133"/>
      <c r="N4" s="132"/>
      <c r="O4" s="135"/>
      <c r="P4" s="136" t="s">
        <v>190</v>
      </c>
      <c r="Q4" s="137"/>
      <c r="R4" s="138" t="s">
        <v>191</v>
      </c>
      <c r="S4" s="139"/>
      <c r="T4" s="140"/>
      <c r="U4" s="269" t="s">
        <v>368</v>
      </c>
      <c r="V4" s="270"/>
      <c r="W4" s="270"/>
      <c r="X4" s="270"/>
      <c r="Y4" s="270"/>
      <c r="Z4" s="270"/>
      <c r="AA4" s="271"/>
      <c r="AB4" s="457" t="s">
        <v>193</v>
      </c>
      <c r="AC4" s="457"/>
      <c r="AD4" s="457"/>
      <c r="AE4" s="458" t="s">
        <v>194</v>
      </c>
      <c r="AF4" s="457"/>
      <c r="AG4" s="459"/>
      <c r="AH4" s="144"/>
      <c r="AI4" s="145" t="s">
        <v>195</v>
      </c>
      <c r="AJ4" s="146"/>
      <c r="AK4" s="146"/>
      <c r="AL4" s="147"/>
      <c r="AM4" s="148" t="s">
        <v>196</v>
      </c>
      <c r="AN4" s="149"/>
      <c r="AO4" s="149"/>
      <c r="AP4" s="150"/>
      <c r="AQ4" s="151" t="s">
        <v>369</v>
      </c>
      <c r="AR4" s="152"/>
      <c r="AS4" s="152"/>
      <c r="AT4" s="152"/>
      <c r="AU4" s="152"/>
      <c r="AV4" s="152"/>
      <c r="AW4" s="152"/>
      <c r="AX4" s="152"/>
      <c r="AY4" s="152"/>
      <c r="AZ4" s="152"/>
      <c r="BA4" s="152"/>
      <c r="BB4" s="153"/>
      <c r="BC4" s="153"/>
      <c r="BD4" s="463"/>
      <c r="BE4" s="135"/>
      <c r="BF4" s="154" t="s">
        <v>198</v>
      </c>
      <c r="BG4" s="154"/>
      <c r="BH4" s="155"/>
      <c r="BI4" s="145" t="s">
        <v>195</v>
      </c>
      <c r="BJ4" s="146"/>
      <c r="BK4" s="146"/>
      <c r="BL4" s="147"/>
      <c r="BM4" s="141" t="s">
        <v>196</v>
      </c>
      <c r="BN4" s="142"/>
      <c r="BO4" s="142"/>
      <c r="BP4" s="142"/>
      <c r="BQ4" s="143"/>
      <c r="BR4" s="151" t="s">
        <v>370</v>
      </c>
      <c r="BS4" s="152"/>
      <c r="BT4" s="152"/>
      <c r="BU4" s="152"/>
      <c r="BV4" s="152"/>
      <c r="BW4" s="153"/>
      <c r="BX4" s="156" t="s">
        <v>200</v>
      </c>
      <c r="BY4" s="157"/>
      <c r="BZ4" s="158"/>
      <c r="CA4" s="158"/>
      <c r="CB4" s="158"/>
      <c r="CC4" s="158"/>
      <c r="CD4" s="158"/>
      <c r="CE4" s="158"/>
      <c r="CF4" s="159"/>
      <c r="CG4" s="159"/>
      <c r="CH4" s="159"/>
      <c r="CI4" s="159"/>
      <c r="CJ4" s="159"/>
      <c r="CK4" s="160"/>
      <c r="CL4" s="161"/>
      <c r="CM4" s="162"/>
      <c r="CN4" s="163"/>
      <c r="CO4" s="164"/>
      <c r="CP4" s="130"/>
      <c r="CQ4" s="165"/>
      <c r="CR4" s="129"/>
      <c r="CS4" s="166"/>
      <c r="CT4" s="167"/>
      <c r="CU4" s="162"/>
      <c r="CY4" s="163"/>
      <c r="CZ4" s="268"/>
      <c r="DA4" s="163"/>
      <c r="DB4" s="162"/>
      <c r="DC4" s="163"/>
      <c r="DD4" s="162"/>
      <c r="DE4" s="163"/>
      <c r="DF4" s="162"/>
      <c r="DG4" s="163"/>
      <c r="DH4" s="162"/>
      <c r="DI4" s="163"/>
      <c r="DJ4" s="162"/>
      <c r="DK4" s="163"/>
      <c r="DM4" s="130"/>
      <c r="DN4" s="135"/>
      <c r="DO4" s="136" t="s">
        <v>190</v>
      </c>
      <c r="DP4" s="168"/>
      <c r="DQ4" s="168"/>
      <c r="DR4" s="168"/>
      <c r="DS4" s="138" t="s">
        <v>201</v>
      </c>
      <c r="DT4" s="139"/>
      <c r="DU4" s="139"/>
      <c r="DV4" s="139"/>
      <c r="DW4" s="139"/>
      <c r="DX4" s="141" t="s">
        <v>192</v>
      </c>
      <c r="DY4" s="142"/>
      <c r="DZ4" s="142"/>
      <c r="EA4" s="142"/>
      <c r="EB4" s="143"/>
      <c r="EC4" s="457" t="s">
        <v>194</v>
      </c>
      <c r="ED4" s="457"/>
      <c r="EE4" s="457"/>
      <c r="EF4" s="459"/>
      <c r="EG4" s="457" t="s">
        <v>193</v>
      </c>
      <c r="EH4" s="457"/>
      <c r="EI4" s="457"/>
      <c r="EJ4" s="169"/>
      <c r="EK4" s="144"/>
      <c r="EL4" s="145" t="s">
        <v>195</v>
      </c>
      <c r="EM4" s="146"/>
      <c r="EN4" s="146"/>
      <c r="EO4" s="146"/>
      <c r="EP4" s="146"/>
      <c r="EQ4" s="148" t="s">
        <v>196</v>
      </c>
      <c r="ER4" s="149"/>
      <c r="ES4" s="149"/>
      <c r="ET4" s="149"/>
      <c r="EU4" s="150"/>
      <c r="EV4" s="151" t="s">
        <v>197</v>
      </c>
      <c r="EW4" s="152"/>
      <c r="EX4" s="152"/>
      <c r="EY4" s="152"/>
      <c r="EZ4" s="152"/>
      <c r="FA4" s="152"/>
      <c r="FB4" s="152"/>
      <c r="FC4" s="152"/>
      <c r="FD4" s="152"/>
      <c r="FE4" s="152"/>
      <c r="FF4" s="152"/>
      <c r="FG4" s="152"/>
      <c r="FH4" s="152"/>
      <c r="FI4" s="152"/>
      <c r="FJ4" s="152"/>
      <c r="FK4" s="152"/>
      <c r="FL4" s="170" t="s">
        <v>202</v>
      </c>
      <c r="FM4" s="170" t="s">
        <v>203</v>
      </c>
      <c r="FO4" s="171" t="s">
        <v>198</v>
      </c>
      <c r="FP4" s="154"/>
      <c r="FQ4" s="154"/>
      <c r="FR4" s="154"/>
      <c r="FS4" s="154"/>
      <c r="FT4" s="155"/>
      <c r="FU4" s="145" t="s">
        <v>195</v>
      </c>
      <c r="FV4" s="146"/>
      <c r="FW4" s="146"/>
      <c r="FX4" s="146"/>
      <c r="FY4" s="147"/>
      <c r="FZ4" s="141" t="s">
        <v>196</v>
      </c>
      <c r="GA4" s="142"/>
      <c r="GB4" s="142"/>
      <c r="GC4" s="142"/>
      <c r="GD4" s="142"/>
      <c r="GE4" s="143"/>
      <c r="GF4" s="151" t="s">
        <v>199</v>
      </c>
      <c r="GG4" s="152"/>
      <c r="GH4" s="152"/>
      <c r="GI4" s="152"/>
      <c r="GJ4" s="152"/>
      <c r="GK4" s="152"/>
      <c r="GL4" s="172"/>
      <c r="GM4" s="172"/>
      <c r="GN4" s="173" t="s">
        <v>204</v>
      </c>
      <c r="GO4" s="173" t="s">
        <v>203</v>
      </c>
      <c r="GP4" s="174"/>
      <c r="GQ4" s="175"/>
      <c r="GR4" s="175"/>
      <c r="GS4" s="175"/>
      <c r="GT4" s="176" t="s">
        <v>205</v>
      </c>
      <c r="GU4" s="176" t="s">
        <v>205</v>
      </c>
      <c r="GV4" s="177" t="s">
        <v>206</v>
      </c>
    </row>
    <row r="5" spans="1:882" s="202" customFormat="1" ht="66" customHeight="1" x14ac:dyDescent="0.45">
      <c r="B5" s="178" t="s">
        <v>207</v>
      </c>
      <c r="C5" s="179"/>
      <c r="D5" s="180"/>
      <c r="E5" s="181" t="s">
        <v>208</v>
      </c>
      <c r="F5" s="182" t="s">
        <v>209</v>
      </c>
      <c r="G5" s="182"/>
      <c r="H5" s="183"/>
      <c r="I5" s="184"/>
      <c r="J5" s="185"/>
      <c r="K5" s="99"/>
      <c r="L5" s="185"/>
      <c r="M5" s="98" t="s">
        <v>210</v>
      </c>
      <c r="N5" s="99" t="s">
        <v>211</v>
      </c>
      <c r="O5" s="186" t="s">
        <v>212</v>
      </c>
      <c r="P5" s="187" t="s">
        <v>213</v>
      </c>
      <c r="Q5" s="173" t="s">
        <v>214</v>
      </c>
      <c r="R5" s="188" t="s">
        <v>215</v>
      </c>
      <c r="S5" s="187" t="s">
        <v>213</v>
      </c>
      <c r="T5" s="173" t="s">
        <v>214</v>
      </c>
      <c r="U5" s="272" t="s">
        <v>215</v>
      </c>
      <c r="V5" s="273" t="s">
        <v>362</v>
      </c>
      <c r="W5" s="274" t="s">
        <v>217</v>
      </c>
      <c r="X5" s="274" t="s">
        <v>215</v>
      </c>
      <c r="Y5" s="275" t="s">
        <v>363</v>
      </c>
      <c r="Z5" s="274" t="s">
        <v>217</v>
      </c>
      <c r="AA5" s="276" t="s">
        <v>214</v>
      </c>
      <c r="AB5" s="189" t="s">
        <v>215</v>
      </c>
      <c r="AC5" s="190" t="s">
        <v>216</v>
      </c>
      <c r="AD5" s="189" t="s">
        <v>217</v>
      </c>
      <c r="AE5" s="189" t="s">
        <v>215</v>
      </c>
      <c r="AF5" s="190" t="s">
        <v>219</v>
      </c>
      <c r="AG5" s="189" t="s">
        <v>217</v>
      </c>
      <c r="AH5" s="191" t="s">
        <v>218</v>
      </c>
      <c r="AI5" s="188" t="s">
        <v>215</v>
      </c>
      <c r="AJ5" s="187" t="s">
        <v>220</v>
      </c>
      <c r="AK5" s="192" t="s">
        <v>221</v>
      </c>
      <c r="AL5" s="173" t="s">
        <v>214</v>
      </c>
      <c r="AM5" s="188" t="s">
        <v>222</v>
      </c>
      <c r="AN5" s="187" t="s">
        <v>223</v>
      </c>
      <c r="AO5" s="187" t="s">
        <v>224</v>
      </c>
      <c r="AP5" s="173" t="s">
        <v>214</v>
      </c>
      <c r="AQ5" s="189" t="s">
        <v>222</v>
      </c>
      <c r="AR5" s="186" t="s">
        <v>225</v>
      </c>
      <c r="AS5" s="186" t="s">
        <v>226</v>
      </c>
      <c r="AT5" s="186" t="s">
        <v>227</v>
      </c>
      <c r="AU5" s="186" t="s">
        <v>228</v>
      </c>
      <c r="AV5" s="186" t="s">
        <v>229</v>
      </c>
      <c r="AW5" s="186" t="s">
        <v>230</v>
      </c>
      <c r="AX5" s="186" t="s">
        <v>231</v>
      </c>
      <c r="AY5" s="189" t="s">
        <v>232</v>
      </c>
      <c r="AZ5" s="191" t="s">
        <v>214</v>
      </c>
      <c r="BA5" s="186" t="s">
        <v>233</v>
      </c>
      <c r="BB5" s="186" t="s">
        <v>234</v>
      </c>
      <c r="BC5" s="186" t="s">
        <v>234</v>
      </c>
      <c r="BD5" s="463"/>
      <c r="BE5" s="193" t="s">
        <v>235</v>
      </c>
      <c r="BF5" s="194" t="s">
        <v>236</v>
      </c>
      <c r="BG5" s="195" t="s">
        <v>237</v>
      </c>
      <c r="BH5" s="191" t="s">
        <v>238</v>
      </c>
      <c r="BI5" s="188" t="s">
        <v>215</v>
      </c>
      <c r="BJ5" s="187" t="s">
        <v>239</v>
      </c>
      <c r="BK5" s="192" t="s">
        <v>240</v>
      </c>
      <c r="BL5" s="173" t="s">
        <v>238</v>
      </c>
      <c r="BM5" s="188" t="s">
        <v>215</v>
      </c>
      <c r="BN5" s="187" t="s">
        <v>241</v>
      </c>
      <c r="BO5" s="187" t="s">
        <v>242</v>
      </c>
      <c r="BP5" s="187" t="s">
        <v>243</v>
      </c>
      <c r="BQ5" s="173" t="s">
        <v>238</v>
      </c>
      <c r="BR5" s="188" t="s">
        <v>222</v>
      </c>
      <c r="BS5" s="187" t="s">
        <v>244</v>
      </c>
      <c r="BT5" s="187" t="s">
        <v>245</v>
      </c>
      <c r="BU5" s="187" t="s">
        <v>246</v>
      </c>
      <c r="BV5" s="173" t="s">
        <v>247</v>
      </c>
      <c r="BW5" s="186" t="s">
        <v>234</v>
      </c>
      <c r="BX5" s="196" t="s">
        <v>248</v>
      </c>
      <c r="BY5" s="460" t="s">
        <v>249</v>
      </c>
      <c r="BZ5" s="461"/>
      <c r="CA5" s="461"/>
      <c r="CB5" s="461"/>
      <c r="CC5" s="461"/>
      <c r="CD5" s="462"/>
      <c r="CE5" s="460" t="s">
        <v>250</v>
      </c>
      <c r="CF5" s="461"/>
      <c r="CG5" s="461"/>
      <c r="CH5" s="461"/>
      <c r="CI5" s="461"/>
      <c r="CJ5" s="462"/>
      <c r="CK5" s="197" t="s">
        <v>251</v>
      </c>
      <c r="CL5" s="198" t="s">
        <v>252</v>
      </c>
      <c r="CM5" s="199" t="s">
        <v>253</v>
      </c>
      <c r="CN5" s="199" t="s">
        <v>254</v>
      </c>
      <c r="CO5" s="200" t="s">
        <v>347</v>
      </c>
      <c r="CP5" s="199" t="s">
        <v>255</v>
      </c>
      <c r="CQ5" s="199" t="s">
        <v>256</v>
      </c>
      <c r="CR5" s="200" t="s">
        <v>257</v>
      </c>
      <c r="CS5" s="197" t="s">
        <v>258</v>
      </c>
      <c r="CT5" s="132" t="s">
        <v>259</v>
      </c>
      <c r="CU5" s="199" t="s">
        <v>260</v>
      </c>
      <c r="CV5" s="201" t="s">
        <v>261</v>
      </c>
      <c r="CW5" s="201" t="s">
        <v>262</v>
      </c>
      <c r="CX5" s="199" t="s">
        <v>263</v>
      </c>
      <c r="CY5" s="199" t="s">
        <v>264</v>
      </c>
      <c r="CZ5" s="199" t="s">
        <v>352</v>
      </c>
      <c r="DA5" s="199" t="s">
        <v>352</v>
      </c>
      <c r="DB5" s="199" t="s">
        <v>265</v>
      </c>
      <c r="DC5" s="199" t="s">
        <v>266</v>
      </c>
      <c r="DD5" s="199" t="s">
        <v>265</v>
      </c>
      <c r="DE5" s="199" t="s">
        <v>266</v>
      </c>
      <c r="DF5" s="199" t="s">
        <v>265</v>
      </c>
      <c r="DG5" s="199" t="s">
        <v>266</v>
      </c>
      <c r="DH5" s="199" t="s">
        <v>265</v>
      </c>
      <c r="DI5" s="199" t="s">
        <v>266</v>
      </c>
      <c r="DJ5" s="199" t="s">
        <v>265</v>
      </c>
      <c r="DK5" s="199" t="s">
        <v>266</v>
      </c>
      <c r="DM5" s="182"/>
      <c r="DN5" s="186" t="s">
        <v>212</v>
      </c>
      <c r="DO5" s="186" t="s">
        <v>213</v>
      </c>
      <c r="DP5" s="186" t="s">
        <v>267</v>
      </c>
      <c r="DQ5" s="203" t="s">
        <v>268</v>
      </c>
      <c r="DR5" s="203" t="s">
        <v>269</v>
      </c>
      <c r="DS5" s="189" t="s">
        <v>215</v>
      </c>
      <c r="DT5" s="186" t="s">
        <v>213</v>
      </c>
      <c r="DU5" s="186" t="s">
        <v>270</v>
      </c>
      <c r="DV5" s="204" t="s">
        <v>268</v>
      </c>
      <c r="DW5" s="204" t="s">
        <v>269</v>
      </c>
      <c r="DX5" s="189" t="s">
        <v>215</v>
      </c>
      <c r="DY5" s="186" t="s">
        <v>213</v>
      </c>
      <c r="DZ5" s="186" t="s">
        <v>271</v>
      </c>
      <c r="EA5" s="204" t="s">
        <v>268</v>
      </c>
      <c r="EB5" s="204" t="s">
        <v>269</v>
      </c>
      <c r="EC5" s="189" t="s">
        <v>215</v>
      </c>
      <c r="ED5" s="190" t="s">
        <v>219</v>
      </c>
      <c r="EE5" s="205" t="s">
        <v>272</v>
      </c>
      <c r="EF5" s="189" t="s">
        <v>217</v>
      </c>
      <c r="EG5" s="189" t="s">
        <v>215</v>
      </c>
      <c r="EH5" s="190" t="s">
        <v>216</v>
      </c>
      <c r="EI5" s="189" t="s">
        <v>217</v>
      </c>
      <c r="EJ5" s="204" t="s">
        <v>268</v>
      </c>
      <c r="EK5" s="204" t="s">
        <v>269</v>
      </c>
      <c r="EL5" s="189" t="s">
        <v>215</v>
      </c>
      <c r="EM5" s="186" t="s">
        <v>239</v>
      </c>
      <c r="EN5" s="186" t="s">
        <v>240</v>
      </c>
      <c r="EO5" s="204" t="s">
        <v>268</v>
      </c>
      <c r="EP5" s="204" t="s">
        <v>269</v>
      </c>
      <c r="EQ5" s="189" t="s">
        <v>222</v>
      </c>
      <c r="ER5" s="186" t="s">
        <v>273</v>
      </c>
      <c r="ES5" s="186" t="s">
        <v>274</v>
      </c>
      <c r="ET5" s="204" t="s">
        <v>268</v>
      </c>
      <c r="EU5" s="204" t="s">
        <v>269</v>
      </c>
      <c r="EV5" s="189" t="s">
        <v>222</v>
      </c>
      <c r="EW5" s="186" t="s">
        <v>275</v>
      </c>
      <c r="EX5" s="186" t="s">
        <v>276</v>
      </c>
      <c r="EY5" s="186" t="s">
        <v>277</v>
      </c>
      <c r="EZ5" s="186" t="s">
        <v>278</v>
      </c>
      <c r="FA5" s="186" t="s">
        <v>279</v>
      </c>
      <c r="FB5" s="186" t="s">
        <v>280</v>
      </c>
      <c r="FC5" s="186" t="s">
        <v>281</v>
      </c>
      <c r="FD5" s="189" t="s">
        <v>232</v>
      </c>
      <c r="FE5" s="204" t="s">
        <v>268</v>
      </c>
      <c r="FF5" s="204" t="s">
        <v>269</v>
      </c>
      <c r="FG5" s="186" t="s">
        <v>233</v>
      </c>
      <c r="FH5" s="186" t="s">
        <v>234</v>
      </c>
      <c r="FI5" s="186" t="s">
        <v>234</v>
      </c>
      <c r="FJ5" s="186" t="s">
        <v>282</v>
      </c>
      <c r="FK5" s="186" t="s">
        <v>283</v>
      </c>
      <c r="FL5" s="206"/>
      <c r="FM5" s="206"/>
      <c r="FN5" s="207" t="s">
        <v>235</v>
      </c>
      <c r="FO5" s="208" t="s">
        <v>236</v>
      </c>
      <c r="FP5" s="209" t="s">
        <v>284</v>
      </c>
      <c r="FQ5" s="210" t="s">
        <v>237</v>
      </c>
      <c r="FR5" s="210" t="s">
        <v>272</v>
      </c>
      <c r="FS5" s="204" t="s">
        <v>268</v>
      </c>
      <c r="FT5" s="204" t="s">
        <v>269</v>
      </c>
      <c r="FU5" s="189" t="s">
        <v>215</v>
      </c>
      <c r="FV5" s="186" t="s">
        <v>285</v>
      </c>
      <c r="FW5" s="186" t="s">
        <v>286</v>
      </c>
      <c r="FX5" s="204" t="s">
        <v>268</v>
      </c>
      <c r="FY5" s="204" t="s">
        <v>269</v>
      </c>
      <c r="FZ5" s="189" t="s">
        <v>287</v>
      </c>
      <c r="GA5" s="186" t="s">
        <v>288</v>
      </c>
      <c r="GB5" s="186" t="s">
        <v>289</v>
      </c>
      <c r="GC5" s="186" t="s">
        <v>290</v>
      </c>
      <c r="GD5" s="204" t="s">
        <v>268</v>
      </c>
      <c r="GE5" s="204" t="s">
        <v>269</v>
      </c>
      <c r="GF5" s="189" t="s">
        <v>287</v>
      </c>
      <c r="GG5" s="186" t="s">
        <v>244</v>
      </c>
      <c r="GH5" s="186" t="s">
        <v>245</v>
      </c>
      <c r="GI5" s="186" t="s">
        <v>246</v>
      </c>
      <c r="GJ5" s="204" t="s">
        <v>268</v>
      </c>
      <c r="GK5" s="204" t="s">
        <v>269</v>
      </c>
      <c r="GL5" s="211" t="s">
        <v>234</v>
      </c>
      <c r="GM5" s="211" t="s">
        <v>282</v>
      </c>
      <c r="GN5" s="204"/>
      <c r="GO5" s="204"/>
      <c r="GP5" s="212" t="s">
        <v>291</v>
      </c>
      <c r="GQ5" s="213" t="s">
        <v>292</v>
      </c>
      <c r="GR5" s="213" t="s">
        <v>293</v>
      </c>
      <c r="GS5" s="213" t="s">
        <v>294</v>
      </c>
      <c r="GT5" s="214" t="s">
        <v>295</v>
      </c>
      <c r="GU5" s="214" t="s">
        <v>296</v>
      </c>
      <c r="GV5" s="214" t="s">
        <v>297</v>
      </c>
    </row>
    <row r="6" spans="1:882" customFormat="1" ht="15.75" hidden="1" customHeight="1" x14ac:dyDescent="0.45">
      <c r="B6" s="215" t="str">
        <f t="shared" ref="B6:B11" si="0">IF(GS6&gt;0,"支払済",IF(GP6="取下",GP6,IF(GP6="取消",GP6,"")))</f>
        <v>支払済</v>
      </c>
      <c r="C6" s="216" t="s">
        <v>298</v>
      </c>
      <c r="D6" s="217" t="s">
        <v>299</v>
      </c>
      <c r="E6" s="218" t="str">
        <f>IF(D6="登録","登録",IF(D5="登録","建売購入",""))</f>
        <v/>
      </c>
      <c r="F6" s="219"/>
      <c r="G6" s="219"/>
      <c r="H6" s="220">
        <v>43191</v>
      </c>
      <c r="I6" s="221" t="s">
        <v>300</v>
      </c>
      <c r="J6" s="222" t="s">
        <v>301</v>
      </c>
      <c r="K6" s="221"/>
      <c r="L6" s="222" t="s">
        <v>302</v>
      </c>
      <c r="M6" s="222" t="s">
        <v>303</v>
      </c>
      <c r="N6" s="221" t="s">
        <v>304</v>
      </c>
      <c r="O6" s="223">
        <v>35</v>
      </c>
      <c r="P6" s="223">
        <v>25</v>
      </c>
      <c r="Q6" s="224">
        <f>IF(P6&gt;=10,150,0)</f>
        <v>150</v>
      </c>
      <c r="R6" s="223">
        <f>IF(S6&gt;=1,1,"")</f>
        <v>1</v>
      </c>
      <c r="S6" s="223">
        <v>19</v>
      </c>
      <c r="T6" s="225">
        <f>IF(Q6=0,0,IF(S6&gt;=25,MIN(250,ROUNDDOWN(S6*10,-1)),IF(S6&gt;=20,MIN(200,ROUNDDOWN(S6*10,-1)),IF(S6&gt;=15,MIN(150,ROUNDDOWN(S6*10,-1)),MIN(100,ROUNDDOWN(S6*10,-1))))))</f>
        <v>150</v>
      </c>
      <c r="U6" s="223">
        <f>IF(V6&gt;=1,1,"")</f>
        <v>1</v>
      </c>
      <c r="V6" s="223">
        <v>7</v>
      </c>
      <c r="W6" s="223"/>
      <c r="X6" s="223"/>
      <c r="Y6" s="223"/>
      <c r="Z6" s="223"/>
      <c r="AA6" s="225">
        <f>IF(AND(Q6&gt;0,V6&gt;=1),MIN(INT(V6)*20,200),0)</f>
        <v>140</v>
      </c>
      <c r="AB6" s="223">
        <f>IF(AC6&gt;=1,1,"")</f>
        <v>1</v>
      </c>
      <c r="AC6" s="223">
        <v>1</v>
      </c>
      <c r="AD6" s="223">
        <f>IF(AC6&gt;=1,50,0)</f>
        <v>50</v>
      </c>
      <c r="AE6" s="223">
        <f>IF(AF6&gt;=1,1,"")</f>
        <v>1</v>
      </c>
      <c r="AF6" s="223">
        <v>11</v>
      </c>
      <c r="AG6" s="223">
        <f>IF(AND(Q6&gt;0,AF6&gt;=1),MIN(INT(AF6)*2,150),0)</f>
        <v>22</v>
      </c>
      <c r="AH6" s="224">
        <f>IF(OR(AG6&gt;0,AD6&gt;0),MIN(AG6+AD6,150),0)</f>
        <v>72</v>
      </c>
      <c r="AI6" s="223">
        <f>IF(OR(AJ6=1,AK6=1),1,"")</f>
        <v>1</v>
      </c>
      <c r="AJ6" s="223"/>
      <c r="AK6" s="223">
        <v>1</v>
      </c>
      <c r="AL6" s="224">
        <f>IF(AND(Q6&gt;0,AI6=1),100,0)</f>
        <v>100</v>
      </c>
      <c r="AM6" s="223">
        <f>IF(OR(AN6=1,AO6=1),1,"")</f>
        <v>1</v>
      </c>
      <c r="AN6" s="223">
        <v>1</v>
      </c>
      <c r="AO6" s="223"/>
      <c r="AP6" s="224">
        <f>IF(AND(Q6&gt;0,AI6=1,AM6=1),100,0)</f>
        <v>100</v>
      </c>
      <c r="AQ6" s="223">
        <f>IF(AY6&gt;=4,1,"")</f>
        <v>1</v>
      </c>
      <c r="AR6" s="223"/>
      <c r="AS6" s="223"/>
      <c r="AT6" s="223">
        <v>1</v>
      </c>
      <c r="AU6" s="223">
        <v>2</v>
      </c>
      <c r="AV6" s="223"/>
      <c r="AW6" s="223">
        <v>1</v>
      </c>
      <c r="AX6" s="223">
        <v>1</v>
      </c>
      <c r="AY6" s="223">
        <f>SUM(AR6:AX6)</f>
        <v>5</v>
      </c>
      <c r="AZ6" s="224">
        <f>IF(AY6&gt;=4,200,0)</f>
        <v>200</v>
      </c>
      <c r="BA6" s="226" t="s">
        <v>305</v>
      </c>
      <c r="BB6" s="226" t="s">
        <v>306</v>
      </c>
      <c r="BC6" s="226" t="s">
        <v>306</v>
      </c>
      <c r="BD6" s="224">
        <f>IF(OR(D6="新築",D6="登録"),MIN(1000,Q6+T6+AA6+AH6+AL6+AP6+AZ6),0)</f>
        <v>912</v>
      </c>
      <c r="BE6" s="226"/>
      <c r="BF6" s="227"/>
      <c r="BG6" s="226"/>
      <c r="BH6" s="224">
        <f>MIN(ROUNDDOWN(BF6,1)*20+INT(BG6)*2,250)</f>
        <v>0</v>
      </c>
      <c r="BI6" s="223" t="str">
        <f>IF(OR(BJ6=1,BK6=1),1,"")</f>
        <v/>
      </c>
      <c r="BJ6" s="226"/>
      <c r="BK6" s="226"/>
      <c r="BL6" s="224" t="e">
        <f>IF(AND(BH6&gt;0,BI6=1,#REF!=""),100,0)</f>
        <v>#REF!</v>
      </c>
      <c r="BM6" s="223" t="str">
        <f>IF(OR(BN6=1,BO6=1,BP6=1),1,"")</f>
        <v/>
      </c>
      <c r="BN6" s="226"/>
      <c r="BO6" s="226"/>
      <c r="BP6" s="226"/>
      <c r="BQ6" s="224">
        <f>IF(AND(BH6&gt;0,BM6=1),100,IF(AND(BH6&gt;0,BP6=1),100,0))</f>
        <v>0</v>
      </c>
      <c r="BR6" s="223" t="str">
        <f>IF(OR(AND(BS6&gt;=7,BT6&gt;=7,BS6+BT6&gt;=14),AND(BS6&gt;=7,BU6&gt;=3,BS6+BU6&gt;=10),AND(BT6&gt;=7,BU6&gt;=3,BT6+BU6&gt;=10)),1,"")</f>
        <v/>
      </c>
      <c r="BS6" s="226"/>
      <c r="BT6" s="226"/>
      <c r="BU6" s="226"/>
      <c r="BV6" s="224">
        <f>IF(AND(BR6=1,BH6&gt;0),MIN(150,ROUNDDOWN(BS6*11+BT6*13+BU6*19,0)),0)</f>
        <v>0</v>
      </c>
      <c r="BW6" s="226"/>
      <c r="BX6" s="224">
        <f>IF(D6="改修",MIN(500,BH6+BL6+BQ6+BV6,INT(CQ6*10/2)),0)</f>
        <v>0</v>
      </c>
      <c r="BY6" s="228"/>
      <c r="BZ6" s="229" t="s">
        <v>87</v>
      </c>
      <c r="CA6" s="230"/>
      <c r="CB6" s="229" t="s">
        <v>155</v>
      </c>
      <c r="CC6" s="230"/>
      <c r="CD6" s="231" t="s">
        <v>85</v>
      </c>
      <c r="CE6" s="228"/>
      <c r="CF6" s="229" t="s">
        <v>87</v>
      </c>
      <c r="CG6" s="230"/>
      <c r="CH6" s="229" t="s">
        <v>155</v>
      </c>
      <c r="CI6" s="230"/>
      <c r="CJ6" s="231" t="s">
        <v>85</v>
      </c>
      <c r="CK6" s="220">
        <v>43200</v>
      </c>
      <c r="CL6" s="232">
        <f>BD6+BX6</f>
        <v>912</v>
      </c>
      <c r="CM6" s="221" t="s">
        <v>307</v>
      </c>
      <c r="CN6" s="221" t="s">
        <v>308</v>
      </c>
      <c r="CO6" s="217" t="s">
        <v>309</v>
      </c>
      <c r="CP6" s="221">
        <v>120</v>
      </c>
      <c r="CQ6" s="233">
        <v>2500</v>
      </c>
      <c r="CR6" s="222" t="s">
        <v>310</v>
      </c>
      <c r="CS6" s="220"/>
      <c r="CT6" s="219"/>
      <c r="CU6" s="219"/>
      <c r="CV6" s="220"/>
      <c r="CW6" s="220"/>
      <c r="CX6" s="219"/>
      <c r="CY6" s="219"/>
      <c r="CZ6" s="219"/>
      <c r="DA6" s="219"/>
      <c r="DB6" s="219"/>
      <c r="DC6" s="219"/>
      <c r="DD6" s="219"/>
      <c r="DE6" s="219"/>
      <c r="DF6" s="219"/>
      <c r="DG6" s="219"/>
      <c r="DH6" s="219"/>
      <c r="DI6" s="219"/>
      <c r="DJ6" s="219"/>
      <c r="DK6" s="219"/>
      <c r="DM6" s="219"/>
      <c r="DN6" s="226">
        <v>30</v>
      </c>
      <c r="DO6" s="226">
        <v>25</v>
      </c>
      <c r="DP6" s="226" t="s">
        <v>311</v>
      </c>
      <c r="DQ6" s="224">
        <f t="shared" ref="DQ6:DQ11" si="1">IF(DO6&gt;=10,150,0)</f>
        <v>150</v>
      </c>
      <c r="DR6" s="224">
        <f t="shared" ref="DR6:DR11" si="2">MIN(Q6,DQ6)</f>
        <v>150</v>
      </c>
      <c r="DS6" s="223">
        <f>IF(DT6&gt;=1,1,"")</f>
        <v>1</v>
      </c>
      <c r="DT6" s="226">
        <v>18</v>
      </c>
      <c r="DU6" s="226" t="s">
        <v>311</v>
      </c>
      <c r="DV6" s="225">
        <f>IF(DQ6=0,0,IF(DT6&gt;=25,MIN(250,ROUNDDOWN(DT6*10,-1)),IF(DT6&gt;=20,MIN(200,ROUNDDOWN(DT6*10,-1)),IF(DT6&gt;=15,MIN(150,ROUNDDOWN(DT6*10,-1)),MIN(100,ROUNDDOWN(DT6*10,-1))))))</f>
        <v>150</v>
      </c>
      <c r="DW6" s="224">
        <f t="shared" ref="DW6:DW11" si="3">MIN(T6,DV6)</f>
        <v>150</v>
      </c>
      <c r="DX6" s="223">
        <f>IF(DY6&gt;=1,1,"")</f>
        <v>1</v>
      </c>
      <c r="DY6" s="226">
        <v>10</v>
      </c>
      <c r="DZ6" s="226" t="s">
        <v>312</v>
      </c>
      <c r="EA6" s="225">
        <f>IF(AND(DQ6&gt;0,DY6&gt;=1),MIN(INT(DY6)*20,200),0)</f>
        <v>200</v>
      </c>
      <c r="EB6" s="224">
        <f t="shared" ref="EB6:EB11" si="4">MIN(AA6,EA6)</f>
        <v>140</v>
      </c>
      <c r="EC6" s="223">
        <f>IF(ED6&gt;=1,1,"")</f>
        <v>1</v>
      </c>
      <c r="ED6" s="226">
        <v>15</v>
      </c>
      <c r="EE6" s="226" t="s">
        <v>313</v>
      </c>
      <c r="EF6" s="223">
        <f>IF(AND(DQ6&gt;0,ED6&gt;=1),MIN(INT(ED6)*2,150),0)</f>
        <v>30</v>
      </c>
      <c r="EG6" s="223" t="str">
        <f>IF(EH6&gt;=1,1,"")</f>
        <v/>
      </c>
      <c r="EH6" s="226"/>
      <c r="EI6" s="223">
        <f t="shared" ref="EI6:EI11" si="5">IF(AND(EH6&gt;=1,DQ6&gt;=1),50,0)</f>
        <v>0</v>
      </c>
      <c r="EJ6" s="224">
        <f t="shared" ref="EJ6:EJ11" si="6">IF(OR(EF6&gt;0,EI6&gt;0),MIN(EF6+EI6,150),0)</f>
        <v>30</v>
      </c>
      <c r="EK6" s="224">
        <f t="shared" ref="EK6:EK11" si="7">MIN(AH6,EJ6)</f>
        <v>30</v>
      </c>
      <c r="EL6" s="223">
        <f>IF(OR(EM6=1,EN6=1),1,"")</f>
        <v>1</v>
      </c>
      <c r="EM6" s="226">
        <v>1</v>
      </c>
      <c r="EN6" s="226"/>
      <c r="EO6" s="224" t="e">
        <f>IF(AND(DQ6&gt;0,EL6=1,#REF!=""),100,0)</f>
        <v>#REF!</v>
      </c>
      <c r="EP6" s="224" t="e">
        <f t="shared" ref="EP6:EP11" si="8">MIN(AL6,EO6)</f>
        <v>#REF!</v>
      </c>
      <c r="EQ6" s="223">
        <f>IF(OR(ER6=1,ES6=1),1,"")</f>
        <v>1</v>
      </c>
      <c r="ER6" s="226">
        <v>1</v>
      </c>
      <c r="ES6" s="226"/>
      <c r="ET6" s="224">
        <f>IF(AND(DQ6&gt;0,EL6=1,EQ6=1),100,0)</f>
        <v>100</v>
      </c>
      <c r="EU6" s="224">
        <f t="shared" ref="EU6:EU11" si="9">MIN(AP6,ET6)</f>
        <v>100</v>
      </c>
      <c r="EV6" s="223">
        <f>IF(FD6&gt;=4,1,"")</f>
        <v>1</v>
      </c>
      <c r="EW6" s="226"/>
      <c r="EX6" s="226"/>
      <c r="EY6" s="226"/>
      <c r="EZ6" s="226">
        <v>2</v>
      </c>
      <c r="FA6" s="226"/>
      <c r="FB6" s="226">
        <v>1</v>
      </c>
      <c r="FC6" s="226">
        <v>1</v>
      </c>
      <c r="FD6" s="223">
        <f>SUM(EW6:FC6)</f>
        <v>4</v>
      </c>
      <c r="FE6" s="224">
        <f>IF(FD6&gt;=4,200,0)</f>
        <v>200</v>
      </c>
      <c r="FF6" s="224">
        <f t="shared" ref="FF6:FF11" si="10">MIN(AZ6,FE6)</f>
        <v>200</v>
      </c>
      <c r="FG6" s="226" t="s">
        <v>305</v>
      </c>
      <c r="FH6" s="226"/>
      <c r="FI6" s="226"/>
      <c r="FJ6" s="226"/>
      <c r="FK6" s="226" t="s">
        <v>314</v>
      </c>
      <c r="FL6" s="224" t="e">
        <f t="shared" ref="FL6:FL11" si="11">IF(D6="新築",MIN(1500,CL6,MIN(DR6+DW6+EB6+EK6+EP6+EU6+FF6,1000)),0)</f>
        <v>#REF!</v>
      </c>
      <c r="FM6" s="224" t="e">
        <f t="shared" ref="FM6:FM11" si="12">BD6-FL6</f>
        <v>#REF!</v>
      </c>
      <c r="FN6" s="226"/>
      <c r="FO6" s="234"/>
      <c r="FP6" s="234"/>
      <c r="FQ6" s="226"/>
      <c r="FR6" s="226"/>
      <c r="FS6" s="224">
        <f>MIN(ROUNDDOWN(FO6,1)*20+INT(FQ6)*2,250)</f>
        <v>0</v>
      </c>
      <c r="FT6" s="224">
        <f t="shared" ref="FT6:FT11" si="13">MIN(BH6,FS6)</f>
        <v>0</v>
      </c>
      <c r="FU6" s="223" t="str">
        <f>IF(OR(FV6=1,FW6=1),1,"")</f>
        <v/>
      </c>
      <c r="FV6" s="226"/>
      <c r="FW6" s="226"/>
      <c r="FX6" s="224" t="e">
        <f>IF(AND(FS6&gt;0,FU6=1,#REF!=""),100,0)</f>
        <v>#REF!</v>
      </c>
      <c r="FY6" s="224" t="e">
        <f t="shared" ref="FY6:FY11" si="14">MIN(BL6,FX6)</f>
        <v>#REF!</v>
      </c>
      <c r="FZ6" s="223" t="str">
        <f>IF(OR(GA6=1,GB6=1,GC6=1),1,"")</f>
        <v/>
      </c>
      <c r="GA6" s="226"/>
      <c r="GB6" s="226"/>
      <c r="GC6" s="226"/>
      <c r="GD6" s="224">
        <f>IF(AND(FS6&gt;0,FZ6=1),100,IF(AND(FS6&gt;0,GC6=1),100,0))</f>
        <v>0</v>
      </c>
      <c r="GE6" s="224">
        <f t="shared" ref="GE6:GE11" si="15">MIN(BQ6,GD6)</f>
        <v>0</v>
      </c>
      <c r="GF6" s="223" t="str">
        <f>IF(OR(AND(GG6&gt;=7,GH6&gt;=7,GG6+GH6&gt;=14),AND(GG6&gt;=7,GI6&gt;=3,GG6+GI6&gt;=10),AND(GH6&gt;=7,GI6&gt;=3,GH6+GI6&gt;=10)),1,"")</f>
        <v/>
      </c>
      <c r="GG6" s="226"/>
      <c r="GH6" s="226"/>
      <c r="GI6" s="226"/>
      <c r="GJ6" s="224">
        <f>IF(AND(GF6=1,FS6&gt;0),MIN(150,ROUNDDOWN(GG6*11+GH6*13+GI6*19,0)),0)</f>
        <v>0</v>
      </c>
      <c r="GK6" s="224">
        <f t="shared" ref="GK6:GK11" si="16">MIN(BV6,GJ6)</f>
        <v>0</v>
      </c>
      <c r="GL6" s="226"/>
      <c r="GM6" s="226"/>
      <c r="GN6" s="224">
        <f t="shared" ref="GN6:GN11" si="17">IF(D6="改修",MIN(500,FT6+FY6+GE6+GK6,INT(CQ6*10/2)),0)</f>
        <v>0</v>
      </c>
      <c r="GO6" s="224">
        <f t="shared" ref="GO6:GO11" si="18">BX6-GN6</f>
        <v>0</v>
      </c>
      <c r="GP6" s="219" t="s">
        <v>315</v>
      </c>
      <c r="GQ6" s="220">
        <v>43374</v>
      </c>
      <c r="GR6" s="220">
        <v>43378</v>
      </c>
      <c r="GS6" s="220">
        <v>43391</v>
      </c>
      <c r="GT6" s="232">
        <f t="shared" ref="GT6:GT11" si="19">IF(D6="新築",BD6,IF(D6="改修",BX6,0))</f>
        <v>912</v>
      </c>
      <c r="GU6" s="232" t="e">
        <f t="shared" ref="GU6:GU11" si="20">IF(D6="新築",FL6,IF(D6="改修",GN6,0))</f>
        <v>#REF!</v>
      </c>
      <c r="GV6" s="232" t="e">
        <f>GT6-GU6</f>
        <v>#REF!</v>
      </c>
    </row>
    <row r="7" spans="1:882" s="235" customFormat="1" hidden="1" x14ac:dyDescent="0.45">
      <c r="B7" s="215" t="str">
        <f t="shared" si="0"/>
        <v>支払済</v>
      </c>
      <c r="C7" s="216" t="s">
        <v>316</v>
      </c>
      <c r="D7" s="217" t="s">
        <v>317</v>
      </c>
      <c r="E7" s="218" t="str">
        <f t="shared" ref="E7:E11" si="21">IF(D7="登録","登録",IF(D6="登録","建売購入",""))</f>
        <v/>
      </c>
      <c r="F7" s="219"/>
      <c r="G7" s="219"/>
      <c r="H7" s="220">
        <v>43191</v>
      </c>
      <c r="I7" s="221" t="s">
        <v>318</v>
      </c>
      <c r="J7" s="222" t="s">
        <v>319</v>
      </c>
      <c r="K7" s="221"/>
      <c r="L7" s="222" t="s">
        <v>320</v>
      </c>
      <c r="M7" s="222" t="s">
        <v>130</v>
      </c>
      <c r="N7" s="221" t="s">
        <v>321</v>
      </c>
      <c r="O7" s="226"/>
      <c r="P7" s="226"/>
      <c r="Q7" s="224">
        <f>IF(P7&gt;=10,150,0)</f>
        <v>0</v>
      </c>
      <c r="R7" s="223" t="str">
        <f>IF(S7&gt;=1,1,"")</f>
        <v/>
      </c>
      <c r="S7" s="226"/>
      <c r="T7" s="225">
        <f>IF(Q7=0,0,IF(S7&gt;=25,MIN(250,ROUNDDOWN(S7*10,-1)),IF(S7&gt;=20,MIN(200,ROUNDDOWN(S7*10,-1)),IF(S7&gt;=15,MIN(150,ROUNDDOWN(S7*10,-1)),MIN(100,ROUNDDOWN(S7*10,-1))))))</f>
        <v>0</v>
      </c>
      <c r="U7" s="223" t="str">
        <f>IF(V7&gt;=1,1,"")</f>
        <v/>
      </c>
      <c r="V7" s="226"/>
      <c r="W7" s="226"/>
      <c r="X7" s="226"/>
      <c r="Y7" s="226"/>
      <c r="Z7" s="226"/>
      <c r="AA7" s="225">
        <f>IF(AND(Q7&gt;0,V7&gt;=1),MIN(INT(V7)*20,200),0)</f>
        <v>0</v>
      </c>
      <c r="AB7" s="223" t="str">
        <f>IF(AC7&gt;=1,1,"")</f>
        <v/>
      </c>
      <c r="AC7" s="226"/>
      <c r="AD7" s="223">
        <f>IF(AC7&gt;=1,50,0)</f>
        <v>0</v>
      </c>
      <c r="AE7" s="223" t="str">
        <f>IF(AF7&gt;=1,1,"")</f>
        <v/>
      </c>
      <c r="AF7" s="226"/>
      <c r="AG7" s="223">
        <f>IF(AND(Q7&gt;0,AF7&gt;=1),MIN(INT(AF7)*2,150),0)</f>
        <v>0</v>
      </c>
      <c r="AH7" s="224">
        <f>IF(OR(AG7&gt;0,AD7&gt;0),MIN(AG7+AD7,150),0)</f>
        <v>0</v>
      </c>
      <c r="AI7" s="223" t="str">
        <f>IF(OR(AJ7=1,AK7=1),1,"")</f>
        <v/>
      </c>
      <c r="AJ7" s="226"/>
      <c r="AK7" s="226"/>
      <c r="AL7" s="224">
        <f>IF(AND(Q7&gt;0,AI7=1,),100,0)</f>
        <v>0</v>
      </c>
      <c r="AM7" s="223" t="str">
        <f>IF(OR(AN7=1,AO7=1),1,"")</f>
        <v/>
      </c>
      <c r="AN7" s="226"/>
      <c r="AO7" s="226"/>
      <c r="AP7" s="224">
        <f>IF(AND(Q7&gt;0,AI7=1,AM7=1),100,0)</f>
        <v>0</v>
      </c>
      <c r="AQ7" s="223" t="str">
        <f>IF(AY7&gt;=4,1,"")</f>
        <v/>
      </c>
      <c r="AR7" s="226"/>
      <c r="AS7" s="226"/>
      <c r="AT7" s="226"/>
      <c r="AU7" s="226"/>
      <c r="AV7" s="226"/>
      <c r="AW7" s="226"/>
      <c r="AX7" s="226"/>
      <c r="AY7" s="223">
        <f>SUM(AR7:AX7)</f>
        <v>0</v>
      </c>
      <c r="AZ7" s="224">
        <f>IF(AY7&gt;=4,200,0)</f>
        <v>0</v>
      </c>
      <c r="BA7" s="226"/>
      <c r="BB7" s="226"/>
      <c r="BC7" s="226"/>
      <c r="BD7" s="224">
        <f>IF(OR(D7="新築",D7="登録"),MIN(1000,Q7+T7+AA7+AH7+AL7+AP7+AZ7),0)</f>
        <v>0</v>
      </c>
      <c r="BE7" s="226">
        <v>5</v>
      </c>
      <c r="BF7" s="227">
        <v>3</v>
      </c>
      <c r="BG7" s="226">
        <v>10</v>
      </c>
      <c r="BH7" s="224">
        <f>MIN(ROUNDDOWN(BF7,1)*20+INT(BG7)*2,250)</f>
        <v>80</v>
      </c>
      <c r="BI7" s="223">
        <f>IF(OR(BJ7=1,BK7=1),1,"")</f>
        <v>1</v>
      </c>
      <c r="BJ7" s="226">
        <v>1</v>
      </c>
      <c r="BK7" s="226"/>
      <c r="BL7" s="224" t="e">
        <f>IF(AND(BH7&gt;0,BI7=1,#REF!=""),100,0)</f>
        <v>#REF!</v>
      </c>
      <c r="BM7" s="223" t="str">
        <f>IF(OR(BN7=1,BO7=1,BP7=1),1,"")</f>
        <v/>
      </c>
      <c r="BN7" s="226"/>
      <c r="BO7" s="226"/>
      <c r="BP7" s="226"/>
      <c r="BQ7" s="224">
        <f>IF(AND(BH7&gt;0,BM7=1),100,IF(AND(BH7&gt;0,BP7=1),100,0))</f>
        <v>0</v>
      </c>
      <c r="BR7" s="223">
        <f>IF(OR(AND(BS7&gt;=7,BT7&gt;=7,BS7+BT7&gt;=14),AND(BS7&gt;=7,BU7&gt;=3,BS7+BU7&gt;=10),AND(BT7&gt;=7,BU7&gt;=3,BT7+BU7&gt;=10)),1,"")</f>
        <v>1</v>
      </c>
      <c r="BS7" s="226">
        <v>7</v>
      </c>
      <c r="BT7" s="226"/>
      <c r="BU7" s="226">
        <v>3</v>
      </c>
      <c r="BV7" s="224">
        <f>IF(AND(BR7=1,BH7&gt;0),MIN(150,ROUNDDOWN(BS7*11+BT7*13+BU7*19,0)),0)</f>
        <v>134</v>
      </c>
      <c r="BW7" s="226"/>
      <c r="BX7" s="224" t="e">
        <f>IF(D7="改修",MIN(500,BH7+BL7+BQ7+BV7,INT(CQ7*10/2)),0)</f>
        <v>#REF!</v>
      </c>
      <c r="BY7" s="228"/>
      <c r="BZ7" s="229" t="s">
        <v>87</v>
      </c>
      <c r="CA7" s="230"/>
      <c r="CB7" s="229" t="s">
        <v>155</v>
      </c>
      <c r="CC7" s="230"/>
      <c r="CD7" s="231" t="s">
        <v>85</v>
      </c>
      <c r="CE7" s="228"/>
      <c r="CF7" s="229" t="s">
        <v>87</v>
      </c>
      <c r="CG7" s="230"/>
      <c r="CH7" s="229" t="s">
        <v>155</v>
      </c>
      <c r="CI7" s="230"/>
      <c r="CJ7" s="231" t="s">
        <v>85</v>
      </c>
      <c r="CK7" s="220">
        <v>43205</v>
      </c>
      <c r="CL7" s="232" t="e">
        <f>BD7+BX7</f>
        <v>#REF!</v>
      </c>
      <c r="CM7" s="221" t="s">
        <v>307</v>
      </c>
      <c r="CN7" s="221" t="s">
        <v>308</v>
      </c>
      <c r="CO7" s="217" t="s">
        <v>322</v>
      </c>
      <c r="CP7" s="221">
        <v>200</v>
      </c>
      <c r="CQ7" s="233">
        <v>300</v>
      </c>
      <c r="CR7" s="222" t="s">
        <v>323</v>
      </c>
      <c r="CS7" s="220"/>
      <c r="CT7" s="219"/>
      <c r="CU7" s="219"/>
      <c r="CV7" s="220"/>
      <c r="CW7" s="220"/>
      <c r="CX7" s="219"/>
      <c r="CY7" s="219"/>
      <c r="CZ7" s="219"/>
      <c r="DA7" s="219"/>
      <c r="DB7" s="219"/>
      <c r="DC7" s="219"/>
      <c r="DD7" s="219"/>
      <c r="DE7" s="219"/>
      <c r="DF7" s="219"/>
      <c r="DG7" s="219"/>
      <c r="DH7" s="219"/>
      <c r="DI7" s="219"/>
      <c r="DJ7" s="219"/>
      <c r="DK7" s="219"/>
      <c r="DL7"/>
      <c r="DM7" s="219"/>
      <c r="DN7" s="226"/>
      <c r="DO7" s="226"/>
      <c r="DP7" s="226"/>
      <c r="DQ7" s="224">
        <f t="shared" si="1"/>
        <v>0</v>
      </c>
      <c r="DR7" s="224">
        <f t="shared" si="2"/>
        <v>0</v>
      </c>
      <c r="DS7" s="223" t="str">
        <f t="shared" ref="DS7:DS11" si="22">IF(DT7&gt;=1,1,"")</f>
        <v/>
      </c>
      <c r="DT7" s="226"/>
      <c r="DU7" s="226"/>
      <c r="DV7" s="225">
        <f t="shared" ref="DV7:DV11" si="23">IF(DQ7=0,0,IF(DT7&gt;=25,MIN(250,ROUNDDOWN(DT7*10,-1)),IF(DT7&gt;=20,MIN(200,ROUNDDOWN(DT7*10,-1)),IF(DT7&gt;=15,MIN(150,ROUNDDOWN(DT7*10,-1)),MIN(100,ROUNDDOWN(DT7*10,-1))))))</f>
        <v>0</v>
      </c>
      <c r="DW7" s="224">
        <f t="shared" si="3"/>
        <v>0</v>
      </c>
      <c r="DX7" s="223" t="str">
        <f t="shared" ref="DX7:DX11" si="24">IF(DY7&gt;=1,1,"")</f>
        <v/>
      </c>
      <c r="DY7" s="226"/>
      <c r="DZ7" s="226"/>
      <c r="EA7" s="225">
        <f t="shared" ref="EA7:EA11" si="25">IF(AND(DQ7&gt;0,DY7&gt;=1),MIN(INT(DY7)*20,200),0)</f>
        <v>0</v>
      </c>
      <c r="EB7" s="224">
        <f t="shared" si="4"/>
        <v>0</v>
      </c>
      <c r="EC7" s="223" t="str">
        <f t="shared" ref="EC7:EC11" si="26">IF(ED7&gt;=1,1,"")</f>
        <v/>
      </c>
      <c r="ED7" s="226"/>
      <c r="EE7" s="226"/>
      <c r="EF7" s="223">
        <f t="shared" ref="EF7:EF11" si="27">IF(AND(DQ7&gt;0,ED7&gt;=1),MIN(INT(ED7)*2,150),0)</f>
        <v>0</v>
      </c>
      <c r="EG7" s="223" t="str">
        <f t="shared" ref="EG7:EG11" si="28">IF(EH7&gt;=1,1,"")</f>
        <v/>
      </c>
      <c r="EH7" s="226"/>
      <c r="EI7" s="223">
        <f t="shared" si="5"/>
        <v>0</v>
      </c>
      <c r="EJ7" s="224">
        <f t="shared" si="6"/>
        <v>0</v>
      </c>
      <c r="EK7" s="224">
        <f t="shared" si="7"/>
        <v>0</v>
      </c>
      <c r="EL7" s="223" t="str">
        <f t="shared" ref="EL7:EL11" si="29">IF(OR(EM7=1,EN7=1),1,"")</f>
        <v/>
      </c>
      <c r="EM7" s="226"/>
      <c r="EN7" s="226"/>
      <c r="EO7" s="224" t="e">
        <f>IF(AND(DQ7&gt;0,EL7=1,#REF!=""),100,0)</f>
        <v>#REF!</v>
      </c>
      <c r="EP7" s="224" t="e">
        <f t="shared" si="8"/>
        <v>#REF!</v>
      </c>
      <c r="EQ7" s="223" t="str">
        <f t="shared" ref="EQ7:EQ11" si="30">IF(OR(ER7=1,ES7=1),1,"")</f>
        <v/>
      </c>
      <c r="ER7" s="226"/>
      <c r="ES7" s="226"/>
      <c r="ET7" s="224">
        <f t="shared" ref="ET7:ET11" si="31">IF(AND(DQ7&gt;0,EL7=1,EQ7=1),100,0)</f>
        <v>0</v>
      </c>
      <c r="EU7" s="224">
        <f t="shared" si="9"/>
        <v>0</v>
      </c>
      <c r="EV7" s="223" t="str">
        <f t="shared" ref="EV7:EV11" si="32">IF(FD7&gt;=4,1,"")</f>
        <v/>
      </c>
      <c r="EW7" s="226"/>
      <c r="EX7" s="226"/>
      <c r="EY7" s="226"/>
      <c r="EZ7" s="226"/>
      <c r="FA7" s="226"/>
      <c r="FB7" s="226"/>
      <c r="FC7" s="226"/>
      <c r="FD7" s="223">
        <f t="shared" ref="FD7:FD11" si="33">SUM(EW7:FC7)</f>
        <v>0</v>
      </c>
      <c r="FE7" s="224">
        <f t="shared" ref="FE7:FE11" si="34">IF(FD7&gt;=4,200,0)</f>
        <v>0</v>
      </c>
      <c r="FF7" s="224">
        <f t="shared" si="10"/>
        <v>0</v>
      </c>
      <c r="FG7" s="226"/>
      <c r="FH7" s="226"/>
      <c r="FI7" s="226"/>
      <c r="FJ7" s="226"/>
      <c r="FK7" s="226"/>
      <c r="FL7" s="224">
        <f t="shared" si="11"/>
        <v>0</v>
      </c>
      <c r="FM7" s="224">
        <f t="shared" si="12"/>
        <v>0</v>
      </c>
      <c r="FN7" s="226">
        <v>5</v>
      </c>
      <c r="FO7" s="234">
        <v>3</v>
      </c>
      <c r="FP7" s="234" t="s">
        <v>324</v>
      </c>
      <c r="FQ7" s="226">
        <v>8</v>
      </c>
      <c r="FR7" s="226" t="s">
        <v>325</v>
      </c>
      <c r="FS7" s="224">
        <f t="shared" ref="FS7:FS11" si="35">MIN(ROUNDDOWN(FO7,1)*20+INT(FQ7)*2,250)</f>
        <v>76</v>
      </c>
      <c r="FT7" s="224">
        <f t="shared" si="13"/>
        <v>76</v>
      </c>
      <c r="FU7" s="223">
        <f t="shared" ref="FU7:FU11" si="36">IF(OR(FV7=1,FW7=1),1,"")</f>
        <v>1</v>
      </c>
      <c r="FV7" s="226">
        <v>1</v>
      </c>
      <c r="FW7" s="226"/>
      <c r="FX7" s="224" t="e">
        <f>IF(AND(FS7&gt;0,FU7=1,#REF!=""),100,0)</f>
        <v>#REF!</v>
      </c>
      <c r="FY7" s="224" t="e">
        <f t="shared" si="14"/>
        <v>#REF!</v>
      </c>
      <c r="FZ7" s="223" t="str">
        <f t="shared" ref="FZ7:FZ11" si="37">IF(OR(GA7=1,GB7=1,GC7=1),1,"")</f>
        <v/>
      </c>
      <c r="GA7" s="226"/>
      <c r="GB7" s="226"/>
      <c r="GC7" s="226"/>
      <c r="GD7" s="224">
        <f t="shared" ref="GD7:GD11" si="38">IF(AND(FS7&gt;0,FZ7=1),100,IF(AND(FS7&gt;0,GC7=1),100,0))</f>
        <v>0</v>
      </c>
      <c r="GE7" s="224">
        <f t="shared" si="15"/>
        <v>0</v>
      </c>
      <c r="GF7" s="223">
        <f t="shared" ref="GF7:GF11" si="39">IF(OR(AND(GG7&gt;=7,GH7&gt;=7,GG7+GH7&gt;=14),AND(GG7&gt;=7,GI7&gt;=3,GG7+GI7&gt;=10),AND(GH7&gt;=7,GI7&gt;=3,GH7+GI7&gt;=10)),1,"")</f>
        <v>1</v>
      </c>
      <c r="GG7" s="226">
        <v>7</v>
      </c>
      <c r="GH7" s="226"/>
      <c r="GI7" s="226">
        <v>3</v>
      </c>
      <c r="GJ7" s="224">
        <f t="shared" ref="GJ7:GJ11" si="40">IF(AND(GF7=1,FS7&gt;0),MIN(150,ROUNDDOWN(GG7*11+GH7*13+GI7*19,0)),0)</f>
        <v>134</v>
      </c>
      <c r="GK7" s="224">
        <f t="shared" si="16"/>
        <v>134</v>
      </c>
      <c r="GL7" s="226"/>
      <c r="GM7" s="226" t="s">
        <v>326</v>
      </c>
      <c r="GN7" s="224" t="e">
        <f t="shared" si="17"/>
        <v>#REF!</v>
      </c>
      <c r="GO7" s="224" t="e">
        <f t="shared" si="18"/>
        <v>#REF!</v>
      </c>
      <c r="GP7" s="219" t="s">
        <v>315</v>
      </c>
      <c r="GQ7" s="220">
        <v>43332</v>
      </c>
      <c r="GR7" s="220">
        <v>43343</v>
      </c>
      <c r="GS7" s="220">
        <v>43358</v>
      </c>
      <c r="GT7" s="232" t="e">
        <f t="shared" si="19"/>
        <v>#REF!</v>
      </c>
      <c r="GU7" s="232" t="e">
        <f t="shared" si="20"/>
        <v>#REF!</v>
      </c>
      <c r="GV7" s="232" t="e">
        <f t="shared" ref="GV7:GV11" si="41">GT7-GU7</f>
        <v>#REF!</v>
      </c>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c r="NS7" s="85"/>
      <c r="NT7" s="85"/>
      <c r="NU7" s="85"/>
      <c r="NV7" s="85"/>
      <c r="NW7" s="85"/>
      <c r="NX7" s="85"/>
      <c r="NY7" s="85"/>
      <c r="NZ7" s="85"/>
      <c r="OA7" s="85"/>
      <c r="OB7" s="85"/>
      <c r="OC7" s="85"/>
      <c r="OD7" s="85"/>
      <c r="OE7" s="85"/>
      <c r="OF7" s="85"/>
      <c r="OG7" s="85"/>
      <c r="OH7" s="85"/>
      <c r="OI7" s="85"/>
      <c r="OJ7" s="85"/>
      <c r="OK7" s="85"/>
      <c r="OL7" s="85"/>
      <c r="OM7" s="85"/>
      <c r="ON7" s="85"/>
      <c r="OO7" s="85"/>
      <c r="OP7" s="85"/>
      <c r="OQ7" s="85"/>
      <c r="OR7" s="85"/>
      <c r="OS7" s="85"/>
      <c r="OT7" s="85"/>
      <c r="OU7" s="85"/>
      <c r="OV7" s="85"/>
      <c r="OW7" s="85"/>
      <c r="OX7" s="85"/>
      <c r="OY7" s="85"/>
      <c r="OZ7" s="85"/>
      <c r="PA7" s="85"/>
      <c r="PB7" s="85"/>
      <c r="PC7" s="85"/>
      <c r="PD7" s="85"/>
      <c r="PE7" s="85"/>
      <c r="PF7" s="85"/>
      <c r="PG7" s="85"/>
      <c r="PH7" s="85"/>
      <c r="PI7" s="85"/>
      <c r="PJ7" s="85"/>
      <c r="PK7" s="85"/>
      <c r="PL7" s="85"/>
      <c r="PM7" s="85"/>
      <c r="PN7" s="85"/>
      <c r="PO7" s="85"/>
      <c r="PP7" s="85"/>
      <c r="PQ7" s="85"/>
      <c r="PR7" s="85"/>
      <c r="PS7" s="85"/>
      <c r="PT7" s="85"/>
      <c r="PU7" s="85"/>
      <c r="PV7" s="85"/>
      <c r="PW7" s="85"/>
      <c r="PX7" s="85"/>
      <c r="PY7" s="85"/>
      <c r="PZ7" s="85"/>
      <c r="QA7" s="85"/>
      <c r="QB7" s="85"/>
      <c r="QC7" s="85"/>
      <c r="QD7" s="85"/>
      <c r="QE7" s="85"/>
      <c r="QF7" s="85"/>
      <c r="QG7" s="85"/>
      <c r="QH7" s="85"/>
      <c r="QI7" s="85"/>
      <c r="QJ7" s="85"/>
      <c r="QK7" s="85"/>
      <c r="QL7" s="85"/>
      <c r="QM7" s="85"/>
      <c r="QN7" s="85"/>
      <c r="QO7" s="85"/>
      <c r="QP7" s="85"/>
      <c r="QQ7" s="85"/>
      <c r="QR7" s="85"/>
      <c r="QS7" s="85"/>
      <c r="QT7" s="85"/>
      <c r="QU7" s="85"/>
      <c r="QV7" s="85"/>
      <c r="QW7" s="85"/>
      <c r="QX7" s="85"/>
      <c r="QY7" s="85"/>
      <c r="QZ7" s="85"/>
      <c r="RA7" s="85"/>
      <c r="RB7" s="85"/>
      <c r="RC7" s="85"/>
      <c r="RD7" s="85"/>
      <c r="RE7" s="85"/>
      <c r="RF7" s="85"/>
      <c r="RG7" s="85"/>
      <c r="RH7" s="85"/>
      <c r="RI7" s="85"/>
      <c r="RJ7" s="85"/>
      <c r="RK7" s="85"/>
      <c r="RL7" s="85"/>
      <c r="RM7" s="85"/>
      <c r="RN7" s="85"/>
      <c r="RO7" s="85"/>
      <c r="RP7" s="85"/>
      <c r="RQ7" s="85"/>
      <c r="RR7" s="85"/>
      <c r="RS7" s="85"/>
      <c r="RT7" s="85"/>
      <c r="RU7" s="85"/>
      <c r="RV7" s="85"/>
      <c r="RW7" s="85"/>
      <c r="RX7" s="85"/>
      <c r="RY7" s="85"/>
      <c r="RZ7" s="85"/>
      <c r="SA7" s="85"/>
      <c r="SB7" s="85"/>
      <c r="SC7" s="85"/>
      <c r="SD7" s="85"/>
      <c r="SE7" s="85"/>
      <c r="SF7" s="85"/>
      <c r="SG7" s="85"/>
      <c r="SH7" s="85"/>
      <c r="SI7" s="85"/>
      <c r="SJ7" s="85"/>
      <c r="SK7" s="85"/>
      <c r="SL7" s="85"/>
      <c r="SM7" s="85"/>
      <c r="SN7" s="85"/>
      <c r="SO7" s="85"/>
      <c r="SP7" s="85"/>
      <c r="SQ7" s="85"/>
      <c r="SR7" s="85"/>
      <c r="SS7" s="85"/>
      <c r="ST7" s="85"/>
      <c r="SU7" s="85"/>
      <c r="SV7" s="85"/>
      <c r="SW7" s="85"/>
      <c r="SX7" s="85"/>
      <c r="SY7" s="85"/>
      <c r="SZ7" s="85"/>
      <c r="TA7" s="85"/>
      <c r="TB7" s="85"/>
      <c r="TC7" s="85"/>
      <c r="TD7" s="85"/>
      <c r="TE7" s="85"/>
      <c r="TF7" s="85"/>
      <c r="TG7" s="85"/>
      <c r="TH7" s="85"/>
      <c r="TI7" s="85"/>
      <c r="TJ7" s="85"/>
      <c r="TK7" s="85"/>
      <c r="TL7" s="85"/>
      <c r="TM7" s="85"/>
      <c r="TN7" s="85"/>
      <c r="TO7" s="85"/>
      <c r="TP7" s="85"/>
      <c r="TQ7" s="85"/>
      <c r="TR7" s="85"/>
      <c r="TS7" s="85"/>
      <c r="TT7" s="85"/>
      <c r="TU7" s="85"/>
      <c r="TV7" s="85"/>
      <c r="TW7" s="85"/>
      <c r="TX7" s="85"/>
      <c r="TY7" s="85"/>
      <c r="TZ7" s="85"/>
      <c r="UA7" s="85"/>
      <c r="UB7" s="85"/>
      <c r="UC7" s="85"/>
      <c r="UD7" s="85"/>
      <c r="UE7" s="85"/>
      <c r="UF7" s="85"/>
      <c r="UG7" s="85"/>
      <c r="UH7" s="85"/>
      <c r="UI7" s="85"/>
      <c r="UJ7" s="85"/>
      <c r="UK7" s="85"/>
      <c r="UL7" s="85"/>
      <c r="UM7" s="85"/>
      <c r="UN7" s="85"/>
      <c r="UO7" s="85"/>
      <c r="UP7" s="85"/>
      <c r="UQ7" s="85"/>
      <c r="UR7" s="85"/>
      <c r="US7" s="85"/>
      <c r="UT7" s="85"/>
      <c r="UU7" s="85"/>
      <c r="UV7" s="85"/>
      <c r="UW7" s="85"/>
      <c r="UX7" s="85"/>
      <c r="UY7" s="85"/>
      <c r="UZ7" s="85"/>
      <c r="VA7" s="85"/>
      <c r="VB7" s="85"/>
      <c r="VC7" s="85"/>
      <c r="VD7" s="85"/>
      <c r="VE7" s="85"/>
      <c r="VF7" s="85"/>
      <c r="VG7" s="85"/>
      <c r="VH7" s="85"/>
      <c r="VI7" s="85"/>
      <c r="VJ7" s="85"/>
      <c r="VK7" s="85"/>
      <c r="VL7" s="85"/>
      <c r="VM7" s="85"/>
      <c r="VN7" s="85"/>
      <c r="VO7" s="85"/>
      <c r="VP7" s="85"/>
      <c r="VQ7" s="85"/>
      <c r="VR7" s="85"/>
      <c r="VS7" s="85"/>
      <c r="VT7" s="85"/>
      <c r="VU7" s="85"/>
      <c r="VV7" s="85"/>
      <c r="VW7" s="85"/>
      <c r="VX7" s="85"/>
      <c r="VY7" s="85"/>
      <c r="VZ7" s="85"/>
      <c r="WA7" s="85"/>
      <c r="WB7" s="85"/>
      <c r="WC7" s="85"/>
      <c r="WD7" s="85"/>
      <c r="WE7" s="85"/>
      <c r="WF7" s="85"/>
      <c r="WG7" s="85"/>
      <c r="WH7" s="85"/>
      <c r="WI7" s="85"/>
      <c r="WJ7" s="85"/>
      <c r="WK7" s="85"/>
      <c r="WL7" s="85"/>
      <c r="WM7" s="85"/>
      <c r="WN7" s="85"/>
      <c r="WO7" s="85"/>
      <c r="WP7" s="85"/>
      <c r="WQ7" s="85"/>
      <c r="WR7" s="85"/>
      <c r="WS7" s="85"/>
      <c r="WT7" s="85"/>
      <c r="WU7" s="85"/>
      <c r="WV7" s="85"/>
      <c r="WW7" s="85"/>
      <c r="WX7" s="85"/>
      <c r="WY7" s="85"/>
      <c r="WZ7" s="85"/>
      <c r="XA7" s="85"/>
      <c r="XB7" s="85"/>
      <c r="XC7" s="85"/>
      <c r="XD7" s="85"/>
      <c r="XE7" s="85"/>
      <c r="XF7" s="85"/>
      <c r="XG7" s="85"/>
      <c r="XH7" s="85"/>
      <c r="XI7" s="85"/>
      <c r="XJ7" s="85"/>
      <c r="XK7" s="85"/>
      <c r="XL7" s="85"/>
      <c r="XM7" s="85"/>
      <c r="XN7" s="85"/>
      <c r="XO7" s="85"/>
      <c r="XP7" s="85"/>
      <c r="XQ7" s="85"/>
      <c r="XR7" s="85"/>
      <c r="XS7" s="85"/>
      <c r="XT7" s="85"/>
      <c r="XU7" s="85"/>
      <c r="XV7" s="85"/>
      <c r="XW7" s="85"/>
      <c r="XX7" s="85"/>
      <c r="XY7" s="85"/>
      <c r="XZ7" s="85"/>
      <c r="YA7" s="85"/>
      <c r="YB7" s="85"/>
      <c r="YC7" s="85"/>
      <c r="YD7" s="85"/>
      <c r="YE7" s="85"/>
      <c r="YF7" s="85"/>
      <c r="YG7" s="85"/>
      <c r="YH7" s="85"/>
      <c r="YI7" s="85"/>
      <c r="YJ7" s="85"/>
      <c r="YK7" s="85"/>
      <c r="YL7" s="85"/>
      <c r="YM7" s="85"/>
      <c r="YN7" s="85"/>
      <c r="YO7" s="85"/>
      <c r="YP7" s="85"/>
      <c r="YQ7" s="85"/>
      <c r="YR7" s="85"/>
      <c r="YS7" s="85"/>
      <c r="YT7" s="85"/>
      <c r="YU7" s="85"/>
      <c r="YV7" s="85"/>
      <c r="YW7" s="85"/>
      <c r="YX7" s="85"/>
      <c r="YY7" s="85"/>
      <c r="YZ7" s="85"/>
      <c r="ZA7" s="85"/>
      <c r="ZB7" s="85"/>
      <c r="ZC7" s="85"/>
      <c r="ZD7" s="85"/>
      <c r="ZE7" s="85"/>
      <c r="ZF7" s="85"/>
      <c r="ZG7" s="85"/>
      <c r="ZH7" s="85"/>
      <c r="ZI7" s="85"/>
      <c r="ZJ7" s="85"/>
      <c r="ZK7" s="85"/>
      <c r="ZL7" s="85"/>
      <c r="ZM7" s="85"/>
      <c r="ZN7" s="85"/>
      <c r="ZO7" s="85"/>
      <c r="ZP7" s="85"/>
      <c r="ZQ7" s="85"/>
      <c r="ZR7" s="85"/>
      <c r="ZS7" s="85"/>
      <c r="ZT7" s="85"/>
      <c r="ZU7" s="85"/>
      <c r="ZV7" s="85"/>
      <c r="ZW7" s="85"/>
      <c r="ZX7" s="85"/>
      <c r="ZY7" s="85"/>
      <c r="ZZ7" s="85"/>
      <c r="AAA7" s="85"/>
      <c r="AAB7" s="85"/>
      <c r="AAC7" s="85"/>
      <c r="AAD7" s="85"/>
      <c r="AAE7" s="85"/>
      <c r="AAF7" s="85"/>
      <c r="AAG7" s="85"/>
      <c r="AAH7" s="85"/>
      <c r="AAI7" s="85"/>
      <c r="AAJ7" s="85"/>
      <c r="AAK7" s="85"/>
      <c r="AAL7" s="85"/>
      <c r="AAM7" s="85"/>
      <c r="AAN7" s="85"/>
      <c r="AAO7" s="85"/>
      <c r="AAP7" s="85"/>
      <c r="AAQ7" s="85"/>
      <c r="AAR7" s="85"/>
      <c r="AAS7" s="85"/>
      <c r="AAT7" s="85"/>
      <c r="AAU7" s="85"/>
      <c r="AAV7" s="85"/>
      <c r="AAW7" s="85"/>
      <c r="AAX7" s="85"/>
      <c r="AAY7" s="85"/>
      <c r="AAZ7" s="85"/>
      <c r="ABA7" s="85"/>
      <c r="ABB7" s="85"/>
      <c r="ABC7" s="85"/>
      <c r="ABD7" s="85"/>
      <c r="ABE7" s="85"/>
      <c r="ABF7" s="85"/>
      <c r="ABG7" s="85"/>
      <c r="ABH7" s="85"/>
      <c r="ABI7" s="85"/>
      <c r="ABJ7" s="85"/>
      <c r="ABK7" s="85"/>
      <c r="ABL7" s="85"/>
      <c r="ABM7" s="85"/>
      <c r="ABN7" s="85"/>
      <c r="ABO7" s="85"/>
      <c r="ABP7" s="85"/>
      <c r="ABQ7" s="85"/>
      <c r="ABR7" s="85"/>
      <c r="ABS7" s="85"/>
      <c r="ABT7" s="85"/>
      <c r="ABU7" s="85"/>
      <c r="ABV7" s="85"/>
      <c r="ABW7" s="85"/>
      <c r="ABX7" s="85"/>
      <c r="ABY7" s="85"/>
      <c r="ABZ7" s="85"/>
      <c r="ACA7" s="85"/>
      <c r="ACB7" s="85"/>
      <c r="ACC7" s="85"/>
      <c r="ACD7" s="85"/>
      <c r="ACE7" s="85"/>
      <c r="ACF7" s="85"/>
      <c r="ACG7" s="85"/>
      <c r="ACH7" s="85"/>
      <c r="ACI7" s="85"/>
      <c r="ACJ7" s="85"/>
      <c r="ACK7" s="85"/>
      <c r="ACL7" s="85"/>
      <c r="ACM7" s="85"/>
      <c r="ACN7" s="85"/>
      <c r="ACO7" s="85"/>
      <c r="ACP7" s="85"/>
      <c r="ACQ7" s="85"/>
      <c r="ACR7" s="85"/>
      <c r="ACS7" s="85"/>
      <c r="ACT7" s="85"/>
      <c r="ACU7" s="85"/>
      <c r="ACV7" s="85"/>
      <c r="ACW7" s="85"/>
      <c r="ACX7" s="85"/>
      <c r="ACY7" s="85"/>
      <c r="ACZ7" s="85"/>
      <c r="ADA7" s="85"/>
      <c r="ADB7" s="85"/>
      <c r="ADC7" s="85"/>
      <c r="ADD7" s="85"/>
      <c r="ADE7" s="85"/>
      <c r="ADF7" s="85"/>
      <c r="ADG7" s="85"/>
      <c r="ADH7" s="85"/>
      <c r="ADI7" s="85"/>
      <c r="ADJ7" s="85"/>
      <c r="ADK7" s="85"/>
      <c r="ADL7" s="85"/>
      <c r="ADM7" s="85"/>
      <c r="ADN7" s="85"/>
      <c r="ADO7" s="85"/>
      <c r="ADP7" s="85"/>
      <c r="ADQ7" s="85"/>
      <c r="ADR7" s="85"/>
      <c r="ADS7" s="85"/>
      <c r="ADT7" s="85"/>
      <c r="ADU7" s="85"/>
      <c r="ADV7" s="85"/>
      <c r="ADW7" s="85"/>
      <c r="ADX7" s="85"/>
      <c r="ADY7" s="85"/>
      <c r="ADZ7" s="85"/>
      <c r="AEA7" s="85"/>
      <c r="AEB7" s="85"/>
      <c r="AEC7" s="85"/>
      <c r="AED7" s="85"/>
      <c r="AEE7" s="85"/>
      <c r="AEF7" s="85"/>
      <c r="AEG7" s="85"/>
      <c r="AEH7" s="85"/>
      <c r="AEI7" s="85"/>
      <c r="AEJ7" s="85"/>
      <c r="AEK7" s="85"/>
      <c r="AEL7" s="85"/>
      <c r="AEM7" s="85"/>
      <c r="AEN7" s="85"/>
      <c r="AEO7" s="85"/>
      <c r="AEP7" s="85"/>
      <c r="AEQ7" s="85"/>
      <c r="AER7" s="85"/>
      <c r="AES7" s="85"/>
      <c r="AET7" s="85"/>
      <c r="AEU7" s="85"/>
      <c r="AEV7" s="85"/>
      <c r="AEW7" s="85"/>
      <c r="AEX7" s="85"/>
      <c r="AEY7" s="85"/>
      <c r="AEZ7" s="85"/>
      <c r="AFA7" s="85"/>
      <c r="AFB7" s="85"/>
      <c r="AFC7" s="85"/>
      <c r="AFD7" s="85"/>
      <c r="AFE7" s="85"/>
      <c r="AFF7" s="85"/>
      <c r="AFG7" s="85"/>
      <c r="AFH7" s="85"/>
      <c r="AFI7" s="85"/>
      <c r="AFJ7" s="85"/>
      <c r="AFK7" s="85"/>
      <c r="AFL7" s="85"/>
      <c r="AFM7" s="85"/>
      <c r="AFN7" s="85"/>
      <c r="AFO7" s="85"/>
      <c r="AFP7" s="85"/>
      <c r="AFQ7" s="85"/>
      <c r="AFR7" s="85"/>
      <c r="AFS7" s="85"/>
      <c r="AFT7" s="85"/>
      <c r="AFU7" s="85"/>
      <c r="AFV7" s="85"/>
      <c r="AFW7" s="85"/>
      <c r="AFX7" s="85"/>
      <c r="AFY7" s="85"/>
      <c r="AFZ7" s="85"/>
      <c r="AGA7" s="85"/>
      <c r="AGB7" s="85"/>
      <c r="AGC7" s="85"/>
      <c r="AGD7" s="85"/>
      <c r="AGE7" s="85"/>
      <c r="AGF7" s="85"/>
      <c r="AGG7" s="85"/>
      <c r="AGH7" s="85"/>
      <c r="AGI7" s="85"/>
      <c r="AGJ7" s="85"/>
      <c r="AGK7" s="85"/>
      <c r="AGL7" s="85"/>
      <c r="AGM7" s="85"/>
      <c r="AGN7" s="85"/>
      <c r="AGO7" s="85"/>
      <c r="AGP7" s="85"/>
      <c r="AGQ7" s="85"/>
      <c r="AGR7" s="85"/>
      <c r="AGS7" s="85"/>
      <c r="AGT7" s="85"/>
      <c r="AGU7" s="85"/>
      <c r="AGV7" s="85"/>
      <c r="AGW7" s="85"/>
      <c r="AGX7" s="85"/>
    </row>
    <row r="8" spans="1:882" hidden="1" x14ac:dyDescent="0.45">
      <c r="B8" s="215" t="str">
        <f t="shared" si="0"/>
        <v/>
      </c>
      <c r="C8" s="216" t="s">
        <v>327</v>
      </c>
      <c r="D8" s="217" t="s">
        <v>328</v>
      </c>
      <c r="E8" s="218" t="str">
        <f t="shared" si="21"/>
        <v>登録</v>
      </c>
      <c r="F8" s="219"/>
      <c r="G8" s="219"/>
      <c r="H8" s="220">
        <v>43191</v>
      </c>
      <c r="I8" s="221" t="s">
        <v>307</v>
      </c>
      <c r="J8" s="222" t="s">
        <v>329</v>
      </c>
      <c r="K8" s="221"/>
      <c r="L8" s="222" t="s">
        <v>330</v>
      </c>
      <c r="M8" s="222" t="s">
        <v>138</v>
      </c>
      <c r="N8" s="221" t="s">
        <v>331</v>
      </c>
      <c r="O8" s="223">
        <v>25</v>
      </c>
      <c r="P8" s="223">
        <v>20</v>
      </c>
      <c r="Q8" s="224">
        <f t="shared" ref="Q8:Q10" si="42">IF(P8&gt;=10,150,0)</f>
        <v>150</v>
      </c>
      <c r="R8" s="223">
        <f t="shared" ref="R8:R10" si="43">IF(S8&gt;=1,1,"")</f>
        <v>1</v>
      </c>
      <c r="S8" s="223">
        <v>15</v>
      </c>
      <c r="T8" s="225">
        <f t="shared" ref="T8:T10" si="44">IF(Q8=0,0,IF(S8&gt;=25,MIN(250,ROUNDDOWN(S8*10,-1)),IF(S8&gt;=20,MIN(200,ROUNDDOWN(S8*10,-1)),IF(S8&gt;=15,MIN(150,ROUNDDOWN(S8*10,-1)),MIN(100,ROUNDDOWN(S8*10,-1))))))</f>
        <v>150</v>
      </c>
      <c r="U8" s="223">
        <f t="shared" ref="U8:U10" si="45">IF(V8&gt;=1,1,"")</f>
        <v>1</v>
      </c>
      <c r="V8" s="223">
        <v>3</v>
      </c>
      <c r="W8" s="223"/>
      <c r="X8" s="223"/>
      <c r="Y8" s="223"/>
      <c r="Z8" s="223"/>
      <c r="AA8" s="225">
        <f t="shared" ref="AA8:AA10" si="46">IF(AND(Q8&gt;0,V8&gt;=1),MIN(INT(V8)*20,200),0)</f>
        <v>60</v>
      </c>
      <c r="AB8" s="223" t="str">
        <f t="shared" ref="AB8:AB10" si="47">IF(AC8&gt;=1,1,"")</f>
        <v/>
      </c>
      <c r="AC8" s="223"/>
      <c r="AD8" s="223">
        <f t="shared" ref="AD8:AD10" si="48">IF(AC8&gt;=1,50,0)</f>
        <v>0</v>
      </c>
      <c r="AE8" s="223">
        <f t="shared" ref="AE8:AE10" si="49">IF(AF8&gt;=1,1,"")</f>
        <v>1</v>
      </c>
      <c r="AF8" s="223">
        <v>50</v>
      </c>
      <c r="AG8" s="223">
        <f>IF(AND(Q8&gt;0,AF8&gt;=1),MIN(INT(AF8)*2,150),0)</f>
        <v>100</v>
      </c>
      <c r="AH8" s="224">
        <f>IF(OR(AG8&gt;0,AD8&gt;0),MIN(AG8+AD8,150),0)</f>
        <v>100</v>
      </c>
      <c r="AI8" s="223">
        <f t="shared" ref="AI8:AI10" si="50">IF(OR(AJ8=1,AK8=1),1,"")</f>
        <v>1</v>
      </c>
      <c r="AJ8" s="223">
        <v>1</v>
      </c>
      <c r="AK8" s="223"/>
      <c r="AL8" s="224">
        <f>IF(AND(Q8&gt;0,AI8=1,),100,0)</f>
        <v>0</v>
      </c>
      <c r="AM8" s="223">
        <f t="shared" ref="AM8:AM10" si="51">IF(OR(AN8=1,AO8=1),1,"")</f>
        <v>1</v>
      </c>
      <c r="AN8" s="223"/>
      <c r="AO8" s="223">
        <v>1</v>
      </c>
      <c r="AP8" s="224">
        <f>IF(AND(Q8&gt;0,AI8=1,AM8=1),100,0)</f>
        <v>100</v>
      </c>
      <c r="AQ8" s="223" t="str">
        <f t="shared" ref="AQ8:AQ10" si="52">IF(AY8&gt;=4,1,"")</f>
        <v/>
      </c>
      <c r="AR8" s="223"/>
      <c r="AS8" s="223"/>
      <c r="AT8" s="223"/>
      <c r="AU8" s="223"/>
      <c r="AV8" s="223"/>
      <c r="AW8" s="223"/>
      <c r="AX8" s="223"/>
      <c r="AY8" s="223">
        <f t="shared" ref="AY8:AY10" si="53">SUM(AR8:AX8)</f>
        <v>0</v>
      </c>
      <c r="AZ8" s="224">
        <f t="shared" ref="AZ8:AZ10" si="54">IF(AY8&gt;=4,200,0)</f>
        <v>0</v>
      </c>
      <c r="BA8" s="226"/>
      <c r="BB8" s="226"/>
      <c r="BC8" s="226"/>
      <c r="BD8" s="224">
        <f>IF(OR(D8="新築",D8="登録"),MIN(1000,Q8+T8+AA8+AH8+AL8+AP8+AZ8),0)</f>
        <v>560</v>
      </c>
      <c r="BE8" s="226"/>
      <c r="BF8" s="227"/>
      <c r="BG8" s="226"/>
      <c r="BH8" s="224">
        <f t="shared" ref="BH8:BH10" si="55">MIN(ROUNDDOWN(BF8,1)*20+INT(BG8)*2,250)</f>
        <v>0</v>
      </c>
      <c r="BI8" s="223" t="str">
        <f t="shared" ref="BI8:BI10" si="56">IF(OR(BJ8=1,BK8=1),1,"")</f>
        <v/>
      </c>
      <c r="BJ8" s="226"/>
      <c r="BK8" s="226"/>
      <c r="BL8" s="224" t="e">
        <f>IF(AND(BH8&gt;0,BI8=1,#REF!=""),100,0)</f>
        <v>#REF!</v>
      </c>
      <c r="BM8" s="223" t="str">
        <f t="shared" ref="BM8:BM10" si="57">IF(OR(BN8=1,BO8=1,BP8=1),1,"")</f>
        <v/>
      </c>
      <c r="BN8" s="226"/>
      <c r="BO8" s="226"/>
      <c r="BP8" s="226"/>
      <c r="BQ8" s="224">
        <f t="shared" ref="BQ8:BQ10" si="58">IF(AND(BH8&gt;0,BM8=1),100,IF(AND(BH8&gt;0,BP8=1),100,0))</f>
        <v>0</v>
      </c>
      <c r="BR8" s="223" t="str">
        <f t="shared" ref="BR8:BR10" si="59">IF(OR(AND(BS8&gt;=7,BT8&gt;=7,BS8+BT8&gt;=14),AND(BS8&gt;=7,BU8&gt;=3,BS8+BU8&gt;=10),AND(BT8&gt;=7,BU8&gt;=3,BT8+BU8&gt;=10)),1,"")</f>
        <v/>
      </c>
      <c r="BS8" s="226"/>
      <c r="BT8" s="226"/>
      <c r="BU8" s="226"/>
      <c r="BV8" s="224">
        <f t="shared" ref="BV8:BV10" si="60">IF(AND(BR8=1,BH8&gt;0),MIN(150,ROUNDDOWN(BS8*11+BT8*13+BU8*19,0)),0)</f>
        <v>0</v>
      </c>
      <c r="BW8" s="226"/>
      <c r="BX8" s="224">
        <f>IF(D8="改修",MIN(500,BH8+BL8+BQ8+BV8,INT(CQ8*10/2)),0)</f>
        <v>0</v>
      </c>
      <c r="BY8" s="228"/>
      <c r="BZ8" s="229" t="s">
        <v>87</v>
      </c>
      <c r="CA8" s="230"/>
      <c r="CB8" s="229" t="s">
        <v>155</v>
      </c>
      <c r="CC8" s="230"/>
      <c r="CD8" s="231" t="s">
        <v>85</v>
      </c>
      <c r="CE8" s="228"/>
      <c r="CF8" s="229" t="s">
        <v>87</v>
      </c>
      <c r="CG8" s="230"/>
      <c r="CH8" s="229" t="s">
        <v>155</v>
      </c>
      <c r="CI8" s="230"/>
      <c r="CJ8" s="231" t="s">
        <v>85</v>
      </c>
      <c r="CK8" s="220">
        <v>43198</v>
      </c>
      <c r="CL8" s="232">
        <f t="shared" ref="CL8:CL10" si="61">BD8+BX8</f>
        <v>560</v>
      </c>
      <c r="CM8" s="221" t="s">
        <v>307</v>
      </c>
      <c r="CN8" s="221" t="s">
        <v>308</v>
      </c>
      <c r="CO8" s="217" t="s">
        <v>332</v>
      </c>
      <c r="CP8" s="221">
        <v>100</v>
      </c>
      <c r="CQ8" s="233">
        <v>2200</v>
      </c>
      <c r="CR8" s="222" t="s">
        <v>310</v>
      </c>
      <c r="CS8" s="220"/>
      <c r="CT8" s="219"/>
      <c r="CU8" s="219"/>
      <c r="CV8" s="220"/>
      <c r="CW8" s="220"/>
      <c r="CX8" s="219"/>
      <c r="CY8" s="219"/>
      <c r="CZ8" s="219"/>
      <c r="DA8" s="219"/>
      <c r="DB8" s="219"/>
      <c r="DC8" s="219"/>
      <c r="DD8" s="219"/>
      <c r="DE8" s="219"/>
      <c r="DF8" s="219"/>
      <c r="DG8" s="219"/>
      <c r="DH8" s="219"/>
      <c r="DI8" s="219"/>
      <c r="DJ8" s="219"/>
      <c r="DK8" s="219"/>
      <c r="DL8"/>
      <c r="DM8" s="219"/>
      <c r="DN8" s="226"/>
      <c r="DO8" s="226"/>
      <c r="DP8" s="226"/>
      <c r="DQ8" s="224">
        <f t="shared" si="1"/>
        <v>0</v>
      </c>
      <c r="DR8" s="224">
        <f t="shared" si="2"/>
        <v>0</v>
      </c>
      <c r="DS8" s="223" t="str">
        <f t="shared" si="22"/>
        <v/>
      </c>
      <c r="DT8" s="226"/>
      <c r="DU8" s="226"/>
      <c r="DV8" s="225">
        <f t="shared" si="23"/>
        <v>0</v>
      </c>
      <c r="DW8" s="224">
        <f t="shared" si="3"/>
        <v>0</v>
      </c>
      <c r="DX8" s="223" t="str">
        <f t="shared" si="24"/>
        <v/>
      </c>
      <c r="DY8" s="226"/>
      <c r="DZ8" s="226"/>
      <c r="EA8" s="225">
        <f t="shared" si="25"/>
        <v>0</v>
      </c>
      <c r="EB8" s="224">
        <f t="shared" si="4"/>
        <v>0</v>
      </c>
      <c r="EC8" s="223" t="str">
        <f t="shared" si="26"/>
        <v/>
      </c>
      <c r="ED8" s="226"/>
      <c r="EE8" s="226"/>
      <c r="EF8" s="223">
        <f t="shared" si="27"/>
        <v>0</v>
      </c>
      <c r="EG8" s="223" t="str">
        <f t="shared" si="28"/>
        <v/>
      </c>
      <c r="EH8" s="226"/>
      <c r="EI8" s="223">
        <f t="shared" si="5"/>
        <v>0</v>
      </c>
      <c r="EJ8" s="224">
        <f t="shared" si="6"/>
        <v>0</v>
      </c>
      <c r="EK8" s="224">
        <f t="shared" si="7"/>
        <v>0</v>
      </c>
      <c r="EL8" s="223" t="str">
        <f t="shared" si="29"/>
        <v/>
      </c>
      <c r="EM8" s="226"/>
      <c r="EN8" s="226"/>
      <c r="EO8" s="224" t="e">
        <f>IF(AND(DQ8&gt;0,EL8=1,#REF!=""),100,0)</f>
        <v>#REF!</v>
      </c>
      <c r="EP8" s="224" t="e">
        <f t="shared" si="8"/>
        <v>#REF!</v>
      </c>
      <c r="EQ8" s="223" t="str">
        <f t="shared" si="30"/>
        <v/>
      </c>
      <c r="ER8" s="226"/>
      <c r="ES8" s="226"/>
      <c r="ET8" s="224">
        <f t="shared" si="31"/>
        <v>0</v>
      </c>
      <c r="EU8" s="224">
        <f t="shared" si="9"/>
        <v>0</v>
      </c>
      <c r="EV8" s="223" t="str">
        <f t="shared" si="32"/>
        <v/>
      </c>
      <c r="EW8" s="226"/>
      <c r="EX8" s="226"/>
      <c r="EY8" s="226"/>
      <c r="EZ8" s="226"/>
      <c r="FA8" s="226"/>
      <c r="FB8" s="226"/>
      <c r="FC8" s="226"/>
      <c r="FD8" s="223">
        <f t="shared" si="33"/>
        <v>0</v>
      </c>
      <c r="FE8" s="224">
        <f t="shared" si="34"/>
        <v>0</v>
      </c>
      <c r="FF8" s="224">
        <f t="shared" si="10"/>
        <v>0</v>
      </c>
      <c r="FG8" s="226"/>
      <c r="FH8" s="226"/>
      <c r="FI8" s="226"/>
      <c r="FJ8" s="226"/>
      <c r="FK8" s="226"/>
      <c r="FL8" s="224">
        <f t="shared" si="11"/>
        <v>0</v>
      </c>
      <c r="FM8" s="224">
        <f t="shared" si="12"/>
        <v>560</v>
      </c>
      <c r="FN8" s="226"/>
      <c r="FO8" s="234"/>
      <c r="FP8" s="234"/>
      <c r="FQ8" s="226"/>
      <c r="FR8" s="226"/>
      <c r="FS8" s="224">
        <f t="shared" si="35"/>
        <v>0</v>
      </c>
      <c r="FT8" s="224">
        <f t="shared" si="13"/>
        <v>0</v>
      </c>
      <c r="FU8" s="223" t="str">
        <f t="shared" si="36"/>
        <v/>
      </c>
      <c r="FV8" s="226"/>
      <c r="FW8" s="226"/>
      <c r="FX8" s="224" t="e">
        <f>IF(AND(FS8&gt;0,FU8=1,#REF!=""),100,0)</f>
        <v>#REF!</v>
      </c>
      <c r="FY8" s="224" t="e">
        <f t="shared" si="14"/>
        <v>#REF!</v>
      </c>
      <c r="FZ8" s="223" t="str">
        <f t="shared" si="37"/>
        <v/>
      </c>
      <c r="GA8" s="226"/>
      <c r="GB8" s="226"/>
      <c r="GC8" s="226"/>
      <c r="GD8" s="224">
        <f t="shared" si="38"/>
        <v>0</v>
      </c>
      <c r="GE8" s="224">
        <f t="shared" si="15"/>
        <v>0</v>
      </c>
      <c r="GF8" s="223" t="str">
        <f t="shared" si="39"/>
        <v/>
      </c>
      <c r="GG8" s="226"/>
      <c r="GH8" s="226"/>
      <c r="GI8" s="226"/>
      <c r="GJ8" s="224">
        <f t="shared" si="40"/>
        <v>0</v>
      </c>
      <c r="GK8" s="224">
        <f t="shared" si="16"/>
        <v>0</v>
      </c>
      <c r="GL8" s="226"/>
      <c r="GM8" s="226"/>
      <c r="GN8" s="224">
        <f t="shared" si="17"/>
        <v>0</v>
      </c>
      <c r="GO8" s="224">
        <f t="shared" si="18"/>
        <v>0</v>
      </c>
      <c r="GP8" s="219"/>
      <c r="GQ8" s="220"/>
      <c r="GR8" s="220"/>
      <c r="GS8" s="220"/>
      <c r="GT8" s="232">
        <f t="shared" si="19"/>
        <v>0</v>
      </c>
      <c r="GU8" s="232">
        <f t="shared" si="20"/>
        <v>0</v>
      </c>
      <c r="GV8" s="232">
        <f t="shared" si="41"/>
        <v>0</v>
      </c>
    </row>
    <row r="9" spans="1:882" s="235" customFormat="1" hidden="1" x14ac:dyDescent="0.45">
      <c r="B9" s="215" t="str">
        <f t="shared" si="0"/>
        <v>支払済</v>
      </c>
      <c r="C9" s="216" t="s">
        <v>327</v>
      </c>
      <c r="D9" s="217" t="s">
        <v>299</v>
      </c>
      <c r="E9" s="218" t="str">
        <f t="shared" si="21"/>
        <v>建売購入</v>
      </c>
      <c r="F9" s="219"/>
      <c r="G9" s="219"/>
      <c r="H9" s="220">
        <v>43403</v>
      </c>
      <c r="I9" s="221" t="s">
        <v>333</v>
      </c>
      <c r="J9" s="222" t="s">
        <v>334</v>
      </c>
      <c r="K9" s="221"/>
      <c r="L9" s="222" t="s">
        <v>335</v>
      </c>
      <c r="M9" s="222" t="s">
        <v>336</v>
      </c>
      <c r="N9" s="221" t="s">
        <v>331</v>
      </c>
      <c r="O9" s="223">
        <v>25</v>
      </c>
      <c r="P9" s="223">
        <v>18</v>
      </c>
      <c r="Q9" s="224">
        <f t="shared" si="42"/>
        <v>150</v>
      </c>
      <c r="R9" s="223">
        <f t="shared" si="43"/>
        <v>1</v>
      </c>
      <c r="S9" s="223">
        <v>13</v>
      </c>
      <c r="T9" s="225">
        <f t="shared" si="44"/>
        <v>100</v>
      </c>
      <c r="U9" s="223">
        <f t="shared" si="45"/>
        <v>1</v>
      </c>
      <c r="V9" s="223">
        <v>2</v>
      </c>
      <c r="W9" s="223"/>
      <c r="X9" s="223"/>
      <c r="Y9" s="223"/>
      <c r="Z9" s="223"/>
      <c r="AA9" s="225">
        <f t="shared" si="46"/>
        <v>40</v>
      </c>
      <c r="AB9" s="223" t="str">
        <f t="shared" si="47"/>
        <v/>
      </c>
      <c r="AC9" s="223"/>
      <c r="AD9" s="223">
        <f t="shared" si="48"/>
        <v>0</v>
      </c>
      <c r="AE9" s="223">
        <f t="shared" si="49"/>
        <v>1</v>
      </c>
      <c r="AF9" s="223">
        <v>45</v>
      </c>
      <c r="AG9" s="223">
        <f>IF(AND(Q9&gt;0,AF9&gt;=1),MIN(INT(AF9)*2,150),0)</f>
        <v>90</v>
      </c>
      <c r="AH9" s="224">
        <f>IF(OR(AG9&gt;0,AD9&gt;0),MIN(AG9+AD9,150),0)</f>
        <v>90</v>
      </c>
      <c r="AI9" s="223">
        <f t="shared" si="50"/>
        <v>1</v>
      </c>
      <c r="AJ9" s="223"/>
      <c r="AK9" s="223">
        <v>1</v>
      </c>
      <c r="AL9" s="224">
        <f>IF(AND(Q9&gt;0,AI9=1,),100,0)</f>
        <v>0</v>
      </c>
      <c r="AM9" s="223" t="str">
        <f t="shared" si="51"/>
        <v/>
      </c>
      <c r="AN9" s="223"/>
      <c r="AO9" s="223"/>
      <c r="AP9" s="224">
        <f>IF(AND(Q9&gt;0,AI9=1,AM9=1),100,0)</f>
        <v>0</v>
      </c>
      <c r="AQ9" s="223" t="str">
        <f t="shared" si="52"/>
        <v/>
      </c>
      <c r="AR9" s="223"/>
      <c r="AS9" s="223"/>
      <c r="AT9" s="223"/>
      <c r="AU9" s="223"/>
      <c r="AV9" s="223"/>
      <c r="AW9" s="223"/>
      <c r="AX9" s="223"/>
      <c r="AY9" s="223">
        <f t="shared" si="53"/>
        <v>0</v>
      </c>
      <c r="AZ9" s="224">
        <f t="shared" si="54"/>
        <v>0</v>
      </c>
      <c r="BA9" s="226"/>
      <c r="BB9" s="226"/>
      <c r="BC9" s="226"/>
      <c r="BD9" s="224">
        <f>IF(OR(D9="新築",D9="登録"),MIN(1000,Q9+T9+AA9+AH9+AL9+AP9+AZ9),0)</f>
        <v>380</v>
      </c>
      <c r="BE9" s="226"/>
      <c r="BF9" s="227"/>
      <c r="BG9" s="226"/>
      <c r="BH9" s="224">
        <f t="shared" si="55"/>
        <v>0</v>
      </c>
      <c r="BI9" s="223" t="str">
        <f t="shared" si="56"/>
        <v/>
      </c>
      <c r="BJ9" s="226"/>
      <c r="BK9" s="226"/>
      <c r="BL9" s="224" t="e">
        <f>IF(AND(BH9&gt;0,BI9=1,#REF!=""),100,0)</f>
        <v>#REF!</v>
      </c>
      <c r="BM9" s="223" t="str">
        <f t="shared" si="57"/>
        <v/>
      </c>
      <c r="BN9" s="226"/>
      <c r="BO9" s="226"/>
      <c r="BP9" s="226"/>
      <c r="BQ9" s="224">
        <f t="shared" si="58"/>
        <v>0</v>
      </c>
      <c r="BR9" s="223" t="str">
        <f t="shared" si="59"/>
        <v/>
      </c>
      <c r="BS9" s="226"/>
      <c r="BT9" s="226"/>
      <c r="BU9" s="226"/>
      <c r="BV9" s="224">
        <f t="shared" si="60"/>
        <v>0</v>
      </c>
      <c r="BW9" s="226"/>
      <c r="BX9" s="224">
        <f>IF(D9="改修",MIN(500,BH9+BL9+BQ9+BV9,INT(CQ9*10/2)),0)</f>
        <v>0</v>
      </c>
      <c r="BY9" s="228"/>
      <c r="BZ9" s="229" t="s">
        <v>87</v>
      </c>
      <c r="CA9" s="230"/>
      <c r="CB9" s="229" t="s">
        <v>155</v>
      </c>
      <c r="CC9" s="230"/>
      <c r="CD9" s="231" t="s">
        <v>85</v>
      </c>
      <c r="CE9" s="228"/>
      <c r="CF9" s="229" t="s">
        <v>87</v>
      </c>
      <c r="CG9" s="230"/>
      <c r="CH9" s="229" t="s">
        <v>155</v>
      </c>
      <c r="CI9" s="230"/>
      <c r="CJ9" s="231" t="s">
        <v>85</v>
      </c>
      <c r="CK9" s="220">
        <v>43409</v>
      </c>
      <c r="CL9" s="232">
        <f>BD9+BX9</f>
        <v>380</v>
      </c>
      <c r="CM9" s="221" t="s">
        <v>307</v>
      </c>
      <c r="CN9" s="221" t="s">
        <v>308</v>
      </c>
      <c r="CO9" s="217" t="s">
        <v>332</v>
      </c>
      <c r="CP9" s="221">
        <v>100</v>
      </c>
      <c r="CQ9" s="233">
        <v>2200</v>
      </c>
      <c r="CR9" s="222" t="s">
        <v>310</v>
      </c>
      <c r="CS9" s="220"/>
      <c r="CT9" s="219"/>
      <c r="CU9" s="219"/>
      <c r="CV9" s="220"/>
      <c r="CW9" s="220"/>
      <c r="CX9" s="219"/>
      <c r="CY9" s="219"/>
      <c r="CZ9" s="219"/>
      <c r="DA9" s="219"/>
      <c r="DB9" s="219"/>
      <c r="DC9" s="219"/>
      <c r="DD9" s="219"/>
      <c r="DE9" s="219"/>
      <c r="DF9" s="219"/>
      <c r="DG9" s="219"/>
      <c r="DH9" s="219"/>
      <c r="DI9" s="219"/>
      <c r="DJ9" s="219"/>
      <c r="DK9" s="219"/>
      <c r="DL9"/>
      <c r="DM9" s="219"/>
      <c r="DN9" s="226">
        <v>25</v>
      </c>
      <c r="DO9" s="226">
        <v>18</v>
      </c>
      <c r="DP9" s="226" t="s">
        <v>337</v>
      </c>
      <c r="DQ9" s="224">
        <f t="shared" si="1"/>
        <v>150</v>
      </c>
      <c r="DR9" s="224">
        <f t="shared" si="2"/>
        <v>150</v>
      </c>
      <c r="DS9" s="223">
        <f t="shared" si="22"/>
        <v>1</v>
      </c>
      <c r="DT9" s="226">
        <v>13</v>
      </c>
      <c r="DU9" s="226" t="s">
        <v>337</v>
      </c>
      <c r="DV9" s="225">
        <f t="shared" si="23"/>
        <v>100</v>
      </c>
      <c r="DW9" s="224">
        <f t="shared" si="3"/>
        <v>100</v>
      </c>
      <c r="DX9" s="223">
        <f t="shared" si="24"/>
        <v>1</v>
      </c>
      <c r="DY9" s="226">
        <v>2</v>
      </c>
      <c r="DZ9" s="226" t="s">
        <v>338</v>
      </c>
      <c r="EA9" s="225">
        <f t="shared" si="25"/>
        <v>40</v>
      </c>
      <c r="EB9" s="224">
        <f t="shared" si="4"/>
        <v>40</v>
      </c>
      <c r="EC9" s="223">
        <f t="shared" si="26"/>
        <v>1</v>
      </c>
      <c r="ED9" s="226">
        <v>45</v>
      </c>
      <c r="EE9" s="226" t="s">
        <v>339</v>
      </c>
      <c r="EF9" s="223">
        <f t="shared" si="27"/>
        <v>90</v>
      </c>
      <c r="EG9" s="223" t="str">
        <f t="shared" si="28"/>
        <v/>
      </c>
      <c r="EH9" s="226"/>
      <c r="EI9" s="223">
        <f t="shared" si="5"/>
        <v>0</v>
      </c>
      <c r="EJ9" s="224">
        <f t="shared" si="6"/>
        <v>90</v>
      </c>
      <c r="EK9" s="224">
        <f t="shared" si="7"/>
        <v>90</v>
      </c>
      <c r="EL9" s="223">
        <f t="shared" si="29"/>
        <v>1</v>
      </c>
      <c r="EM9" s="226"/>
      <c r="EN9" s="226">
        <v>1</v>
      </c>
      <c r="EO9" s="224" t="e">
        <f>IF(AND(DQ9&gt;0,EL9=1,#REF!=""),100,0)</f>
        <v>#REF!</v>
      </c>
      <c r="EP9" s="224" t="e">
        <f t="shared" si="8"/>
        <v>#REF!</v>
      </c>
      <c r="EQ9" s="223" t="str">
        <f t="shared" si="30"/>
        <v/>
      </c>
      <c r="ER9" s="226"/>
      <c r="ES9" s="226"/>
      <c r="ET9" s="224">
        <f t="shared" si="31"/>
        <v>0</v>
      </c>
      <c r="EU9" s="224">
        <f t="shared" si="9"/>
        <v>0</v>
      </c>
      <c r="EV9" s="223" t="str">
        <f t="shared" si="32"/>
        <v/>
      </c>
      <c r="EW9" s="226"/>
      <c r="EX9" s="226"/>
      <c r="EY9" s="226"/>
      <c r="EZ9" s="226"/>
      <c r="FA9" s="226"/>
      <c r="FB9" s="226"/>
      <c r="FC9" s="226"/>
      <c r="FD9" s="223">
        <f t="shared" si="33"/>
        <v>0</v>
      </c>
      <c r="FE9" s="224">
        <f t="shared" si="34"/>
        <v>0</v>
      </c>
      <c r="FF9" s="224">
        <f t="shared" si="10"/>
        <v>0</v>
      </c>
      <c r="FG9" s="226"/>
      <c r="FH9" s="226"/>
      <c r="FI9" s="226"/>
      <c r="FJ9" s="226"/>
      <c r="FK9" s="226"/>
      <c r="FL9" s="224" t="e">
        <f t="shared" si="11"/>
        <v>#REF!</v>
      </c>
      <c r="FM9" s="224" t="e">
        <f t="shared" si="12"/>
        <v>#REF!</v>
      </c>
      <c r="FN9" s="226"/>
      <c r="FO9" s="234"/>
      <c r="FP9" s="234"/>
      <c r="FQ9" s="226"/>
      <c r="FR9" s="226"/>
      <c r="FS9" s="224">
        <f t="shared" si="35"/>
        <v>0</v>
      </c>
      <c r="FT9" s="224">
        <f t="shared" si="13"/>
        <v>0</v>
      </c>
      <c r="FU9" s="223" t="str">
        <f t="shared" si="36"/>
        <v/>
      </c>
      <c r="FV9" s="226"/>
      <c r="FW9" s="226"/>
      <c r="FX9" s="224" t="e">
        <f>IF(AND(FS9&gt;0,FU9=1,#REF!=""),100,0)</f>
        <v>#REF!</v>
      </c>
      <c r="FY9" s="224" t="e">
        <f t="shared" si="14"/>
        <v>#REF!</v>
      </c>
      <c r="FZ9" s="223" t="str">
        <f t="shared" si="37"/>
        <v/>
      </c>
      <c r="GA9" s="226"/>
      <c r="GB9" s="226"/>
      <c r="GC9" s="226"/>
      <c r="GD9" s="224">
        <f t="shared" si="38"/>
        <v>0</v>
      </c>
      <c r="GE9" s="224">
        <f t="shared" si="15"/>
        <v>0</v>
      </c>
      <c r="GF9" s="223" t="str">
        <f t="shared" si="39"/>
        <v/>
      </c>
      <c r="GG9" s="226"/>
      <c r="GH9" s="226"/>
      <c r="GI9" s="226"/>
      <c r="GJ9" s="224">
        <f t="shared" si="40"/>
        <v>0</v>
      </c>
      <c r="GK9" s="224">
        <f t="shared" si="16"/>
        <v>0</v>
      </c>
      <c r="GL9" s="226"/>
      <c r="GM9" s="226"/>
      <c r="GN9" s="224">
        <f t="shared" si="17"/>
        <v>0</v>
      </c>
      <c r="GO9" s="224">
        <f t="shared" si="18"/>
        <v>0</v>
      </c>
      <c r="GP9" s="219" t="s">
        <v>315</v>
      </c>
      <c r="GQ9" s="220">
        <v>43403</v>
      </c>
      <c r="GR9" s="220">
        <v>43409</v>
      </c>
      <c r="GS9" s="220">
        <v>43429</v>
      </c>
      <c r="GT9" s="232">
        <f t="shared" si="19"/>
        <v>380</v>
      </c>
      <c r="GU9" s="232" t="e">
        <f t="shared" si="20"/>
        <v>#REF!</v>
      </c>
      <c r="GV9" s="232" t="e">
        <f t="shared" si="41"/>
        <v>#REF!</v>
      </c>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c r="IW9" s="85"/>
      <c r="IX9" s="85"/>
      <c r="IY9" s="85"/>
      <c r="IZ9" s="85"/>
      <c r="JA9" s="85"/>
      <c r="JB9" s="85"/>
      <c r="JC9" s="85"/>
      <c r="JD9" s="85"/>
      <c r="JE9" s="85"/>
      <c r="JF9" s="85"/>
      <c r="JG9" s="85"/>
      <c r="JH9" s="85"/>
      <c r="JI9" s="85"/>
      <c r="JJ9" s="85"/>
      <c r="JK9" s="85"/>
      <c r="JL9" s="85"/>
      <c r="JM9" s="85"/>
      <c r="JN9" s="85"/>
      <c r="JO9" s="85"/>
      <c r="JP9" s="85"/>
      <c r="JQ9" s="85"/>
      <c r="JR9" s="85"/>
      <c r="JS9" s="85"/>
      <c r="JT9" s="85"/>
      <c r="JU9" s="85"/>
      <c r="JV9" s="85"/>
      <c r="JW9" s="85"/>
      <c r="JX9" s="85"/>
      <c r="JY9" s="85"/>
      <c r="JZ9" s="85"/>
      <c r="KA9" s="85"/>
      <c r="KB9" s="85"/>
      <c r="KC9" s="85"/>
      <c r="KD9" s="85"/>
      <c r="KE9" s="85"/>
      <c r="KF9" s="85"/>
      <c r="KG9" s="85"/>
      <c r="KH9" s="85"/>
      <c r="KI9" s="85"/>
      <c r="KJ9" s="85"/>
      <c r="KK9" s="85"/>
      <c r="KL9" s="85"/>
      <c r="KM9" s="85"/>
      <c r="KN9" s="85"/>
      <c r="KO9" s="85"/>
      <c r="KP9" s="85"/>
      <c r="KQ9" s="85"/>
      <c r="KR9" s="85"/>
      <c r="KS9" s="85"/>
      <c r="KT9" s="85"/>
      <c r="KU9" s="85"/>
      <c r="KV9" s="85"/>
      <c r="KW9" s="85"/>
      <c r="KX9" s="85"/>
      <c r="KY9" s="85"/>
      <c r="KZ9" s="85"/>
      <c r="LA9" s="85"/>
      <c r="LB9" s="85"/>
      <c r="LC9" s="85"/>
      <c r="LD9" s="85"/>
      <c r="LE9" s="85"/>
      <c r="LF9" s="85"/>
      <c r="LG9" s="85"/>
      <c r="LH9" s="85"/>
      <c r="LI9" s="85"/>
      <c r="LJ9" s="85"/>
      <c r="LK9" s="85"/>
      <c r="LL9" s="85"/>
      <c r="LM9" s="85"/>
      <c r="LN9" s="85"/>
      <c r="LO9" s="85"/>
      <c r="LP9" s="85"/>
      <c r="LQ9" s="85"/>
      <c r="LR9" s="85"/>
      <c r="LS9" s="85"/>
      <c r="LT9" s="85"/>
      <c r="LU9" s="85"/>
      <c r="LV9" s="85"/>
      <c r="LW9" s="85"/>
      <c r="LX9" s="85"/>
      <c r="LY9" s="85"/>
      <c r="LZ9" s="85"/>
      <c r="MA9" s="85"/>
      <c r="MB9" s="85"/>
      <c r="MC9" s="85"/>
      <c r="MD9" s="85"/>
      <c r="ME9" s="85"/>
      <c r="MF9" s="85"/>
      <c r="MG9" s="85"/>
      <c r="MH9" s="85"/>
      <c r="MI9" s="85"/>
      <c r="MJ9" s="85"/>
      <c r="MK9" s="85"/>
      <c r="ML9" s="85"/>
      <c r="MM9" s="85"/>
      <c r="MN9" s="85"/>
      <c r="MO9" s="85"/>
      <c r="MP9" s="85"/>
      <c r="MQ9" s="85"/>
      <c r="MR9" s="85"/>
      <c r="MS9" s="85"/>
      <c r="MT9" s="85"/>
      <c r="MU9" s="85"/>
      <c r="MV9" s="85"/>
      <c r="MW9" s="85"/>
      <c r="MX9" s="85"/>
      <c r="MY9" s="85"/>
      <c r="MZ9" s="85"/>
      <c r="NA9" s="85"/>
      <c r="NB9" s="85"/>
      <c r="NC9" s="85"/>
      <c r="ND9" s="85"/>
      <c r="NE9" s="85"/>
      <c r="NF9" s="85"/>
      <c r="NG9" s="85"/>
      <c r="NH9" s="85"/>
      <c r="NI9" s="85"/>
      <c r="NJ9" s="85"/>
      <c r="NK9" s="85"/>
      <c r="NL9" s="85"/>
      <c r="NM9" s="85"/>
      <c r="NN9" s="85"/>
      <c r="NO9" s="85"/>
      <c r="NP9" s="85"/>
      <c r="NQ9" s="85"/>
      <c r="NR9" s="85"/>
      <c r="NS9" s="85"/>
      <c r="NT9" s="85"/>
      <c r="NU9" s="85"/>
      <c r="NV9" s="85"/>
      <c r="NW9" s="85"/>
      <c r="NX9" s="85"/>
      <c r="NY9" s="85"/>
      <c r="NZ9" s="85"/>
      <c r="OA9" s="85"/>
      <c r="OB9" s="85"/>
      <c r="OC9" s="85"/>
      <c r="OD9" s="85"/>
      <c r="OE9" s="85"/>
      <c r="OF9" s="85"/>
      <c r="OG9" s="85"/>
      <c r="OH9" s="85"/>
      <c r="OI9" s="85"/>
      <c r="OJ9" s="85"/>
      <c r="OK9" s="85"/>
      <c r="OL9" s="85"/>
      <c r="OM9" s="85"/>
      <c r="ON9" s="85"/>
      <c r="OO9" s="85"/>
      <c r="OP9" s="85"/>
      <c r="OQ9" s="85"/>
      <c r="OR9" s="85"/>
      <c r="OS9" s="85"/>
      <c r="OT9" s="85"/>
      <c r="OU9" s="85"/>
      <c r="OV9" s="85"/>
      <c r="OW9" s="85"/>
      <c r="OX9" s="85"/>
      <c r="OY9" s="85"/>
      <c r="OZ9" s="85"/>
      <c r="PA9" s="85"/>
      <c r="PB9" s="85"/>
      <c r="PC9" s="85"/>
      <c r="PD9" s="85"/>
      <c r="PE9" s="85"/>
      <c r="PF9" s="85"/>
      <c r="PG9" s="85"/>
      <c r="PH9" s="85"/>
      <c r="PI9" s="85"/>
      <c r="PJ9" s="85"/>
      <c r="PK9" s="85"/>
      <c r="PL9" s="85"/>
      <c r="PM9" s="85"/>
      <c r="PN9" s="85"/>
      <c r="PO9" s="85"/>
      <c r="PP9" s="85"/>
      <c r="PQ9" s="85"/>
      <c r="PR9" s="85"/>
      <c r="PS9" s="85"/>
      <c r="PT9" s="85"/>
      <c r="PU9" s="85"/>
      <c r="PV9" s="85"/>
      <c r="PW9" s="85"/>
      <c r="PX9" s="85"/>
      <c r="PY9" s="85"/>
      <c r="PZ9" s="85"/>
      <c r="QA9" s="85"/>
      <c r="QB9" s="85"/>
      <c r="QC9" s="85"/>
      <c r="QD9" s="85"/>
      <c r="QE9" s="85"/>
      <c r="QF9" s="85"/>
      <c r="QG9" s="85"/>
      <c r="QH9" s="85"/>
      <c r="QI9" s="85"/>
      <c r="QJ9" s="85"/>
      <c r="QK9" s="85"/>
      <c r="QL9" s="85"/>
      <c r="QM9" s="85"/>
      <c r="QN9" s="85"/>
      <c r="QO9" s="85"/>
      <c r="QP9" s="85"/>
      <c r="QQ9" s="85"/>
      <c r="QR9" s="85"/>
      <c r="QS9" s="85"/>
      <c r="QT9" s="85"/>
      <c r="QU9" s="85"/>
      <c r="QV9" s="85"/>
      <c r="QW9" s="85"/>
      <c r="QX9" s="85"/>
      <c r="QY9" s="85"/>
      <c r="QZ9" s="85"/>
      <c r="RA9" s="85"/>
      <c r="RB9" s="85"/>
      <c r="RC9" s="85"/>
      <c r="RD9" s="85"/>
      <c r="RE9" s="85"/>
      <c r="RF9" s="85"/>
      <c r="RG9" s="85"/>
      <c r="RH9" s="85"/>
      <c r="RI9" s="85"/>
      <c r="RJ9" s="85"/>
      <c r="RK9" s="85"/>
      <c r="RL9" s="85"/>
      <c r="RM9" s="85"/>
      <c r="RN9" s="85"/>
      <c r="RO9" s="85"/>
      <c r="RP9" s="85"/>
      <c r="RQ9" s="85"/>
      <c r="RR9" s="85"/>
      <c r="RS9" s="85"/>
      <c r="RT9" s="85"/>
      <c r="RU9" s="85"/>
      <c r="RV9" s="85"/>
      <c r="RW9" s="85"/>
      <c r="RX9" s="85"/>
      <c r="RY9" s="85"/>
      <c r="RZ9" s="85"/>
      <c r="SA9" s="85"/>
      <c r="SB9" s="85"/>
      <c r="SC9" s="85"/>
      <c r="SD9" s="85"/>
      <c r="SE9" s="85"/>
      <c r="SF9" s="85"/>
      <c r="SG9" s="85"/>
      <c r="SH9" s="85"/>
      <c r="SI9" s="85"/>
      <c r="SJ9" s="85"/>
      <c r="SK9" s="85"/>
      <c r="SL9" s="85"/>
      <c r="SM9" s="85"/>
      <c r="SN9" s="85"/>
      <c r="SO9" s="85"/>
      <c r="SP9" s="85"/>
      <c r="SQ9" s="85"/>
      <c r="SR9" s="85"/>
      <c r="SS9" s="85"/>
      <c r="ST9" s="85"/>
      <c r="SU9" s="85"/>
      <c r="SV9" s="85"/>
      <c r="SW9" s="85"/>
      <c r="SX9" s="85"/>
      <c r="SY9" s="85"/>
      <c r="SZ9" s="85"/>
      <c r="TA9" s="85"/>
      <c r="TB9" s="85"/>
      <c r="TC9" s="85"/>
      <c r="TD9" s="85"/>
      <c r="TE9" s="85"/>
      <c r="TF9" s="85"/>
      <c r="TG9" s="85"/>
      <c r="TH9" s="85"/>
      <c r="TI9" s="85"/>
      <c r="TJ9" s="85"/>
      <c r="TK9" s="85"/>
      <c r="TL9" s="85"/>
      <c r="TM9" s="85"/>
      <c r="TN9" s="85"/>
      <c r="TO9" s="85"/>
      <c r="TP9" s="85"/>
      <c r="TQ9" s="85"/>
      <c r="TR9" s="85"/>
      <c r="TS9" s="85"/>
      <c r="TT9" s="85"/>
      <c r="TU9" s="85"/>
      <c r="TV9" s="85"/>
      <c r="TW9" s="85"/>
      <c r="TX9" s="85"/>
      <c r="TY9" s="85"/>
      <c r="TZ9" s="85"/>
      <c r="UA9" s="85"/>
      <c r="UB9" s="85"/>
      <c r="UC9" s="85"/>
      <c r="UD9" s="85"/>
      <c r="UE9" s="85"/>
      <c r="UF9" s="85"/>
      <c r="UG9" s="85"/>
      <c r="UH9" s="85"/>
      <c r="UI9" s="85"/>
      <c r="UJ9" s="85"/>
      <c r="UK9" s="85"/>
      <c r="UL9" s="85"/>
      <c r="UM9" s="85"/>
      <c r="UN9" s="85"/>
      <c r="UO9" s="85"/>
      <c r="UP9" s="85"/>
      <c r="UQ9" s="85"/>
      <c r="UR9" s="85"/>
      <c r="US9" s="85"/>
      <c r="UT9" s="85"/>
      <c r="UU9" s="85"/>
      <c r="UV9" s="85"/>
      <c r="UW9" s="85"/>
      <c r="UX9" s="85"/>
      <c r="UY9" s="85"/>
      <c r="UZ9" s="85"/>
      <c r="VA9" s="85"/>
      <c r="VB9" s="85"/>
      <c r="VC9" s="85"/>
      <c r="VD9" s="85"/>
      <c r="VE9" s="85"/>
      <c r="VF9" s="85"/>
      <c r="VG9" s="85"/>
      <c r="VH9" s="85"/>
      <c r="VI9" s="85"/>
      <c r="VJ9" s="85"/>
      <c r="VK9" s="85"/>
      <c r="VL9" s="85"/>
      <c r="VM9" s="85"/>
      <c r="VN9" s="85"/>
      <c r="VO9" s="85"/>
      <c r="VP9" s="85"/>
      <c r="VQ9" s="85"/>
      <c r="VR9" s="85"/>
      <c r="VS9" s="85"/>
      <c r="VT9" s="85"/>
      <c r="VU9" s="85"/>
      <c r="VV9" s="85"/>
      <c r="VW9" s="85"/>
      <c r="VX9" s="85"/>
      <c r="VY9" s="85"/>
      <c r="VZ9" s="85"/>
      <c r="WA9" s="85"/>
      <c r="WB9" s="85"/>
      <c r="WC9" s="85"/>
      <c r="WD9" s="85"/>
      <c r="WE9" s="85"/>
      <c r="WF9" s="85"/>
      <c r="WG9" s="85"/>
      <c r="WH9" s="85"/>
      <c r="WI9" s="85"/>
      <c r="WJ9" s="85"/>
      <c r="WK9" s="85"/>
      <c r="WL9" s="85"/>
      <c r="WM9" s="85"/>
      <c r="WN9" s="85"/>
      <c r="WO9" s="85"/>
      <c r="WP9" s="85"/>
      <c r="WQ9" s="85"/>
      <c r="WR9" s="85"/>
      <c r="WS9" s="85"/>
      <c r="WT9" s="85"/>
      <c r="WU9" s="85"/>
      <c r="WV9" s="85"/>
      <c r="WW9" s="85"/>
      <c r="WX9" s="85"/>
      <c r="WY9" s="85"/>
      <c r="WZ9" s="85"/>
      <c r="XA9" s="85"/>
      <c r="XB9" s="85"/>
      <c r="XC9" s="85"/>
      <c r="XD9" s="85"/>
      <c r="XE9" s="85"/>
      <c r="XF9" s="85"/>
      <c r="XG9" s="85"/>
      <c r="XH9" s="85"/>
      <c r="XI9" s="85"/>
      <c r="XJ9" s="85"/>
      <c r="XK9" s="85"/>
      <c r="XL9" s="85"/>
      <c r="XM9" s="85"/>
      <c r="XN9" s="85"/>
      <c r="XO9" s="85"/>
      <c r="XP9" s="85"/>
      <c r="XQ9" s="85"/>
      <c r="XR9" s="85"/>
      <c r="XS9" s="85"/>
      <c r="XT9" s="85"/>
      <c r="XU9" s="85"/>
      <c r="XV9" s="85"/>
      <c r="XW9" s="85"/>
      <c r="XX9" s="85"/>
      <c r="XY9" s="85"/>
      <c r="XZ9" s="85"/>
      <c r="YA9" s="85"/>
      <c r="YB9" s="85"/>
      <c r="YC9" s="85"/>
      <c r="YD9" s="85"/>
      <c r="YE9" s="85"/>
      <c r="YF9" s="85"/>
      <c r="YG9" s="85"/>
      <c r="YH9" s="85"/>
      <c r="YI9" s="85"/>
      <c r="YJ9" s="85"/>
      <c r="YK9" s="85"/>
      <c r="YL9" s="85"/>
      <c r="YM9" s="85"/>
      <c r="YN9" s="85"/>
      <c r="YO9" s="85"/>
      <c r="YP9" s="85"/>
      <c r="YQ9" s="85"/>
      <c r="YR9" s="85"/>
      <c r="YS9" s="85"/>
      <c r="YT9" s="85"/>
      <c r="YU9" s="85"/>
      <c r="YV9" s="85"/>
      <c r="YW9" s="85"/>
      <c r="YX9" s="85"/>
      <c r="YY9" s="85"/>
      <c r="YZ9" s="85"/>
      <c r="ZA9" s="85"/>
      <c r="ZB9" s="85"/>
      <c r="ZC9" s="85"/>
      <c r="ZD9" s="85"/>
      <c r="ZE9" s="85"/>
      <c r="ZF9" s="85"/>
      <c r="ZG9" s="85"/>
      <c r="ZH9" s="85"/>
      <c r="ZI9" s="85"/>
      <c r="ZJ9" s="85"/>
      <c r="ZK9" s="85"/>
      <c r="ZL9" s="85"/>
      <c r="ZM9" s="85"/>
      <c r="ZN9" s="85"/>
      <c r="ZO9" s="85"/>
      <c r="ZP9" s="85"/>
      <c r="ZQ9" s="85"/>
      <c r="ZR9" s="85"/>
      <c r="ZS9" s="85"/>
      <c r="ZT9" s="85"/>
      <c r="ZU9" s="85"/>
      <c r="ZV9" s="85"/>
      <c r="ZW9" s="85"/>
      <c r="ZX9" s="85"/>
      <c r="ZY9" s="85"/>
      <c r="ZZ9" s="85"/>
      <c r="AAA9" s="85"/>
      <c r="AAB9" s="85"/>
      <c r="AAC9" s="85"/>
      <c r="AAD9" s="85"/>
      <c r="AAE9" s="85"/>
      <c r="AAF9" s="85"/>
      <c r="AAG9" s="85"/>
      <c r="AAH9" s="85"/>
      <c r="AAI9" s="85"/>
      <c r="AAJ9" s="85"/>
      <c r="AAK9" s="85"/>
      <c r="AAL9" s="85"/>
      <c r="AAM9" s="85"/>
      <c r="AAN9" s="85"/>
      <c r="AAO9" s="85"/>
      <c r="AAP9" s="85"/>
      <c r="AAQ9" s="85"/>
      <c r="AAR9" s="85"/>
      <c r="AAS9" s="85"/>
      <c r="AAT9" s="85"/>
      <c r="AAU9" s="85"/>
      <c r="AAV9" s="85"/>
      <c r="AAW9" s="85"/>
      <c r="AAX9" s="85"/>
      <c r="AAY9" s="85"/>
      <c r="AAZ9" s="85"/>
      <c r="ABA9" s="85"/>
      <c r="ABB9" s="85"/>
      <c r="ABC9" s="85"/>
      <c r="ABD9" s="85"/>
      <c r="ABE9" s="85"/>
      <c r="ABF9" s="85"/>
      <c r="ABG9" s="85"/>
      <c r="ABH9" s="85"/>
      <c r="ABI9" s="85"/>
      <c r="ABJ9" s="85"/>
      <c r="ABK9" s="85"/>
      <c r="ABL9" s="85"/>
      <c r="ABM9" s="85"/>
      <c r="ABN9" s="85"/>
      <c r="ABO9" s="85"/>
      <c r="ABP9" s="85"/>
      <c r="ABQ9" s="85"/>
      <c r="ABR9" s="85"/>
      <c r="ABS9" s="85"/>
      <c r="ABT9" s="85"/>
      <c r="ABU9" s="85"/>
      <c r="ABV9" s="85"/>
      <c r="ABW9" s="85"/>
      <c r="ABX9" s="85"/>
      <c r="ABY9" s="85"/>
      <c r="ABZ9" s="85"/>
      <c r="ACA9" s="85"/>
      <c r="ACB9" s="85"/>
      <c r="ACC9" s="85"/>
      <c r="ACD9" s="85"/>
      <c r="ACE9" s="85"/>
      <c r="ACF9" s="85"/>
      <c r="ACG9" s="85"/>
      <c r="ACH9" s="85"/>
      <c r="ACI9" s="85"/>
      <c r="ACJ9" s="85"/>
      <c r="ACK9" s="85"/>
      <c r="ACL9" s="85"/>
      <c r="ACM9" s="85"/>
      <c r="ACN9" s="85"/>
      <c r="ACO9" s="85"/>
      <c r="ACP9" s="85"/>
      <c r="ACQ9" s="85"/>
      <c r="ACR9" s="85"/>
      <c r="ACS9" s="85"/>
      <c r="ACT9" s="85"/>
      <c r="ACU9" s="85"/>
      <c r="ACV9" s="85"/>
      <c r="ACW9" s="85"/>
      <c r="ACX9" s="85"/>
      <c r="ACY9" s="85"/>
      <c r="ACZ9" s="85"/>
      <c r="ADA9" s="85"/>
      <c r="ADB9" s="85"/>
      <c r="ADC9" s="85"/>
      <c r="ADD9" s="85"/>
      <c r="ADE9" s="85"/>
      <c r="ADF9" s="85"/>
      <c r="ADG9" s="85"/>
      <c r="ADH9" s="85"/>
      <c r="ADI9" s="85"/>
      <c r="ADJ9" s="85"/>
      <c r="ADK9" s="85"/>
      <c r="ADL9" s="85"/>
      <c r="ADM9" s="85"/>
      <c r="ADN9" s="85"/>
      <c r="ADO9" s="85"/>
      <c r="ADP9" s="85"/>
      <c r="ADQ9" s="85"/>
      <c r="ADR9" s="85"/>
      <c r="ADS9" s="85"/>
      <c r="ADT9" s="85"/>
      <c r="ADU9" s="85"/>
      <c r="ADV9" s="85"/>
      <c r="ADW9" s="85"/>
      <c r="ADX9" s="85"/>
      <c r="ADY9" s="85"/>
      <c r="ADZ9" s="85"/>
      <c r="AEA9" s="85"/>
      <c r="AEB9" s="85"/>
      <c r="AEC9" s="85"/>
      <c r="AED9" s="85"/>
      <c r="AEE9" s="85"/>
      <c r="AEF9" s="85"/>
      <c r="AEG9" s="85"/>
      <c r="AEH9" s="85"/>
      <c r="AEI9" s="85"/>
      <c r="AEJ9" s="85"/>
      <c r="AEK9" s="85"/>
      <c r="AEL9" s="85"/>
      <c r="AEM9" s="85"/>
      <c r="AEN9" s="85"/>
      <c r="AEO9" s="85"/>
      <c r="AEP9" s="85"/>
      <c r="AEQ9" s="85"/>
      <c r="AER9" s="85"/>
      <c r="AES9" s="85"/>
      <c r="AET9" s="85"/>
      <c r="AEU9" s="85"/>
      <c r="AEV9" s="85"/>
      <c r="AEW9" s="85"/>
      <c r="AEX9" s="85"/>
      <c r="AEY9" s="85"/>
      <c r="AEZ9" s="85"/>
      <c r="AFA9" s="85"/>
      <c r="AFB9" s="85"/>
      <c r="AFC9" s="85"/>
      <c r="AFD9" s="85"/>
      <c r="AFE9" s="85"/>
      <c r="AFF9" s="85"/>
      <c r="AFG9" s="85"/>
      <c r="AFH9" s="85"/>
      <c r="AFI9" s="85"/>
      <c r="AFJ9" s="85"/>
      <c r="AFK9" s="85"/>
      <c r="AFL9" s="85"/>
      <c r="AFM9" s="85"/>
      <c r="AFN9" s="85"/>
      <c r="AFO9" s="85"/>
      <c r="AFP9" s="85"/>
      <c r="AFQ9" s="85"/>
      <c r="AFR9" s="85"/>
      <c r="AFS9" s="85"/>
      <c r="AFT9" s="85"/>
      <c r="AFU9" s="85"/>
      <c r="AFV9" s="85"/>
      <c r="AFW9" s="85"/>
      <c r="AFX9" s="85"/>
      <c r="AFY9" s="85"/>
      <c r="AFZ9" s="85"/>
      <c r="AGA9" s="85"/>
      <c r="AGB9" s="85"/>
      <c r="AGC9" s="85"/>
      <c r="AGD9" s="85"/>
      <c r="AGE9" s="85"/>
      <c r="AGF9" s="85"/>
      <c r="AGG9" s="85"/>
      <c r="AGH9" s="85"/>
      <c r="AGI9" s="85"/>
      <c r="AGJ9" s="85"/>
      <c r="AGK9" s="85"/>
      <c r="AGL9" s="85"/>
      <c r="AGM9" s="85"/>
      <c r="AGN9" s="85"/>
      <c r="AGO9" s="85"/>
      <c r="AGP9" s="85"/>
      <c r="AGQ9" s="85"/>
      <c r="AGR9" s="85"/>
      <c r="AGS9" s="85"/>
      <c r="AGT9" s="85"/>
      <c r="AGU9" s="85"/>
      <c r="AGV9" s="85"/>
      <c r="AGW9" s="85"/>
      <c r="AGX9" s="85"/>
    </row>
    <row r="10" spans="1:882" ht="12" hidden="1" customHeight="1" x14ac:dyDescent="0.45">
      <c r="B10" s="236" t="str">
        <f t="shared" si="0"/>
        <v/>
      </c>
      <c r="C10" s="237"/>
      <c r="D10" s="238"/>
      <c r="E10" s="239" t="str">
        <f t="shared" si="21"/>
        <v/>
      </c>
      <c r="F10" s="240"/>
      <c r="G10" s="240"/>
      <c r="H10" s="241"/>
      <c r="I10" s="240"/>
      <c r="J10" s="238"/>
      <c r="K10" s="240"/>
      <c r="L10" s="238"/>
      <c r="M10" s="238"/>
      <c r="N10" s="240"/>
      <c r="O10" s="242"/>
      <c r="P10" s="242"/>
      <c r="Q10" s="242">
        <f t="shared" si="42"/>
        <v>0</v>
      </c>
      <c r="R10" s="242" t="str">
        <f t="shared" si="43"/>
        <v/>
      </c>
      <c r="S10" s="242"/>
      <c r="T10" s="243">
        <f t="shared" si="44"/>
        <v>0</v>
      </c>
      <c r="U10" s="242" t="str">
        <f t="shared" si="45"/>
        <v/>
      </c>
      <c r="V10" s="242"/>
      <c r="W10" s="242"/>
      <c r="X10" s="242"/>
      <c r="Y10" s="242"/>
      <c r="Z10" s="242"/>
      <c r="AA10" s="243">
        <f t="shared" si="46"/>
        <v>0</v>
      </c>
      <c r="AB10" s="242" t="str">
        <f t="shared" si="47"/>
        <v/>
      </c>
      <c r="AC10" s="242"/>
      <c r="AD10" s="242">
        <f t="shared" si="48"/>
        <v>0</v>
      </c>
      <c r="AE10" s="242" t="str">
        <f t="shared" si="49"/>
        <v/>
      </c>
      <c r="AF10" s="242"/>
      <c r="AG10" s="242">
        <f>IF(AND(Q10&gt;0,AF10&gt;=1),MIN(INT(AF10)*2,150),0)</f>
        <v>0</v>
      </c>
      <c r="AH10" s="242">
        <f>IF(OR(AG10&gt;0,AD10&gt;0),MIN(AG10+AD10,150),0)</f>
        <v>0</v>
      </c>
      <c r="AI10" s="242" t="str">
        <f t="shared" si="50"/>
        <v/>
      </c>
      <c r="AJ10" s="242"/>
      <c r="AK10" s="242"/>
      <c r="AL10" s="242">
        <f>IF(AND(Q10&gt;0,AI10=1,),100,0)</f>
        <v>0</v>
      </c>
      <c r="AM10" s="242" t="str">
        <f t="shared" si="51"/>
        <v/>
      </c>
      <c r="AN10" s="242"/>
      <c r="AO10" s="242"/>
      <c r="AP10" s="242">
        <f>IF(AND(Q10&gt;0,AI10=1,AM10=1),100,0)</f>
        <v>0</v>
      </c>
      <c r="AQ10" s="242" t="str">
        <f t="shared" si="52"/>
        <v/>
      </c>
      <c r="AR10" s="242"/>
      <c r="AS10" s="242"/>
      <c r="AT10" s="242"/>
      <c r="AU10" s="242"/>
      <c r="AV10" s="242"/>
      <c r="AW10" s="242"/>
      <c r="AX10" s="242"/>
      <c r="AY10" s="242">
        <f t="shared" si="53"/>
        <v>0</v>
      </c>
      <c r="AZ10" s="242">
        <f t="shared" si="54"/>
        <v>0</v>
      </c>
      <c r="BA10" s="242"/>
      <c r="BB10" s="242"/>
      <c r="BC10" s="242"/>
      <c r="BD10" s="242">
        <f>IF(OR(D10="新築",D10="登録"),MIN(1000,Q10+T10+AA10+AH10+AL10+AP10+AZ10),0)</f>
        <v>0</v>
      </c>
      <c r="BE10" s="242"/>
      <c r="BF10" s="244"/>
      <c r="BG10" s="242"/>
      <c r="BH10" s="242">
        <f t="shared" si="55"/>
        <v>0</v>
      </c>
      <c r="BI10" s="242" t="str">
        <f t="shared" si="56"/>
        <v/>
      </c>
      <c r="BJ10" s="242"/>
      <c r="BK10" s="242"/>
      <c r="BL10" s="242" t="e">
        <f>IF(AND(BH10&gt;0,BI10=1,#REF!=""),100,0)</f>
        <v>#REF!</v>
      </c>
      <c r="BM10" s="242" t="str">
        <f t="shared" si="57"/>
        <v/>
      </c>
      <c r="BN10" s="242"/>
      <c r="BO10" s="242"/>
      <c r="BP10" s="242"/>
      <c r="BQ10" s="242">
        <f t="shared" si="58"/>
        <v>0</v>
      </c>
      <c r="BR10" s="242" t="str">
        <f t="shared" si="59"/>
        <v/>
      </c>
      <c r="BS10" s="242"/>
      <c r="BT10" s="242"/>
      <c r="BU10" s="242"/>
      <c r="BV10" s="242">
        <f t="shared" si="60"/>
        <v>0</v>
      </c>
      <c r="BW10" s="242"/>
      <c r="BX10" s="242">
        <f>IF(D10="改修",MIN(500,BH10+BL10+BQ10+BV10,INT(CQ10*10/2)),0)</f>
        <v>0</v>
      </c>
      <c r="BY10" s="245"/>
      <c r="BZ10" s="246"/>
      <c r="CA10" s="246"/>
      <c r="CB10" s="246"/>
      <c r="CC10" s="246"/>
      <c r="CD10" s="247"/>
      <c r="CE10" s="245"/>
      <c r="CF10" s="246"/>
      <c r="CG10" s="246"/>
      <c r="CH10" s="246"/>
      <c r="CI10" s="246"/>
      <c r="CJ10" s="247"/>
      <c r="CK10" s="241"/>
      <c r="CL10" s="248">
        <f t="shared" si="61"/>
        <v>0</v>
      </c>
      <c r="CM10" s="240"/>
      <c r="CN10" s="240"/>
      <c r="CO10" s="238"/>
      <c r="CP10" s="240"/>
      <c r="CQ10" s="249"/>
      <c r="CR10" s="238"/>
      <c r="CS10" s="241"/>
      <c r="CT10" s="240"/>
      <c r="CU10" s="240"/>
      <c r="CV10" s="241"/>
      <c r="CW10" s="241"/>
      <c r="CX10" s="240"/>
      <c r="CY10" s="240"/>
      <c r="CZ10" s="240"/>
      <c r="DA10" s="240"/>
      <c r="DB10" s="240"/>
      <c r="DC10" s="240"/>
      <c r="DD10" s="240"/>
      <c r="DE10" s="240"/>
      <c r="DF10" s="240"/>
      <c r="DG10" s="240"/>
      <c r="DH10" s="240"/>
      <c r="DI10" s="240"/>
      <c r="DJ10" s="240"/>
      <c r="DK10" s="240"/>
      <c r="DL10" s="250"/>
      <c r="DM10" s="240"/>
      <c r="DN10" s="242"/>
      <c r="DO10" s="242"/>
      <c r="DP10" s="242"/>
      <c r="DQ10" s="242">
        <f t="shared" si="1"/>
        <v>0</v>
      </c>
      <c r="DR10" s="242">
        <f t="shared" si="2"/>
        <v>0</v>
      </c>
      <c r="DS10" s="242" t="str">
        <f t="shared" si="22"/>
        <v/>
      </c>
      <c r="DT10" s="242"/>
      <c r="DU10" s="242"/>
      <c r="DV10" s="243">
        <f t="shared" si="23"/>
        <v>0</v>
      </c>
      <c r="DW10" s="242">
        <f t="shared" si="3"/>
        <v>0</v>
      </c>
      <c r="DX10" s="242" t="str">
        <f t="shared" si="24"/>
        <v/>
      </c>
      <c r="DY10" s="242"/>
      <c r="DZ10" s="242"/>
      <c r="EA10" s="243">
        <f t="shared" si="25"/>
        <v>0</v>
      </c>
      <c r="EB10" s="242">
        <f t="shared" si="4"/>
        <v>0</v>
      </c>
      <c r="EC10" s="242" t="str">
        <f t="shared" si="26"/>
        <v/>
      </c>
      <c r="ED10" s="242"/>
      <c r="EE10" s="242"/>
      <c r="EF10" s="242">
        <f t="shared" si="27"/>
        <v>0</v>
      </c>
      <c r="EG10" s="242" t="str">
        <f t="shared" si="28"/>
        <v/>
      </c>
      <c r="EH10" s="242"/>
      <c r="EI10" s="242">
        <f t="shared" si="5"/>
        <v>0</v>
      </c>
      <c r="EJ10" s="242">
        <f t="shared" si="6"/>
        <v>0</v>
      </c>
      <c r="EK10" s="242">
        <f t="shared" si="7"/>
        <v>0</v>
      </c>
      <c r="EL10" s="242" t="str">
        <f t="shared" si="29"/>
        <v/>
      </c>
      <c r="EM10" s="242"/>
      <c r="EN10" s="242"/>
      <c r="EO10" s="242" t="e">
        <f>IF(AND(DQ10&gt;0,EL10=1,#REF!=""),100,0)</f>
        <v>#REF!</v>
      </c>
      <c r="EP10" s="242" t="e">
        <f t="shared" si="8"/>
        <v>#REF!</v>
      </c>
      <c r="EQ10" s="242" t="str">
        <f t="shared" si="30"/>
        <v/>
      </c>
      <c r="ER10" s="242"/>
      <c r="ES10" s="242"/>
      <c r="ET10" s="242">
        <f t="shared" si="31"/>
        <v>0</v>
      </c>
      <c r="EU10" s="242">
        <f t="shared" si="9"/>
        <v>0</v>
      </c>
      <c r="EV10" s="242" t="str">
        <f t="shared" si="32"/>
        <v/>
      </c>
      <c r="EW10" s="242"/>
      <c r="EX10" s="242"/>
      <c r="EY10" s="242"/>
      <c r="EZ10" s="242"/>
      <c r="FA10" s="242"/>
      <c r="FB10" s="242"/>
      <c r="FC10" s="242"/>
      <c r="FD10" s="242">
        <f t="shared" si="33"/>
        <v>0</v>
      </c>
      <c r="FE10" s="242">
        <f t="shared" si="34"/>
        <v>0</v>
      </c>
      <c r="FF10" s="242">
        <f t="shared" si="10"/>
        <v>0</v>
      </c>
      <c r="FG10" s="242"/>
      <c r="FH10" s="242"/>
      <c r="FI10" s="242"/>
      <c r="FJ10" s="242"/>
      <c r="FK10" s="242"/>
      <c r="FL10" s="242">
        <f t="shared" si="11"/>
        <v>0</v>
      </c>
      <c r="FM10" s="242">
        <f t="shared" si="12"/>
        <v>0</v>
      </c>
      <c r="FN10" s="242"/>
      <c r="FO10" s="251"/>
      <c r="FP10" s="251"/>
      <c r="FQ10" s="242"/>
      <c r="FR10" s="242"/>
      <c r="FS10" s="242">
        <f t="shared" si="35"/>
        <v>0</v>
      </c>
      <c r="FT10" s="242">
        <f t="shared" si="13"/>
        <v>0</v>
      </c>
      <c r="FU10" s="242" t="str">
        <f t="shared" si="36"/>
        <v/>
      </c>
      <c r="FV10" s="242"/>
      <c r="FW10" s="242"/>
      <c r="FX10" s="242" t="e">
        <f>IF(AND(FS10&gt;0,FU10=1,#REF!=""),100,0)</f>
        <v>#REF!</v>
      </c>
      <c r="FY10" s="242" t="e">
        <f t="shared" si="14"/>
        <v>#REF!</v>
      </c>
      <c r="FZ10" s="242" t="str">
        <f t="shared" si="37"/>
        <v/>
      </c>
      <c r="GA10" s="242"/>
      <c r="GB10" s="242"/>
      <c r="GC10" s="242"/>
      <c r="GD10" s="242">
        <f t="shared" si="38"/>
        <v>0</v>
      </c>
      <c r="GE10" s="242">
        <f t="shared" si="15"/>
        <v>0</v>
      </c>
      <c r="GF10" s="242" t="str">
        <f t="shared" si="39"/>
        <v/>
      </c>
      <c r="GG10" s="242"/>
      <c r="GH10" s="242"/>
      <c r="GI10" s="242"/>
      <c r="GJ10" s="242">
        <f t="shared" si="40"/>
        <v>0</v>
      </c>
      <c r="GK10" s="242">
        <f t="shared" si="16"/>
        <v>0</v>
      </c>
      <c r="GL10" s="242"/>
      <c r="GM10" s="242"/>
      <c r="GN10" s="242">
        <f t="shared" si="17"/>
        <v>0</v>
      </c>
      <c r="GO10" s="242">
        <f t="shared" si="18"/>
        <v>0</v>
      </c>
      <c r="GP10" s="240"/>
      <c r="GQ10" s="241"/>
      <c r="GR10" s="241"/>
      <c r="GS10" s="241"/>
      <c r="GT10" s="232">
        <f t="shared" si="19"/>
        <v>0</v>
      </c>
      <c r="GU10" s="232">
        <f t="shared" si="20"/>
        <v>0</v>
      </c>
      <c r="GV10" s="232">
        <f t="shared" si="41"/>
        <v>0</v>
      </c>
    </row>
    <row r="11" spans="1:882" s="235" customFormat="1" ht="30" customHeight="1" outlineLevel="1" x14ac:dyDescent="0.45">
      <c r="A11" s="235" t="s">
        <v>342</v>
      </c>
      <c r="B11" s="215" t="str">
        <f t="shared" si="0"/>
        <v/>
      </c>
      <c r="C11" s="252"/>
      <c r="D11" s="217" t="s">
        <v>317</v>
      </c>
      <c r="E11" s="218" t="str">
        <f t="shared" si="21"/>
        <v/>
      </c>
      <c r="F11" s="219"/>
      <c r="G11" s="217"/>
      <c r="H11" s="220"/>
      <c r="I11" s="221" t="str">
        <f>IF('【様式第２号の２】事業計画書兼チェックシート（改修）'!N13="","",'【様式第２号の２】事業計画書兼チェックシート（改修）'!N13)</f>
        <v/>
      </c>
      <c r="J11" s="221" t="str">
        <f>IF('【様式第２号の２】事業計画書兼チェックシート（改修）'!O11="","",'【様式第２号の２】事業計画書兼チェックシート（改修）'!O11)</f>
        <v/>
      </c>
      <c r="K11" s="221" t="str">
        <f>IF('【様式第２号の２】事業計画書兼チェックシート（改修）'!N12="","",'【様式第２号の２】事業計画書兼チェックシート（改修）'!N12)</f>
        <v/>
      </c>
      <c r="L11" s="221" t="str">
        <f>IF('【様式第２号の２】事業計画書兼チェックシート（改修）'!N15="","",'【様式第２号の２】事業計画書兼チェックシート（改修）'!N15)</f>
        <v/>
      </c>
      <c r="M11" s="221" t="str">
        <f>IF('【様式第２号の２】事業計画書兼チェックシート（改修）'!M31="","",'【様式第２号の２】事業計画書兼チェックシート（改修）'!M31)</f>
        <v/>
      </c>
      <c r="N11" s="221" t="str">
        <f>IF('【様式第２号の２】事業計画書兼チェックシート（改修）'!M32="","",'【様式第２号の２】事業計画書兼チェックシート（改修）'!M32)</f>
        <v/>
      </c>
      <c r="O11" s="223"/>
      <c r="P11" s="223"/>
      <c r="Q11" s="224"/>
      <c r="R11" s="223"/>
      <c r="S11" s="223"/>
      <c r="T11" s="225"/>
      <c r="U11" s="223"/>
      <c r="V11" s="223"/>
      <c r="W11" s="223"/>
      <c r="X11" s="223"/>
      <c r="Y11" s="223"/>
      <c r="Z11" s="223"/>
      <c r="AA11" s="225"/>
      <c r="AB11" s="223"/>
      <c r="AC11" s="223"/>
      <c r="AD11" s="223"/>
      <c r="AE11" s="223"/>
      <c r="AF11" s="223"/>
      <c r="AG11" s="223"/>
      <c r="AH11" s="224"/>
      <c r="AI11" s="253"/>
      <c r="AJ11" s="223"/>
      <c r="AK11" s="223"/>
      <c r="AL11" s="254"/>
      <c r="AM11" s="223"/>
      <c r="AN11" s="223"/>
      <c r="AO11" s="223"/>
      <c r="AP11" s="255"/>
      <c r="AQ11" s="223"/>
      <c r="AR11" s="223"/>
      <c r="AS11" s="223"/>
      <c r="AT11" s="223"/>
      <c r="AU11" s="223"/>
      <c r="AV11" s="223"/>
      <c r="AW11" s="223"/>
      <c r="AX11" s="223"/>
      <c r="AY11" s="223"/>
      <c r="AZ11" s="224"/>
      <c r="BA11" s="226"/>
      <c r="BB11" s="226"/>
      <c r="BC11" s="226"/>
      <c r="BD11" s="224"/>
      <c r="BE11" s="221" t="str">
        <f>IF('【様式第２号の２】事業計画書兼チェックシート（改修）'!Q89="","",'【様式第２号の２】事業計画書兼チェックシート（改修）'!Q89)</f>
        <v/>
      </c>
      <c r="BF11" s="221">
        <f>IF('【様式第２号の２】事業計画書兼チェックシート（改修）'!Q90="",0,'【様式第２号の２】事業計画書兼チェックシート（改修）'!Q90)</f>
        <v>0</v>
      </c>
      <c r="BG11" s="221">
        <f>IF('【様式第２号の２】事業計画書兼チェックシート（改修）'!Q91="",0,'【様式第２号の２】事業計画書兼チェックシート（改修）'!Q91)</f>
        <v>0</v>
      </c>
      <c r="BH11" s="255">
        <f>IFERROR(MIN(ROUNDDOWN(BF11,1)*20+INT(BG11)*2,250),"0")</f>
        <v>0</v>
      </c>
      <c r="BI11" s="223" t="str">
        <f>IF(OR(BJ11=1,BK11=1),1,"")</f>
        <v/>
      </c>
      <c r="BJ11" s="223" t="str">
        <f>IF('【様式第２号の２】事業計画書兼チェックシート（改修）'!Y104="","",IF('【様式第２号の２】事業計画書兼チェックシート（改修）'!B106="","",1))</f>
        <v/>
      </c>
      <c r="BK11" s="223" t="str">
        <f>IF('【様式第２号の２】事業計画書兼チェックシート（改修）'!Y104="","",IF('【様式第２号の２】事業計画書兼チェックシート（改修）'!P106="","",1))</f>
        <v/>
      </c>
      <c r="BL11" s="255" t="str">
        <f>IFERROR('【様式第２号の２】事業計画書兼チェックシート（改修）'!Y104*10,"0")</f>
        <v>0</v>
      </c>
      <c r="BM11" s="223" t="str">
        <f>IF(OR(BN11=1,BO11=1,BP11=1),1,"")</f>
        <v/>
      </c>
      <c r="BN11" s="223" t="str">
        <f>IF('【様式第２号の２】事業計画書兼チェックシート（改修）'!Y121="","",IF('【様式第２号の２】事業計画書兼チェックシート（改修）'!B134="","",1))</f>
        <v/>
      </c>
      <c r="BO11" s="223" t="str">
        <f>IF('【様式第２号の２】事業計画書兼チェックシート（改修）'!Y121="","",IF('【様式第２号の２】事業計画書兼チェックシート（改修）'!B136="","",1))</f>
        <v/>
      </c>
      <c r="BP11" s="223" t="str">
        <f>IF('【様式第２号の２】事業計画書兼チェックシート（改修）'!Y121="","",IF('【様式第２号の２】事業計画書兼チェックシート（改修）'!B138="","",1))</f>
        <v/>
      </c>
      <c r="BQ11" s="255" t="str">
        <f>IFERROR('【様式第２号の２】事業計画書兼チェックシート（改修）'!Y121*10,"0")</f>
        <v>0</v>
      </c>
      <c r="BR11" s="223" t="str">
        <f>IFERROR(IF(OR(AND(BS11&gt;=7,BT11&gt;=7,BS11+BT11&gt;=14),AND(BS11&gt;=7,BU11&gt;=3,BU11+BS11&gt;=10),AND(BT11&gt;=7,BU11&gt;=3,BT11+BU11&gt;=10)),1,""),"")</f>
        <v/>
      </c>
      <c r="BS11" s="221">
        <f>IF('【様式第２号の２】事業計画書兼チェックシート（改修）'!N163="",0,'【様式第２号の２】事業計画書兼チェックシート（改修）'!N163)</f>
        <v>0</v>
      </c>
      <c r="BT11" s="221">
        <f>IF('【様式第２号の２】事業計画書兼チェックシート（改修）'!N170="",0,'【様式第２号の２】事業計画書兼チェックシート（改修）'!N170)</f>
        <v>0</v>
      </c>
      <c r="BU11" s="221">
        <f>IF('【様式第２号の２】事業計画書兼チェックシート（改修）'!N181="",0,'【様式第２号の２】事業計画書兼チェックシート（改修）'!N181)</f>
        <v>0</v>
      </c>
      <c r="BV11" s="255" t="str">
        <f>IFERROR('【様式第２号の２】事業計画書兼チェックシート（改修）'!Y151*10,"0")</f>
        <v>0</v>
      </c>
      <c r="BW11" s="266" t="str">
        <f>IF('【様式第２号の２】事業計画書兼チェックシート（改修）'!R170="","",'【様式第２号の２】事業計画書兼チェックシート（改修）'!R170)</f>
        <v/>
      </c>
      <c r="BX11" s="224">
        <f>IFERROR(IF(D11="改修",MIN(500,BH11+BL11+BQ11+BV11,INT(CQ11*10/2)),0),0)</f>
        <v>0</v>
      </c>
      <c r="BY11" s="256" t="str">
        <f>IF('【様式第２号の２】事業計画書兼チェックシート（改修）'!N37="","",'【様式第２号の２】事業計画書兼チェックシート（改修）'!N37)</f>
        <v/>
      </c>
      <c r="BZ11" s="229" t="s">
        <v>87</v>
      </c>
      <c r="CA11" s="229" t="str">
        <f>IF('【様式第２号の２】事業計画書兼チェックシート（改修）'!S37="","",'【様式第２号の２】事業計画書兼チェックシート（改修）'!S37)</f>
        <v/>
      </c>
      <c r="CB11" s="229" t="s">
        <v>155</v>
      </c>
      <c r="CC11" s="229" t="str">
        <f>IF('【様式第２号の２】事業計画書兼チェックシート（改修）'!V37="","",'【様式第２号の２】事業計画書兼チェックシート（改修）'!V37)</f>
        <v/>
      </c>
      <c r="CD11" s="231" t="s">
        <v>85</v>
      </c>
      <c r="CE11" s="256" t="str">
        <f>IF('【様式第２号の２】事業計画書兼チェックシート（改修）'!N38="","",'【様式第２号の２】事業計画書兼チェックシート（改修）'!N38)</f>
        <v/>
      </c>
      <c r="CF11" s="229" t="s">
        <v>87</v>
      </c>
      <c r="CG11" s="229" t="str">
        <f>IF('【様式第２号の２】事業計画書兼チェックシート（改修）'!S38="","",'【様式第２号の２】事業計画書兼チェックシート（改修）'!S38)</f>
        <v/>
      </c>
      <c r="CH11" s="229" t="s">
        <v>155</v>
      </c>
      <c r="CI11" s="229" t="str">
        <f>IF('【様式第２号の２】事業計画書兼チェックシート（改修）'!V38="","",'【様式第２号の２】事業計画書兼チェックシート（改修）'!V38)</f>
        <v/>
      </c>
      <c r="CJ11" s="231" t="s">
        <v>85</v>
      </c>
      <c r="CK11" s="219"/>
      <c r="CL11" s="232">
        <f>BD11+BX11</f>
        <v>0</v>
      </c>
      <c r="CM11" s="256" t="str">
        <f>IF('【様式第２号の２】事業計画書兼チェックシート（改修）'!I41="","",'【様式第２号の２】事業計画書兼チェックシート（改修）'!I41)</f>
        <v/>
      </c>
      <c r="CN11" s="256" t="str">
        <f>IF('【様式第２号の２】事業計画書兼チェックシート（改修）'!I42="","",'【様式第２号の２】事業計画書兼チェックシート（改修）'!I42)</f>
        <v/>
      </c>
      <c r="CO11" s="221" t="str">
        <f>IF('【様式第２号の２】事業計画書兼チェックシート（改修）'!B83="",IF('【様式第２号の２】事業計画書兼チェックシート（改修）'!I80="","",'【様式第２号の２】事業計画書兼チェックシート（改修）'!I80),"手刻み")</f>
        <v/>
      </c>
      <c r="CP11" s="221" t="str">
        <f>IF('【様式第２号の２】事業計画書兼チェックシート（改修）'!I34="","",'【様式第２号の２】事業計画書兼チェックシート（改修）'!I34)</f>
        <v/>
      </c>
      <c r="CQ11" s="221" t="str">
        <f>IF('【様式第２号の２】事業計画書兼チェックシート（改修）'!S33="","",'【様式第２号の２】事業計画書兼チェックシート（改修）'!S33)</f>
        <v/>
      </c>
      <c r="CR11" s="221" t="str">
        <f>IF('【様式第２号の２】事業計画書兼チェックシート（改修）'!I46="","",'【様式第２号の２】事業計画書兼チェックシート（改修）'!I46)</f>
        <v/>
      </c>
      <c r="CS11" s="219"/>
      <c r="CT11" s="219"/>
      <c r="CU11" s="219"/>
      <c r="CV11" s="220"/>
      <c r="CW11" s="220"/>
      <c r="CX11" s="219"/>
      <c r="CY11" s="219"/>
      <c r="CZ11" s="221" t="str">
        <f>IF('【様式第２号の２】事業計画書兼チェックシート（改修）'!B56="","","○")</f>
        <v/>
      </c>
      <c r="DA11" s="221" t="str">
        <f>IF('【様式第２号の２】事業計画書兼チェックシート（改修）'!B58="","","○")</f>
        <v/>
      </c>
      <c r="DB11" s="256" t="str">
        <f>IF('【様式第２号の２】事業計画書兼チェックシート（改修）'!D65="","",'【様式第２号の２】事業計画書兼チェックシート（改修）'!D65)</f>
        <v/>
      </c>
      <c r="DC11" s="256" t="str">
        <f>IF('【様式第２号の２】事業計画書兼チェックシート（改修）'!P65="","",'【様式第２号の２】事業計画書兼チェックシート（改修）'!P65)</f>
        <v/>
      </c>
      <c r="DD11" s="265" t="str">
        <f>IF('【様式第２号の２】事業計画書兼チェックシート（改修）'!D66="","",'【様式第２号の２】事業計画書兼チェックシート（改修）'!D66)</f>
        <v/>
      </c>
      <c r="DE11" s="265" t="str">
        <f>IF('【様式第２号の２】事業計画書兼チェックシート（改修）'!P66="","",'【様式第２号の２】事業計画書兼チェックシート（改修）'!P66)</f>
        <v/>
      </c>
      <c r="DF11" s="265" t="str">
        <f>IF('【様式第２号の２】事業計画書兼チェックシート（改修）'!D67="","",'【様式第２号の２】事業計画書兼チェックシート（改修）'!D67)</f>
        <v/>
      </c>
      <c r="DG11" s="265" t="str">
        <f>IF('【様式第２号の２】事業計画書兼チェックシート（改修）'!P67="","",'【様式第２号の２】事業計画書兼チェックシート（改修）'!P67)</f>
        <v/>
      </c>
      <c r="DH11" s="265" t="str">
        <f>IF('【様式第２号の２】事業計画書兼チェックシート（改修）'!D68="","",'【様式第２号の２】事業計画書兼チェックシート（改修）'!D68)</f>
        <v/>
      </c>
      <c r="DI11" s="265" t="str">
        <f>IF('【様式第２号の２】事業計画書兼チェックシート（改修）'!P68="","",'【様式第２号の２】事業計画書兼チェックシート（改修）'!P68)</f>
        <v/>
      </c>
      <c r="DJ11" s="265" t="str">
        <f>IF('【様式第２号の２】事業計画書兼チェックシート（改修）'!D69="","",'【様式第２号の２】事業計画書兼チェックシート（改修）'!D69)</f>
        <v/>
      </c>
      <c r="DK11" s="265" t="str">
        <f>IF('【様式第２号の２】事業計画書兼チェックシート（改修）'!P69="","",'【様式第２号の２】事業計画書兼チェックシート（改修）'!P69)</f>
        <v/>
      </c>
      <c r="DL11"/>
      <c r="DM11" s="217"/>
      <c r="DN11" s="226"/>
      <c r="DO11" s="226"/>
      <c r="DP11" s="226"/>
      <c r="DQ11" s="224">
        <f t="shared" si="1"/>
        <v>0</v>
      </c>
      <c r="DR11" s="224">
        <f t="shared" si="2"/>
        <v>0</v>
      </c>
      <c r="DS11" s="223" t="str">
        <f t="shared" si="22"/>
        <v/>
      </c>
      <c r="DT11" s="226"/>
      <c r="DU11" s="226"/>
      <c r="DV11" s="225">
        <f t="shared" si="23"/>
        <v>0</v>
      </c>
      <c r="DW11" s="224">
        <f t="shared" si="3"/>
        <v>0</v>
      </c>
      <c r="DX11" s="223" t="str">
        <f t="shared" si="24"/>
        <v/>
      </c>
      <c r="DY11" s="226"/>
      <c r="DZ11" s="226"/>
      <c r="EA11" s="225">
        <f t="shared" si="25"/>
        <v>0</v>
      </c>
      <c r="EB11" s="224">
        <f t="shared" si="4"/>
        <v>0</v>
      </c>
      <c r="EC11" s="223" t="str">
        <f t="shared" si="26"/>
        <v/>
      </c>
      <c r="ED11" s="226"/>
      <c r="EE11" s="226"/>
      <c r="EF11" s="223">
        <f t="shared" si="27"/>
        <v>0</v>
      </c>
      <c r="EG11" s="223" t="str">
        <f t="shared" si="28"/>
        <v/>
      </c>
      <c r="EH11" s="226"/>
      <c r="EI11" s="223">
        <f t="shared" si="5"/>
        <v>0</v>
      </c>
      <c r="EJ11" s="224">
        <f t="shared" si="6"/>
        <v>0</v>
      </c>
      <c r="EK11" s="224">
        <f t="shared" si="7"/>
        <v>0</v>
      </c>
      <c r="EL11" s="223" t="str">
        <f t="shared" si="29"/>
        <v/>
      </c>
      <c r="EM11" s="226"/>
      <c r="EN11" s="226"/>
      <c r="EO11" s="224" t="e">
        <f>IF(AND(DQ11&gt;0,EL11=1,#REF!=""),100,0)</f>
        <v>#REF!</v>
      </c>
      <c r="EP11" s="224" t="e">
        <f t="shared" si="8"/>
        <v>#REF!</v>
      </c>
      <c r="EQ11" s="223" t="str">
        <f t="shared" si="30"/>
        <v/>
      </c>
      <c r="ER11" s="226"/>
      <c r="ES11" s="226"/>
      <c r="ET11" s="224">
        <f t="shared" si="31"/>
        <v>0</v>
      </c>
      <c r="EU11" s="224">
        <f t="shared" si="9"/>
        <v>0</v>
      </c>
      <c r="EV11" s="223" t="str">
        <f t="shared" si="32"/>
        <v/>
      </c>
      <c r="EW11" s="226"/>
      <c r="EX11" s="226"/>
      <c r="EY11" s="226"/>
      <c r="EZ11" s="226"/>
      <c r="FA11" s="226"/>
      <c r="FB11" s="226"/>
      <c r="FC11" s="226"/>
      <c r="FD11" s="223">
        <f t="shared" si="33"/>
        <v>0</v>
      </c>
      <c r="FE11" s="224">
        <f t="shared" si="34"/>
        <v>0</v>
      </c>
      <c r="FF11" s="224">
        <f t="shared" si="10"/>
        <v>0</v>
      </c>
      <c r="FG11" s="226"/>
      <c r="FH11" s="226"/>
      <c r="FI11" s="226"/>
      <c r="FJ11" s="226"/>
      <c r="FK11" s="226"/>
      <c r="FL11" s="224">
        <f t="shared" si="11"/>
        <v>0</v>
      </c>
      <c r="FM11" s="224">
        <f t="shared" si="12"/>
        <v>0</v>
      </c>
      <c r="FN11" s="226"/>
      <c r="FO11" s="234"/>
      <c r="FP11" s="234"/>
      <c r="FQ11" s="226"/>
      <c r="FR11" s="226"/>
      <c r="FS11" s="224">
        <f t="shared" si="35"/>
        <v>0</v>
      </c>
      <c r="FT11" s="224">
        <f t="shared" si="13"/>
        <v>0</v>
      </c>
      <c r="FU11" s="223" t="str">
        <f t="shared" si="36"/>
        <v/>
      </c>
      <c r="FV11" s="226"/>
      <c r="FW11" s="226"/>
      <c r="FX11" s="224" t="e">
        <f>IF(AND(FS11&gt;0,FU11=1,#REF!=""),100,0)</f>
        <v>#REF!</v>
      </c>
      <c r="FY11" s="224" t="e">
        <f t="shared" si="14"/>
        <v>#REF!</v>
      </c>
      <c r="FZ11" s="223" t="str">
        <f t="shared" si="37"/>
        <v/>
      </c>
      <c r="GA11" s="226"/>
      <c r="GB11" s="226"/>
      <c r="GC11" s="226"/>
      <c r="GD11" s="224">
        <f t="shared" si="38"/>
        <v>0</v>
      </c>
      <c r="GE11" s="224">
        <f t="shared" si="15"/>
        <v>0</v>
      </c>
      <c r="GF11" s="223" t="str">
        <f t="shared" si="39"/>
        <v/>
      </c>
      <c r="GG11" s="226"/>
      <c r="GH11" s="226"/>
      <c r="GI11" s="226"/>
      <c r="GJ11" s="224">
        <f t="shared" si="40"/>
        <v>0</v>
      </c>
      <c r="GK11" s="224">
        <f t="shared" si="16"/>
        <v>0</v>
      </c>
      <c r="GL11" s="226"/>
      <c r="GM11" s="226"/>
      <c r="GN11" s="224" t="e">
        <f t="shared" si="17"/>
        <v>#REF!</v>
      </c>
      <c r="GO11" s="224" t="e">
        <f t="shared" si="18"/>
        <v>#REF!</v>
      </c>
      <c r="GP11" s="219"/>
      <c r="GQ11" s="220"/>
      <c r="GR11" s="220"/>
      <c r="GS11" s="220"/>
      <c r="GT11" s="232">
        <f t="shared" si="19"/>
        <v>0</v>
      </c>
      <c r="GU11" s="232" t="e">
        <f t="shared" si="20"/>
        <v>#REF!</v>
      </c>
      <c r="GV11" s="232" t="e">
        <f t="shared" si="41"/>
        <v>#REF!</v>
      </c>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c r="IR11" s="85"/>
      <c r="IS11" s="85"/>
      <c r="IT11" s="85"/>
      <c r="IU11" s="85"/>
      <c r="IV11" s="85"/>
      <c r="IW11" s="85"/>
      <c r="IX11" s="85"/>
      <c r="IY11" s="85"/>
      <c r="IZ11" s="85"/>
      <c r="JA11" s="85"/>
      <c r="JB11" s="85"/>
      <c r="JC11" s="85"/>
      <c r="JD11" s="85"/>
      <c r="JE11" s="85"/>
      <c r="JF11" s="85"/>
      <c r="JG11" s="85"/>
      <c r="JH11" s="85"/>
      <c r="JI11" s="85"/>
      <c r="JJ11" s="85"/>
      <c r="JK11" s="85"/>
      <c r="JL11" s="85"/>
      <c r="JM11" s="85"/>
      <c r="JN11" s="85"/>
      <c r="JO11" s="85"/>
      <c r="JP11" s="85"/>
      <c r="JQ11" s="85"/>
      <c r="JR11" s="85"/>
      <c r="JS11" s="85"/>
      <c r="JT11" s="85"/>
      <c r="JU11" s="85"/>
      <c r="JV11" s="85"/>
      <c r="JW11" s="85"/>
      <c r="JX11" s="85"/>
      <c r="JY11" s="85"/>
      <c r="JZ11" s="85"/>
      <c r="KA11" s="85"/>
      <c r="KB11" s="85"/>
      <c r="KC11" s="85"/>
      <c r="KD11" s="85"/>
      <c r="KE11" s="85"/>
      <c r="KF11" s="85"/>
      <c r="KG11" s="85"/>
      <c r="KH11" s="85"/>
      <c r="KI11" s="85"/>
      <c r="KJ11" s="85"/>
      <c r="KK11" s="85"/>
      <c r="KL11" s="85"/>
      <c r="KM11" s="85"/>
      <c r="KN11" s="85"/>
      <c r="KO11" s="85"/>
      <c r="KP11" s="85"/>
      <c r="KQ11" s="85"/>
      <c r="KR11" s="85"/>
      <c r="KS11" s="85"/>
      <c r="KT11" s="85"/>
      <c r="KU11" s="85"/>
      <c r="KV11" s="85"/>
      <c r="KW11" s="85"/>
      <c r="KX11" s="85"/>
      <c r="KY11" s="85"/>
      <c r="KZ11" s="85"/>
      <c r="LA11" s="85"/>
      <c r="LB11" s="85"/>
      <c r="LC11" s="85"/>
      <c r="LD11" s="85"/>
      <c r="LE11" s="85"/>
      <c r="LF11" s="85"/>
      <c r="LG11" s="85"/>
      <c r="LH11" s="85"/>
      <c r="LI11" s="85"/>
      <c r="LJ11" s="85"/>
      <c r="LK11" s="85"/>
      <c r="LL11" s="85"/>
      <c r="LM11" s="85"/>
      <c r="LN11" s="85"/>
      <c r="LO11" s="85"/>
      <c r="LP11" s="85"/>
      <c r="LQ11" s="85"/>
      <c r="LR11" s="85"/>
      <c r="LS11" s="85"/>
      <c r="LT11" s="85"/>
      <c r="LU11" s="85"/>
      <c r="LV11" s="85"/>
      <c r="LW11" s="85"/>
      <c r="LX11" s="85"/>
      <c r="LY11" s="85"/>
      <c r="LZ11" s="85"/>
      <c r="MA11" s="85"/>
      <c r="MB11" s="85"/>
      <c r="MC11" s="85"/>
      <c r="MD11" s="85"/>
      <c r="ME11" s="85"/>
      <c r="MF11" s="85"/>
      <c r="MG11" s="85"/>
      <c r="MH11" s="85"/>
      <c r="MI11" s="85"/>
      <c r="MJ11" s="85"/>
      <c r="MK11" s="85"/>
      <c r="ML11" s="85"/>
      <c r="MM11" s="85"/>
      <c r="MN11" s="85"/>
      <c r="MO11" s="85"/>
      <c r="MP11" s="85"/>
      <c r="MQ11" s="85"/>
      <c r="MR11" s="85"/>
      <c r="MS11" s="85"/>
      <c r="MT11" s="85"/>
      <c r="MU11" s="85"/>
      <c r="MV11" s="85"/>
      <c r="MW11" s="85"/>
      <c r="MX11" s="85"/>
      <c r="MY11" s="85"/>
      <c r="MZ11" s="85"/>
      <c r="NA11" s="85"/>
      <c r="NB11" s="85"/>
      <c r="NC11" s="85"/>
      <c r="ND11" s="85"/>
      <c r="NE11" s="85"/>
      <c r="NF11" s="85"/>
      <c r="NG11" s="85"/>
      <c r="NH11" s="85"/>
      <c r="NI11" s="85"/>
      <c r="NJ11" s="85"/>
      <c r="NK11" s="85"/>
      <c r="NL11" s="85"/>
      <c r="NM11" s="85"/>
      <c r="NN11" s="85"/>
      <c r="NO11" s="85"/>
      <c r="NP11" s="85"/>
      <c r="NQ11" s="85"/>
      <c r="NR11" s="85"/>
      <c r="NS11" s="85"/>
      <c r="NT11" s="85"/>
      <c r="NU11" s="85"/>
      <c r="NV11" s="85"/>
      <c r="NW11" s="85"/>
      <c r="NX11" s="85"/>
      <c r="NY11" s="85"/>
      <c r="NZ11" s="85"/>
      <c r="OA11" s="85"/>
      <c r="OB11" s="85"/>
      <c r="OC11" s="85"/>
      <c r="OD11" s="85"/>
      <c r="OE11" s="85"/>
      <c r="OF11" s="85"/>
      <c r="OG11" s="85"/>
      <c r="OH11" s="85"/>
      <c r="OI11" s="85"/>
      <c r="OJ11" s="85"/>
      <c r="OK11" s="85"/>
      <c r="OL11" s="85"/>
      <c r="OM11" s="85"/>
      <c r="ON11" s="85"/>
      <c r="OO11" s="85"/>
      <c r="OP11" s="85"/>
      <c r="OQ11" s="85"/>
      <c r="OR11" s="85"/>
      <c r="OS11" s="85"/>
      <c r="OT11" s="85"/>
      <c r="OU11" s="85"/>
      <c r="OV11" s="85"/>
      <c r="OW11" s="85"/>
      <c r="OX11" s="85"/>
      <c r="OY11" s="85"/>
      <c r="OZ11" s="85"/>
      <c r="PA11" s="85"/>
      <c r="PB11" s="85"/>
      <c r="PC11" s="85"/>
      <c r="PD11" s="85"/>
      <c r="PE11" s="85"/>
      <c r="PF11" s="85"/>
      <c r="PG11" s="85"/>
      <c r="PH11" s="85"/>
      <c r="PI11" s="85"/>
      <c r="PJ11" s="85"/>
      <c r="PK11" s="85"/>
      <c r="PL11" s="85"/>
      <c r="PM11" s="85"/>
      <c r="PN11" s="85"/>
      <c r="PO11" s="85"/>
      <c r="PP11" s="85"/>
      <c r="PQ11" s="85"/>
      <c r="PR11" s="85"/>
      <c r="PS11" s="85"/>
      <c r="PT11" s="85"/>
      <c r="PU11" s="85"/>
      <c r="PV11" s="85"/>
      <c r="PW11" s="85"/>
      <c r="PX11" s="85"/>
      <c r="PY11" s="85"/>
      <c r="PZ11" s="85"/>
      <c r="QA11" s="85"/>
      <c r="QB11" s="85"/>
      <c r="QC11" s="85"/>
      <c r="QD11" s="85"/>
      <c r="QE11" s="85"/>
      <c r="QF11" s="85"/>
      <c r="QG11" s="85"/>
      <c r="QH11" s="85"/>
      <c r="QI11" s="85"/>
      <c r="QJ11" s="85"/>
      <c r="QK11" s="85"/>
      <c r="QL11" s="85"/>
      <c r="QM11" s="85"/>
      <c r="QN11" s="85"/>
      <c r="QO11" s="85"/>
      <c r="QP11" s="85"/>
      <c r="QQ11" s="85"/>
      <c r="QR11" s="85"/>
      <c r="QS11" s="85"/>
      <c r="QT11" s="85"/>
      <c r="QU11" s="85"/>
      <c r="QV11" s="85"/>
      <c r="QW11" s="85"/>
      <c r="QX11" s="85"/>
      <c r="QY11" s="85"/>
      <c r="QZ11" s="85"/>
      <c r="RA11" s="85"/>
      <c r="RB11" s="85"/>
      <c r="RC11" s="85"/>
      <c r="RD11" s="85"/>
      <c r="RE11" s="85"/>
      <c r="RF11" s="85"/>
      <c r="RG11" s="85"/>
      <c r="RH11" s="85"/>
      <c r="RI11" s="85"/>
      <c r="RJ11" s="85"/>
      <c r="RK11" s="85"/>
      <c r="RL11" s="85"/>
      <c r="RM11" s="85"/>
      <c r="RN11" s="85"/>
      <c r="RO11" s="85"/>
      <c r="RP11" s="85"/>
      <c r="RQ11" s="85"/>
      <c r="RR11" s="85"/>
      <c r="RS11" s="85"/>
      <c r="RT11" s="85"/>
      <c r="RU11" s="85"/>
      <c r="RV11" s="85"/>
      <c r="RW11" s="85"/>
      <c r="RX11" s="85"/>
      <c r="RY11" s="85"/>
      <c r="RZ11" s="85"/>
      <c r="SA11" s="85"/>
      <c r="SB11" s="85"/>
      <c r="SC11" s="85"/>
      <c r="SD11" s="85"/>
      <c r="SE11" s="85"/>
      <c r="SF11" s="85"/>
      <c r="SG11" s="85"/>
      <c r="SH11" s="85"/>
      <c r="SI11" s="85"/>
      <c r="SJ11" s="85"/>
      <c r="SK11" s="85"/>
      <c r="SL11" s="85"/>
      <c r="SM11" s="85"/>
      <c r="SN11" s="85"/>
      <c r="SO11" s="85"/>
      <c r="SP11" s="85"/>
      <c r="SQ11" s="85"/>
      <c r="SR11" s="85"/>
      <c r="SS11" s="85"/>
      <c r="ST11" s="85"/>
      <c r="SU11" s="85"/>
      <c r="SV11" s="85"/>
      <c r="SW11" s="85"/>
      <c r="SX11" s="85"/>
      <c r="SY11" s="85"/>
      <c r="SZ11" s="85"/>
      <c r="TA11" s="85"/>
      <c r="TB11" s="85"/>
      <c r="TC11" s="85"/>
      <c r="TD11" s="85"/>
      <c r="TE11" s="85"/>
      <c r="TF11" s="85"/>
      <c r="TG11" s="85"/>
      <c r="TH11" s="85"/>
      <c r="TI11" s="85"/>
      <c r="TJ11" s="85"/>
      <c r="TK11" s="85"/>
      <c r="TL11" s="85"/>
      <c r="TM11" s="85"/>
      <c r="TN11" s="85"/>
      <c r="TO11" s="85"/>
      <c r="TP11" s="85"/>
      <c r="TQ11" s="85"/>
      <c r="TR11" s="85"/>
      <c r="TS11" s="85"/>
      <c r="TT11" s="85"/>
      <c r="TU11" s="85"/>
      <c r="TV11" s="85"/>
      <c r="TW11" s="85"/>
      <c r="TX11" s="85"/>
      <c r="TY11" s="85"/>
      <c r="TZ11" s="85"/>
      <c r="UA11" s="85"/>
      <c r="UB11" s="85"/>
      <c r="UC11" s="85"/>
      <c r="UD11" s="85"/>
      <c r="UE11" s="85"/>
      <c r="UF11" s="85"/>
      <c r="UG11" s="85"/>
      <c r="UH11" s="85"/>
      <c r="UI11" s="85"/>
      <c r="UJ11" s="85"/>
      <c r="UK11" s="85"/>
      <c r="UL11" s="85"/>
      <c r="UM11" s="85"/>
      <c r="UN11" s="85"/>
      <c r="UO11" s="85"/>
      <c r="UP11" s="85"/>
      <c r="UQ11" s="85"/>
      <c r="UR11" s="85"/>
      <c r="US11" s="85"/>
      <c r="UT11" s="85"/>
      <c r="UU11" s="85"/>
      <c r="UV11" s="85"/>
      <c r="UW11" s="85"/>
      <c r="UX11" s="85"/>
      <c r="UY11" s="85"/>
      <c r="UZ11" s="85"/>
      <c r="VA11" s="85"/>
      <c r="VB11" s="85"/>
      <c r="VC11" s="85"/>
      <c r="VD11" s="85"/>
      <c r="VE11" s="85"/>
      <c r="VF11" s="85"/>
      <c r="VG11" s="85"/>
      <c r="VH11" s="85"/>
      <c r="VI11" s="85"/>
      <c r="VJ11" s="85"/>
      <c r="VK11" s="85"/>
      <c r="VL11" s="85"/>
      <c r="VM11" s="85"/>
      <c r="VN11" s="85"/>
      <c r="VO11" s="85"/>
      <c r="VP11" s="85"/>
      <c r="VQ11" s="85"/>
      <c r="VR11" s="85"/>
      <c r="VS11" s="85"/>
      <c r="VT11" s="85"/>
      <c r="VU11" s="85"/>
      <c r="VV11" s="85"/>
      <c r="VW11" s="85"/>
      <c r="VX11" s="85"/>
      <c r="VY11" s="85"/>
      <c r="VZ11" s="85"/>
      <c r="WA11" s="85"/>
      <c r="WB11" s="85"/>
      <c r="WC11" s="85"/>
      <c r="WD11" s="85"/>
      <c r="WE11" s="85"/>
      <c r="WF11" s="85"/>
      <c r="WG11" s="85"/>
      <c r="WH11" s="85"/>
      <c r="WI11" s="85"/>
      <c r="WJ11" s="85"/>
      <c r="WK11" s="85"/>
      <c r="WL11" s="85"/>
      <c r="WM11" s="85"/>
      <c r="WN11" s="85"/>
      <c r="WO11" s="85"/>
      <c r="WP11" s="85"/>
      <c r="WQ11" s="85"/>
      <c r="WR11" s="85"/>
      <c r="WS11" s="85"/>
      <c r="WT11" s="85"/>
      <c r="WU11" s="85"/>
      <c r="WV11" s="85"/>
      <c r="WW11" s="85"/>
      <c r="WX11" s="85"/>
      <c r="WY11" s="85"/>
      <c r="WZ11" s="85"/>
      <c r="XA11" s="85"/>
      <c r="XB11" s="85"/>
      <c r="XC11" s="85"/>
      <c r="XD11" s="85"/>
      <c r="XE11" s="85"/>
      <c r="XF11" s="85"/>
      <c r="XG11" s="85"/>
      <c r="XH11" s="85"/>
      <c r="XI11" s="85"/>
      <c r="XJ11" s="85"/>
      <c r="XK11" s="85"/>
      <c r="XL11" s="85"/>
      <c r="XM11" s="85"/>
      <c r="XN11" s="85"/>
      <c r="XO11" s="85"/>
      <c r="XP11" s="85"/>
      <c r="XQ11" s="85"/>
      <c r="XR11" s="85"/>
      <c r="XS11" s="85"/>
      <c r="XT11" s="85"/>
      <c r="XU11" s="85"/>
      <c r="XV11" s="85"/>
      <c r="XW11" s="85"/>
      <c r="XX11" s="85"/>
      <c r="XY11" s="85"/>
      <c r="XZ11" s="85"/>
      <c r="YA11" s="85"/>
      <c r="YB11" s="85"/>
      <c r="YC11" s="85"/>
      <c r="YD11" s="85"/>
      <c r="YE11" s="85"/>
      <c r="YF11" s="85"/>
      <c r="YG11" s="85"/>
      <c r="YH11" s="85"/>
      <c r="YI11" s="85"/>
      <c r="YJ11" s="85"/>
      <c r="YK11" s="85"/>
      <c r="YL11" s="85"/>
      <c r="YM11" s="85"/>
      <c r="YN11" s="85"/>
      <c r="YO11" s="85"/>
      <c r="YP11" s="85"/>
      <c r="YQ11" s="85"/>
      <c r="YR11" s="85"/>
      <c r="YS11" s="85"/>
      <c r="YT11" s="85"/>
      <c r="YU11" s="85"/>
      <c r="YV11" s="85"/>
      <c r="YW11" s="85"/>
      <c r="YX11" s="85"/>
      <c r="YY11" s="85"/>
      <c r="YZ11" s="85"/>
      <c r="ZA11" s="85"/>
      <c r="ZB11" s="85"/>
      <c r="ZC11" s="85"/>
      <c r="ZD11" s="85"/>
      <c r="ZE11" s="85"/>
      <c r="ZF11" s="85"/>
      <c r="ZG11" s="85"/>
      <c r="ZH11" s="85"/>
      <c r="ZI11" s="85"/>
      <c r="ZJ11" s="85"/>
      <c r="ZK11" s="85"/>
      <c r="ZL11" s="85"/>
      <c r="ZM11" s="85"/>
      <c r="ZN11" s="85"/>
      <c r="ZO11" s="85"/>
      <c r="ZP11" s="85"/>
      <c r="ZQ11" s="85"/>
      <c r="ZR11" s="85"/>
      <c r="ZS11" s="85"/>
      <c r="ZT11" s="85"/>
      <c r="ZU11" s="85"/>
      <c r="ZV11" s="85"/>
      <c r="ZW11" s="85"/>
      <c r="ZX11" s="85"/>
      <c r="ZY11" s="85"/>
      <c r="ZZ11" s="85"/>
      <c r="AAA11" s="85"/>
      <c r="AAB11" s="85"/>
      <c r="AAC11" s="85"/>
      <c r="AAD11" s="85"/>
      <c r="AAE11" s="85"/>
      <c r="AAF11" s="85"/>
      <c r="AAG11" s="85"/>
      <c r="AAH11" s="85"/>
      <c r="AAI11" s="85"/>
      <c r="AAJ11" s="85"/>
      <c r="AAK11" s="85"/>
      <c r="AAL11" s="85"/>
      <c r="AAM11" s="85"/>
      <c r="AAN11" s="85"/>
      <c r="AAO11" s="85"/>
      <c r="AAP11" s="85"/>
      <c r="AAQ11" s="85"/>
      <c r="AAR11" s="85"/>
      <c r="AAS11" s="85"/>
      <c r="AAT11" s="85"/>
      <c r="AAU11" s="85"/>
      <c r="AAV11" s="85"/>
      <c r="AAW11" s="85"/>
      <c r="AAX11" s="85"/>
      <c r="AAY11" s="85"/>
      <c r="AAZ11" s="85"/>
      <c r="ABA11" s="85"/>
      <c r="ABB11" s="85"/>
      <c r="ABC11" s="85"/>
      <c r="ABD11" s="85"/>
      <c r="ABE11" s="85"/>
      <c r="ABF11" s="85"/>
      <c r="ABG11" s="85"/>
      <c r="ABH11" s="85"/>
      <c r="ABI11" s="85"/>
      <c r="ABJ11" s="85"/>
      <c r="ABK11" s="85"/>
      <c r="ABL11" s="85"/>
      <c r="ABM11" s="85"/>
      <c r="ABN11" s="85"/>
      <c r="ABO11" s="85"/>
      <c r="ABP11" s="85"/>
      <c r="ABQ11" s="85"/>
      <c r="ABR11" s="85"/>
      <c r="ABS11" s="85"/>
      <c r="ABT11" s="85"/>
      <c r="ABU11" s="85"/>
      <c r="ABV11" s="85"/>
      <c r="ABW11" s="85"/>
      <c r="ABX11" s="85"/>
      <c r="ABY11" s="85"/>
      <c r="ABZ11" s="85"/>
      <c r="ACA11" s="85"/>
      <c r="ACB11" s="85"/>
      <c r="ACC11" s="85"/>
      <c r="ACD11" s="85"/>
      <c r="ACE11" s="85"/>
      <c r="ACF11" s="85"/>
      <c r="ACG11" s="85"/>
      <c r="ACH11" s="85"/>
      <c r="ACI11" s="85"/>
      <c r="ACJ11" s="85"/>
      <c r="ACK11" s="85"/>
      <c r="ACL11" s="85"/>
      <c r="ACM11" s="85"/>
      <c r="ACN11" s="85"/>
      <c r="ACO11" s="85"/>
      <c r="ACP11" s="85"/>
      <c r="ACQ11" s="85"/>
      <c r="ACR11" s="85"/>
      <c r="ACS11" s="85"/>
      <c r="ACT11" s="85"/>
      <c r="ACU11" s="85"/>
      <c r="ACV11" s="85"/>
      <c r="ACW11" s="85"/>
      <c r="ACX11" s="85"/>
      <c r="ACY11" s="85"/>
      <c r="ACZ11" s="85"/>
      <c r="ADA11" s="85"/>
      <c r="ADB11" s="85"/>
      <c r="ADC11" s="85"/>
      <c r="ADD11" s="85"/>
      <c r="ADE11" s="85"/>
      <c r="ADF11" s="85"/>
      <c r="ADG11" s="85"/>
      <c r="ADH11" s="85"/>
      <c r="ADI11" s="85"/>
      <c r="ADJ11" s="85"/>
      <c r="ADK11" s="85"/>
      <c r="ADL11" s="85"/>
      <c r="ADM11" s="85"/>
      <c r="ADN11" s="85"/>
      <c r="ADO11" s="85"/>
      <c r="ADP11" s="85"/>
      <c r="ADQ11" s="85"/>
      <c r="ADR11" s="85"/>
      <c r="ADS11" s="85"/>
      <c r="ADT11" s="85"/>
      <c r="ADU11" s="85"/>
      <c r="ADV11" s="85"/>
      <c r="ADW11" s="85"/>
      <c r="ADX11" s="85"/>
      <c r="ADY11" s="85"/>
      <c r="ADZ11" s="85"/>
      <c r="AEA11" s="85"/>
      <c r="AEB11" s="85"/>
      <c r="AEC11" s="85"/>
      <c r="AED11" s="85"/>
      <c r="AEE11" s="85"/>
      <c r="AEF11" s="85"/>
      <c r="AEG11" s="85"/>
      <c r="AEH11" s="85"/>
      <c r="AEI11" s="85"/>
      <c r="AEJ11" s="85"/>
      <c r="AEK11" s="85"/>
      <c r="AEL11" s="85"/>
      <c r="AEM11" s="85"/>
      <c r="AEN11" s="85"/>
      <c r="AEO11" s="85"/>
      <c r="AEP11" s="85"/>
      <c r="AEQ11" s="85"/>
      <c r="AER11" s="85"/>
      <c r="AES11" s="85"/>
      <c r="AET11" s="85"/>
      <c r="AEU11" s="85"/>
      <c r="AEV11" s="85"/>
      <c r="AEW11" s="85"/>
      <c r="AEX11" s="85"/>
      <c r="AEY11" s="85"/>
      <c r="AEZ11" s="85"/>
      <c r="AFA11" s="85"/>
      <c r="AFB11" s="85"/>
      <c r="AFC11" s="85"/>
      <c r="AFD11" s="85"/>
      <c r="AFE11" s="85"/>
      <c r="AFF11" s="85"/>
      <c r="AFG11" s="85"/>
      <c r="AFH11" s="85"/>
      <c r="AFI11" s="85"/>
      <c r="AFJ11" s="85"/>
      <c r="AFK11" s="85"/>
      <c r="AFL11" s="85"/>
      <c r="AFM11" s="85"/>
      <c r="AFN11" s="85"/>
      <c r="AFO11" s="85"/>
      <c r="AFP11" s="85"/>
      <c r="AFQ11" s="85"/>
      <c r="AFR11" s="85"/>
      <c r="AFS11" s="85"/>
      <c r="AFT11" s="85"/>
      <c r="AFU11" s="85"/>
      <c r="AFV11" s="85"/>
      <c r="AFW11" s="85"/>
      <c r="AFX11" s="85"/>
      <c r="AFY11" s="85"/>
      <c r="AFZ11" s="85"/>
      <c r="AGA11" s="85"/>
      <c r="AGB11" s="85"/>
      <c r="AGC11" s="85"/>
      <c r="AGD11" s="85"/>
      <c r="AGE11" s="85"/>
      <c r="AGF11" s="85"/>
      <c r="AGG11" s="85"/>
      <c r="AGH11" s="85"/>
      <c r="AGI11" s="85"/>
      <c r="AGJ11" s="85"/>
      <c r="AGK11" s="85"/>
      <c r="AGL11" s="85"/>
      <c r="AGM11" s="85"/>
      <c r="AGN11" s="85"/>
      <c r="AGO11" s="85"/>
      <c r="AGP11" s="85"/>
      <c r="AGQ11" s="85"/>
      <c r="AGR11" s="85"/>
      <c r="AGS11" s="85"/>
      <c r="AGT11" s="85"/>
      <c r="AGU11" s="85"/>
      <c r="AGV11" s="85"/>
      <c r="AGW11" s="85"/>
      <c r="AGX11" s="85"/>
    </row>
    <row r="12" spans="1:882" ht="30" customHeight="1" outlineLevel="1" x14ac:dyDescent="0.45">
      <c r="B12" s="262" t="s">
        <v>346</v>
      </c>
      <c r="K12" s="85" t="s">
        <v>340</v>
      </c>
    </row>
    <row r="13" spans="1:882" s="235" customFormat="1" ht="30" hidden="1" customHeight="1" x14ac:dyDescent="0.45">
      <c r="B13" s="257">
        <f>SUBTOTAL(3,B11:B11)</f>
        <v>1</v>
      </c>
      <c r="C13" s="258" t="s">
        <v>341</v>
      </c>
      <c r="D13" s="259">
        <f>SUBTOTAL(3,D11:D11)</f>
        <v>1</v>
      </c>
      <c r="E13" s="259">
        <f>SUBTOTAL(3,E11:E11)</f>
        <v>1</v>
      </c>
      <c r="G13" s="259">
        <f>SUBTOTAL(3,G11:G11)</f>
        <v>0</v>
      </c>
      <c r="H13" s="260"/>
      <c r="J13" s="261"/>
      <c r="K13" s="257">
        <f>SUBTOTAL(3,K11:K11)</f>
        <v>1</v>
      </c>
      <c r="L13" s="261"/>
      <c r="M13" s="261"/>
      <c r="O13" s="257">
        <f t="shared" ref="O13:AQ13" si="62">SUBTOTAL(9,O11:O11)</f>
        <v>0</v>
      </c>
      <c r="P13" s="257">
        <f t="shared" si="62"/>
        <v>0</v>
      </c>
      <c r="Q13" s="257">
        <f t="shared" si="62"/>
        <v>0</v>
      </c>
      <c r="R13" s="257">
        <f t="shared" si="62"/>
        <v>0</v>
      </c>
      <c r="S13" s="257">
        <f t="shared" si="62"/>
        <v>0</v>
      </c>
      <c r="T13" s="257">
        <f t="shared" si="62"/>
        <v>0</v>
      </c>
      <c r="U13" s="257">
        <f t="shared" si="62"/>
        <v>0</v>
      </c>
      <c r="V13" s="257">
        <f t="shared" si="62"/>
        <v>0</v>
      </c>
      <c r="W13" s="257"/>
      <c r="X13" s="257"/>
      <c r="Y13" s="257"/>
      <c r="Z13" s="257"/>
      <c r="AA13" s="257">
        <f t="shared" si="62"/>
        <v>0</v>
      </c>
      <c r="AB13" s="257">
        <f t="shared" si="62"/>
        <v>0</v>
      </c>
      <c r="AC13" s="257">
        <f t="shared" si="62"/>
        <v>0</v>
      </c>
      <c r="AD13" s="257">
        <f t="shared" si="62"/>
        <v>0</v>
      </c>
      <c r="AE13" s="257">
        <f t="shared" si="62"/>
        <v>0</v>
      </c>
      <c r="AF13" s="257">
        <f t="shared" si="62"/>
        <v>0</v>
      </c>
      <c r="AG13" s="257">
        <f t="shared" si="62"/>
        <v>0</v>
      </c>
      <c r="AH13" s="257">
        <f>SUBTOTAL(9,AH11:AH11)</f>
        <v>0</v>
      </c>
      <c r="AI13" s="257">
        <f t="shared" si="62"/>
        <v>0</v>
      </c>
      <c r="AJ13" s="257">
        <f t="shared" si="62"/>
        <v>0</v>
      </c>
      <c r="AK13" s="257">
        <f t="shared" si="62"/>
        <v>0</v>
      </c>
      <c r="AL13" s="257">
        <f t="shared" si="62"/>
        <v>0</v>
      </c>
      <c r="AM13" s="257">
        <f t="shared" si="62"/>
        <v>0</v>
      </c>
      <c r="AN13" s="257">
        <f t="shared" si="62"/>
        <v>0</v>
      </c>
      <c r="AO13" s="257">
        <f t="shared" si="62"/>
        <v>0</v>
      </c>
      <c r="AP13" s="257">
        <f t="shared" si="62"/>
        <v>0</v>
      </c>
      <c r="AQ13" s="257">
        <f t="shared" si="62"/>
        <v>0</v>
      </c>
      <c r="AR13" s="257">
        <f t="shared" ref="AR13:AX13" si="63">SUBTOTAL(3,AR11:AR11)</f>
        <v>0</v>
      </c>
      <c r="AS13" s="257">
        <f t="shared" si="63"/>
        <v>0</v>
      </c>
      <c r="AT13" s="257">
        <f t="shared" si="63"/>
        <v>0</v>
      </c>
      <c r="AU13" s="257">
        <f t="shared" si="63"/>
        <v>0</v>
      </c>
      <c r="AV13" s="257">
        <f t="shared" si="63"/>
        <v>0</v>
      </c>
      <c r="AW13" s="257">
        <f t="shared" si="63"/>
        <v>0</v>
      </c>
      <c r="AX13" s="257">
        <f t="shared" si="63"/>
        <v>0</v>
      </c>
      <c r="AY13" s="257">
        <f>SUBTOTAL(9,AY11:AY11)</f>
        <v>0</v>
      </c>
      <c r="AZ13" s="257">
        <f>SUBTOTAL(9,AZ11:AZ11)</f>
        <v>0</v>
      </c>
      <c r="BA13" s="257">
        <f>SUBTOTAL(3,BA11:BA11)</f>
        <v>0</v>
      </c>
      <c r="BB13" s="257">
        <f>SUBTOTAL(3,BB11:BB11)</f>
        <v>0</v>
      </c>
      <c r="BC13" s="257">
        <f>SUBTOTAL(3,BC11:BC11)</f>
        <v>0</v>
      </c>
      <c r="BD13" s="257">
        <f t="shared" ref="BD13:BR13" si="64">SUBTOTAL(9,BD11:BD11)</f>
        <v>0</v>
      </c>
      <c r="BE13" s="257">
        <f t="shared" si="64"/>
        <v>0</v>
      </c>
      <c r="BF13" s="257">
        <f t="shared" si="64"/>
        <v>0</v>
      </c>
      <c r="BG13" s="257">
        <f t="shared" si="64"/>
        <v>0</v>
      </c>
      <c r="BH13" s="257">
        <f>SUBTOTAL(9,BH11:BH11)</f>
        <v>0</v>
      </c>
      <c r="BI13" s="257">
        <f t="shared" si="64"/>
        <v>0</v>
      </c>
      <c r="BJ13" s="257">
        <f t="shared" si="64"/>
        <v>0</v>
      </c>
      <c r="BK13" s="257">
        <f t="shared" si="64"/>
        <v>0</v>
      </c>
      <c r="BL13" s="257">
        <f t="shared" si="64"/>
        <v>0</v>
      </c>
      <c r="BM13" s="257">
        <f t="shared" si="64"/>
        <v>0</v>
      </c>
      <c r="BN13" s="257">
        <f t="shared" si="64"/>
        <v>0</v>
      </c>
      <c r="BO13" s="257">
        <f t="shared" si="64"/>
        <v>0</v>
      </c>
      <c r="BP13" s="257">
        <f t="shared" si="64"/>
        <v>0</v>
      </c>
      <c r="BQ13" s="257">
        <f t="shared" si="64"/>
        <v>0</v>
      </c>
      <c r="BR13" s="257">
        <f t="shared" si="64"/>
        <v>0</v>
      </c>
      <c r="BS13" s="257">
        <f>SUBTOTAL(3,BS11:BS11)</f>
        <v>1</v>
      </c>
      <c r="BT13" s="257">
        <f>SUBTOTAL(3,BT11:BT11)</f>
        <v>1</v>
      </c>
      <c r="BU13" s="257">
        <f>SUBTOTAL(3,BU11:BU11)</f>
        <v>1</v>
      </c>
      <c r="BV13" s="257">
        <f>SUBTOTAL(9,BV11:BV11)</f>
        <v>0</v>
      </c>
      <c r="BW13" s="257">
        <f>SUBTOTAL(3,BW11:BW11)</f>
        <v>1</v>
      </c>
      <c r="BX13" s="257">
        <f>SUBTOTAL(9,BX11:BX11)</f>
        <v>0</v>
      </c>
      <c r="BY13" s="260"/>
      <c r="BZ13" s="260"/>
      <c r="CA13" s="260"/>
      <c r="CB13" s="260"/>
      <c r="CC13" s="260"/>
      <c r="CD13" s="260"/>
      <c r="CE13" s="260"/>
      <c r="CF13" s="260"/>
      <c r="CG13" s="260"/>
      <c r="CH13" s="260"/>
      <c r="CI13" s="260"/>
      <c r="CJ13" s="260"/>
      <c r="CK13" s="260"/>
      <c r="CL13" s="257">
        <f>SUBTOTAL(9,CL11:CL11)</f>
        <v>0</v>
      </c>
      <c r="CM13" s="257">
        <f>SUBTOTAL(3,CM11:CM11)</f>
        <v>1</v>
      </c>
      <c r="CO13" s="259">
        <f>SUBTOTAL(3,CO11:CO11)</f>
        <v>1</v>
      </c>
      <c r="CP13" s="257">
        <f>SUBTOTAL(9,CP11:CP11)</f>
        <v>0</v>
      </c>
      <c r="CQ13" s="257">
        <f>SUBTOTAL(9,CQ11:CQ11)</f>
        <v>0</v>
      </c>
      <c r="CR13" s="261"/>
      <c r="CS13" s="260"/>
      <c r="CV13" s="260"/>
      <c r="CW13" s="260"/>
      <c r="DB13" s="257">
        <f>SUBTOTAL(3,DB11:DB11)</f>
        <v>1</v>
      </c>
      <c r="DD13" s="257">
        <f>SUBTOTAL(3,DD11:DD11)</f>
        <v>1</v>
      </c>
      <c r="DF13" s="257">
        <f>SUBTOTAL(3,DF11:DF11)</f>
        <v>1</v>
      </c>
      <c r="DH13" s="257">
        <f>SUBTOTAL(3,DH11:DH11)</f>
        <v>1</v>
      </c>
      <c r="DJ13" s="257">
        <f>SUBTOTAL(3,DJ11:DJ11)</f>
        <v>1</v>
      </c>
      <c r="DM13" s="259">
        <f>SUBTOTAL(3,DM11:DM11)</f>
        <v>0</v>
      </c>
      <c r="DN13" s="257">
        <f>SUBTOTAL(9,DN11:DN11)</f>
        <v>0</v>
      </c>
      <c r="DO13" s="257">
        <f>SUBTOTAL(9,DO11:DO11)</f>
        <v>0</v>
      </c>
      <c r="DP13" s="257">
        <f>SUBTOTAL(3,DP11:DP11)</f>
        <v>0</v>
      </c>
      <c r="DQ13" s="257">
        <f>SUBTOTAL(9,DQ11:DQ11)</f>
        <v>0</v>
      </c>
      <c r="DR13" s="257">
        <f>SUBTOTAL(9,DR11:DR11)</f>
        <v>0</v>
      </c>
      <c r="DS13" s="257">
        <f>SUBTOTAL(9,DS11:DS11)</f>
        <v>0</v>
      </c>
      <c r="DT13" s="257">
        <f>SUBTOTAL(9,DT11:DT11)</f>
        <v>0</v>
      </c>
      <c r="DU13" s="257">
        <f>SUBTOTAL(3,DU11:DU11)</f>
        <v>0</v>
      </c>
      <c r="DV13" s="257">
        <f>SUBTOTAL(9,DV11:DV11)</f>
        <v>0</v>
      </c>
      <c r="DW13" s="257">
        <f>SUBTOTAL(9,DW11:DW11)</f>
        <v>0</v>
      </c>
      <c r="DX13" s="257">
        <f>SUBTOTAL(9,DX11:DX11)</f>
        <v>0</v>
      </c>
      <c r="DY13" s="257">
        <f>SUBTOTAL(9,DY11:DY11)</f>
        <v>0</v>
      </c>
      <c r="DZ13" s="257">
        <f>SUBTOTAL(3,DZ11:DZ11)</f>
        <v>0</v>
      </c>
      <c r="EA13" s="257">
        <f>SUBTOTAL(9,EA11:EA11)</f>
        <v>0</v>
      </c>
      <c r="EB13" s="257">
        <f>SUBTOTAL(9,EB11:EB11)</f>
        <v>0</v>
      </c>
      <c r="EC13" s="257">
        <f>SUBTOTAL(9,EC11:EC11)</f>
        <v>0</v>
      </c>
      <c r="ED13" s="257">
        <f>SUBTOTAL(9,ED11:ED11)</f>
        <v>0</v>
      </c>
      <c r="EE13" s="257">
        <f>SUBTOTAL(3,EE11:EE11)</f>
        <v>0</v>
      </c>
      <c r="EF13" s="257">
        <f t="shared" ref="EF13:EV13" si="65">SUBTOTAL(9,EF11:EF11)</f>
        <v>0</v>
      </c>
      <c r="EG13" s="257">
        <f t="shared" si="65"/>
        <v>0</v>
      </c>
      <c r="EH13" s="257">
        <f t="shared" si="65"/>
        <v>0</v>
      </c>
      <c r="EI13" s="257">
        <f t="shared" si="65"/>
        <v>0</v>
      </c>
      <c r="EJ13" s="257">
        <f t="shared" si="65"/>
        <v>0</v>
      </c>
      <c r="EK13" s="257">
        <f t="shared" si="65"/>
        <v>0</v>
      </c>
      <c r="EL13" s="257">
        <f t="shared" si="65"/>
        <v>0</v>
      </c>
      <c r="EM13" s="257">
        <f t="shared" si="65"/>
        <v>0</v>
      </c>
      <c r="EN13" s="257">
        <f t="shared" si="65"/>
        <v>0</v>
      </c>
      <c r="EO13" s="257" t="e">
        <f t="shared" si="65"/>
        <v>#REF!</v>
      </c>
      <c r="EP13" s="257" t="e">
        <f t="shared" si="65"/>
        <v>#REF!</v>
      </c>
      <c r="EQ13" s="257">
        <f t="shared" si="65"/>
        <v>0</v>
      </c>
      <c r="ER13" s="257">
        <f t="shared" si="65"/>
        <v>0</v>
      </c>
      <c r="ES13" s="257">
        <f t="shared" si="65"/>
        <v>0</v>
      </c>
      <c r="ET13" s="257">
        <f t="shared" si="65"/>
        <v>0</v>
      </c>
      <c r="EU13" s="257">
        <f t="shared" si="65"/>
        <v>0</v>
      </c>
      <c r="EV13" s="257">
        <f t="shared" si="65"/>
        <v>0</v>
      </c>
      <c r="EW13" s="257">
        <f t="shared" ref="EW13:FC13" si="66">SUBTOTAL(3,EW11:EW11)</f>
        <v>0</v>
      </c>
      <c r="EX13" s="257">
        <f t="shared" si="66"/>
        <v>0</v>
      </c>
      <c r="EY13" s="257">
        <f t="shared" si="66"/>
        <v>0</v>
      </c>
      <c r="EZ13" s="257">
        <f t="shared" si="66"/>
        <v>0</v>
      </c>
      <c r="FA13" s="257">
        <f t="shared" si="66"/>
        <v>0</v>
      </c>
      <c r="FB13" s="257">
        <f t="shared" si="66"/>
        <v>0</v>
      </c>
      <c r="FC13" s="257">
        <f t="shared" si="66"/>
        <v>0</v>
      </c>
      <c r="FD13" s="257">
        <f>SUBTOTAL(9,FD11:FD11)</f>
        <v>0</v>
      </c>
      <c r="FE13" s="257">
        <f>SUBTOTAL(9,FE11:FE11)</f>
        <v>0</v>
      </c>
      <c r="FF13" s="257">
        <f>SUBTOTAL(9,FF11:FF11)</f>
        <v>0</v>
      </c>
      <c r="FG13" s="257">
        <f>SUBTOTAL(3,FG11:FG11)</f>
        <v>0</v>
      </c>
      <c r="FH13" s="257">
        <f>SUBTOTAL(3,FH11:FH11)</f>
        <v>0</v>
      </c>
      <c r="FI13" s="257">
        <f>SUBTOTAL(3,FI11:FI11)</f>
        <v>0</v>
      </c>
      <c r="FJ13" s="257">
        <f>SUBTOTAL(3,FJ11:FJ11)</f>
        <v>0</v>
      </c>
      <c r="FK13" s="257">
        <f>SUBTOTAL(3,FK11:FK11)</f>
        <v>0</v>
      </c>
      <c r="FL13" s="257">
        <f>SUBTOTAL(9,FL11:FL11)</f>
        <v>0</v>
      </c>
      <c r="FM13" s="257">
        <f>SUBTOTAL(9,FM11:FM11)</f>
        <v>0</v>
      </c>
      <c r="FN13" s="257">
        <f>SUBTOTAL(9,FN11:FN11)</f>
        <v>0</v>
      </c>
      <c r="FO13" s="257">
        <f>SUBTOTAL(9,FO11:FO11)</f>
        <v>0</v>
      </c>
      <c r="FP13" s="257">
        <f>SUBTOTAL(3,FP11:FP11)</f>
        <v>0</v>
      </c>
      <c r="FQ13" s="257">
        <f>SUBTOTAL(9,FQ11:FQ11)</f>
        <v>0</v>
      </c>
      <c r="FR13" s="257">
        <f>SUBTOTAL(3,FR11:FR11)</f>
        <v>0</v>
      </c>
      <c r="FS13" s="257">
        <f t="shared" ref="FS13:GF13" si="67">SUBTOTAL(9,FS11:FS11)</f>
        <v>0</v>
      </c>
      <c r="FT13" s="257">
        <f t="shared" si="67"/>
        <v>0</v>
      </c>
      <c r="FU13" s="257">
        <f t="shared" si="67"/>
        <v>0</v>
      </c>
      <c r="FV13" s="257">
        <f t="shared" si="67"/>
        <v>0</v>
      </c>
      <c r="FW13" s="257">
        <f t="shared" si="67"/>
        <v>0</v>
      </c>
      <c r="FX13" s="257" t="e">
        <f t="shared" si="67"/>
        <v>#REF!</v>
      </c>
      <c r="FY13" s="257" t="e">
        <f t="shared" si="67"/>
        <v>#REF!</v>
      </c>
      <c r="FZ13" s="257">
        <f t="shared" si="67"/>
        <v>0</v>
      </c>
      <c r="GA13" s="257">
        <f t="shared" si="67"/>
        <v>0</v>
      </c>
      <c r="GB13" s="257">
        <f t="shared" si="67"/>
        <v>0</v>
      </c>
      <c r="GC13" s="257">
        <f t="shared" si="67"/>
        <v>0</v>
      </c>
      <c r="GD13" s="257">
        <f t="shared" si="67"/>
        <v>0</v>
      </c>
      <c r="GE13" s="257">
        <f t="shared" si="67"/>
        <v>0</v>
      </c>
      <c r="GF13" s="257">
        <f t="shared" si="67"/>
        <v>0</v>
      </c>
      <c r="GG13" s="257">
        <f>SUBTOTAL(3,GG11:GG11)</f>
        <v>0</v>
      </c>
      <c r="GH13" s="257">
        <f>SUBTOTAL(3,GH11:GH11)</f>
        <v>0</v>
      </c>
      <c r="GI13" s="257">
        <f>SUBTOTAL(3,GI11:GI11)</f>
        <v>0</v>
      </c>
      <c r="GJ13" s="257">
        <f>SUBTOTAL(9,GJ11:GJ11)</f>
        <v>0</v>
      </c>
      <c r="GK13" s="257">
        <f>SUBTOTAL(9,GK11:GK11)</f>
        <v>0</v>
      </c>
      <c r="GL13" s="257">
        <f>SUBTOTAL(3,GL11:GL11)</f>
        <v>0</v>
      </c>
      <c r="GM13" s="257">
        <f>SUBTOTAL(3,GM11:GM11)</f>
        <v>0</v>
      </c>
      <c r="GN13" s="257" t="e">
        <f>SUBTOTAL(9,GN11:GN11)</f>
        <v>#REF!</v>
      </c>
      <c r="GO13" s="257" t="e">
        <f>SUBTOTAL(9,GO11:GO11)</f>
        <v>#REF!</v>
      </c>
      <c r="GQ13" s="260"/>
      <c r="GR13" s="260"/>
      <c r="GS13" s="260"/>
      <c r="GT13" s="257">
        <f>SUBTOTAL(9,GT11:GT11)</f>
        <v>0</v>
      </c>
      <c r="GU13" s="257" t="e">
        <f>SUBTOTAL(9,GU11:GU11)</f>
        <v>#REF!</v>
      </c>
      <c r="GV13" s="257" t="e">
        <f>SUBTOTAL(9,GV11:GV11)</f>
        <v>#REF!</v>
      </c>
    </row>
    <row r="14" spans="1:882" ht="30" customHeight="1" x14ac:dyDescent="0.45"/>
    <row r="15" spans="1:882" ht="30" customHeight="1" x14ac:dyDescent="0.45"/>
    <row r="16" spans="1:882" ht="30" customHeight="1" x14ac:dyDescent="0.45"/>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0" customHeight="1" x14ac:dyDescent="0.45"/>
  </sheetData>
  <sheetProtection algorithmName="SHA-512" hashValue="57dN1Oc/ZJlrZpwNtYwjIuqHes0kRoEyRnGuNPEh+qAL3DI2ScBwGB+ApkSeH2jlaYAxrQvNYVBhnRedDEqRDA==" saltValue="kD2IKMyIs4NywDPOrAmtlQ==" spinCount="100000" sheet="1" objects="1" scenarios="1"/>
  <mergeCells count="7">
    <mergeCell ref="AB4:AD4"/>
    <mergeCell ref="AE4:AG4"/>
    <mergeCell ref="EC4:EF4"/>
    <mergeCell ref="EG4:EI4"/>
    <mergeCell ref="BY5:CD5"/>
    <mergeCell ref="CE5:CJ5"/>
    <mergeCell ref="BD3:BD5"/>
  </mergeCells>
  <phoneticPr fontId="2"/>
  <conditionalFormatting sqref="O6:BD11">
    <cfRule type="expression" dxfId="2" priority="2">
      <formula>($D6="改修")</formula>
    </cfRule>
  </conditionalFormatting>
  <conditionalFormatting sqref="BE6:BX10 FN6:GO11 BH11:BR11 BV11 BX11">
    <cfRule type="expression" dxfId="1" priority="5">
      <formula>OR($D6="新築",$D6="登録")</formula>
    </cfRule>
  </conditionalFormatting>
  <conditionalFormatting sqref="DN6:FM11">
    <cfRule type="expression" dxfId="0" priority="1">
      <formula>OR($D6="改修",$D6="登録")</formula>
    </cfRule>
  </conditionalFormatting>
  <dataValidations count="58">
    <dataValidation operator="greaterThanOrEqual" allowBlank="1" showInputMessage="1" showErrorMessage="1" error="数値以外は入力できません" sqref="CO11:CT11 CX11:DA11" xr:uid="{00000000-0002-0000-0200-000000000000}"/>
    <dataValidation operator="greaterThanOrEqual" allowBlank="1" showInputMessage="1" showErrorMessage="1" error="日付以外の内容は入力できません" sqref="CD6:CD9 BZ6:BZ9 CB6:CB9 CH6:CH9 CJ6:CJ9 CF6:CF9 BY11:CK11 CM11:CN11 DB11:DK11" xr:uid="{00000000-0002-0000-0200-000001000000}"/>
    <dataValidation operator="greaterThanOrEqual" allowBlank="1" showInputMessage="1" showErrorMessage="1" error="10以上の整数値を入力してください。" sqref="O11" xr:uid="{00000000-0002-0000-0200-000002000000}"/>
    <dataValidation type="decimal" operator="lessThanOrEqual" allowBlank="1" showInputMessage="1" showErrorMessage="1" error="県産材の実使用量より大きな値は入力しないでください。" sqref="AC6:AC10" xr:uid="{00000000-0002-0000-0200-000003000000}">
      <formula1>S6</formula1>
    </dataValidation>
    <dataValidation type="date" operator="greaterThanOrEqual" allowBlank="1" showInputMessage="1" showErrorMessage="1" error="申請日より前の日付や、日付以外の内容は入力できません" sqref="CK6:CK10" xr:uid="{00000000-0002-0000-0200-000004000000}">
      <formula1>H6</formula1>
    </dataValidation>
    <dataValidation type="date" operator="greaterThanOrEqual" allowBlank="1" showInputMessage="1" showErrorMessage="1" error="申請日より前の日付や、日付以外の内容は入力できません" sqref="CE6:CE10" xr:uid="{00000000-0002-0000-0200-000005000000}">
      <formula1>BY6</formula1>
    </dataValidation>
    <dataValidation type="whole" operator="lessThanOrEqual" allowBlank="1" showInputMessage="1" showErrorMessage="1" error="県産材の実使用量より大きな値は入力しないでください。" sqref="V6:Z10" xr:uid="{00000000-0002-0000-0200-000006000000}">
      <formula1>S6</formula1>
    </dataValidation>
    <dataValidation type="whole" operator="lessThanOrEqual" allowBlank="1" showInputMessage="1" showErrorMessage="1" error="県産材の実使用量より大きな値は入力しないでください（整数値入力）。" sqref="S6:S10" xr:uid="{00000000-0002-0000-0200-000007000000}">
      <formula1>P6</formula1>
    </dataValidation>
    <dataValidation type="decimal" allowBlank="1" showInputMessage="1" showErrorMessage="1" error="0.3以上が補助対象、実木材使用量以下の数値を入力" sqref="FO6:FO11 BF6:BF10" xr:uid="{00000000-0002-0000-0200-000008000000}">
      <formula1>0.3</formula1>
      <formula2>BE6</formula2>
    </dataValidation>
    <dataValidation type="whole" operator="lessThanOrEqual" allowBlank="1" showInputMessage="1" showErrorMessage="1" error="県産材の実使用量より大きな値は入力しないでください（整数値入力）。" sqref="DT6:DT11" xr:uid="{00000000-0002-0000-0200-000009000000}">
      <formula1>DO6</formula1>
    </dataValidation>
    <dataValidation type="decimal" operator="lessThanOrEqual" allowBlank="1" showInputMessage="1" showErrorMessage="1" error="県産材の実使用量より大きな値は入力しないでください。" sqref="EH6:EH11" xr:uid="{00000000-0002-0000-0200-00000A000000}">
      <formula1>DT6</formula1>
    </dataValidation>
    <dataValidation type="whole" allowBlank="1" showInputMessage="1" showErrorMessage="1" error="実木材使用量より大きな値は入力しないでください。補助対象は10m3以上です（整数値で入力）。" sqref="DO6:DO11 P6:P10" xr:uid="{00000000-0002-0000-0200-00000B000000}">
      <formula1>10</formula1>
      <formula2>O6</formula2>
    </dataValidation>
    <dataValidation imeMode="halfAlpha" allowBlank="1" showInputMessage="1" showErrorMessage="1" sqref="J12:J1048576 J1:J10 L1:L10 L12:L1048576" xr:uid="{00000000-0002-0000-0200-00000C000000}"/>
    <dataValidation type="whole" operator="lessThanOrEqual" allowBlank="1" showInputMessage="1" showErrorMessage="1" error="県産材の実使用量より大きな値は入力しないでください。" sqref="DY6:DY11" xr:uid="{00000000-0002-0000-0200-00000D000000}">
      <formula1>DT6</formula1>
    </dataValidation>
    <dataValidation type="decimal" operator="greaterThanOrEqual" allowBlank="1" showInputMessage="1" showErrorMessage="1" sqref="FN6:FN11 BE6:BE10" xr:uid="{00000000-0002-0000-0200-00000E000000}">
      <formula1>0</formula1>
    </dataValidation>
    <dataValidation type="list" allowBlank="1" showInputMessage="1" showErrorMessage="1" sqref="ER6:ES11 GA6:GC11 EM6:EN11 FV6:FW11 AN6:AO10 AW6:AW10 BJ6:BK10 AJ6:AK10 BN6:BP10" xr:uid="{00000000-0002-0000-0200-00000F000000}">
      <formula1>"1"</formula1>
    </dataValidation>
    <dataValidation type="list" allowBlank="1" showInputMessage="1" showErrorMessage="1" sqref="CU6:CU11" xr:uid="{00000000-0002-0000-0200-000010000000}">
      <formula1>"若年子育て,三世代近居,三世代同居"</formula1>
    </dataValidation>
    <dataValidation type="list" allowBlank="1" showInputMessage="1" showErrorMessage="1" sqref="GP6:GP11" xr:uid="{00000000-0002-0000-0200-000011000000}">
      <formula1>"実績,取下,取消"</formula1>
    </dataValidation>
    <dataValidation type="date" operator="greaterThanOrEqual" allowBlank="1" showInputMessage="1" showErrorMessage="1" error="日付以外の値は入力できません" sqref="H6:H11" xr:uid="{00000000-0002-0000-0200-000012000000}">
      <formula1>1</formula1>
    </dataValidation>
    <dataValidation type="date" operator="greaterThanOrEqual" allowBlank="1" showInputMessage="1" showErrorMessage="1" error="日付以外は入力できません" sqref="CS6:CS10 GQ6:GS11 CV6:CW11" xr:uid="{00000000-0002-0000-0200-000013000000}">
      <formula1>1</formula1>
    </dataValidation>
    <dataValidation type="decimal" operator="greaterThanOrEqual" allowBlank="1" showInputMessage="1" showErrorMessage="1" error="数値以外は入力できません" sqref="CP6:CQ10" xr:uid="{00000000-0002-0000-0200-000014000000}">
      <formula1>0</formula1>
    </dataValidation>
    <dataValidation type="list" allowBlank="1" showInputMessage="1" showErrorMessage="1" sqref="CR6:CR10" xr:uid="{00000000-0002-0000-0200-000015000000}">
      <formula1>"要,不要"</formula1>
    </dataValidation>
    <dataValidation type="date" operator="greaterThanOrEqual" allowBlank="1" showInputMessage="1" showErrorMessage="1" error="日付以外の内容は入力できません" sqref="CJ10 BZ10 CA6:CA10 CB10 CC6:CC10 CD10 CF10 CG6:CG10 CH10 CI6:CI10 BY6:BY10" xr:uid="{00000000-0002-0000-0200-000016000000}">
      <formula1>1</formula1>
    </dataValidation>
    <dataValidation type="list" allowBlank="1" showInputMessage="1" showErrorMessage="1" sqref="F6:F11 DM6:DM10 G6:G10" xr:uid="{00000000-0002-0000-0200-000017000000}">
      <formula1>"債,支→債,債→支"</formula1>
    </dataValidation>
    <dataValidation type="list" allowBlank="1" showInputMessage="1" showErrorMessage="1" sqref="M6:M10" xr:uid="{00000000-0002-0000-0200-000018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D6:ED11 AF6:AF10" xr:uid="{00000000-0002-0000-0200-000019000000}">
      <formula1>0</formula1>
    </dataValidation>
    <dataValidation type="whole" operator="greaterThanOrEqual" allowBlank="1" showInputMessage="1" showErrorMessage="1" error="10以上の整数値を入力してください。" sqref="DN6:DN11 O6:O10" xr:uid="{00000000-0002-0000-0200-00001A000000}">
      <formula1>10</formula1>
    </dataValidation>
    <dataValidation type="list" allowBlank="1" showInputMessage="1" showErrorMessage="1" sqref="EW6:EW11 AR6:AR10" xr:uid="{00000000-0002-0000-0200-00001B000000}">
      <formula1>"4"</formula1>
    </dataValidation>
    <dataValidation type="list" allowBlank="1" showInputMessage="1" showErrorMessage="1" sqref="FC6:FC11 AX6:AX10 AV6:AV10" xr:uid="{00000000-0002-0000-0200-00001C000000}">
      <formula1>"1,2"</formula1>
    </dataValidation>
    <dataValidation type="list" allowBlank="1" showInputMessage="1" showErrorMessage="1" sqref="EX6:EX11 AS6:AS10" xr:uid="{00000000-0002-0000-0200-00001D000000}">
      <formula1>"2"</formula1>
    </dataValidation>
    <dataValidation type="whole" operator="greaterThanOrEqual" allowBlank="1" showInputMessage="1" showErrorMessage="1" error="整数値で入力" sqref="FQ6:FQ11 BG6:BG10" xr:uid="{00000000-0002-0000-0200-00001E000000}">
      <formula1>0</formula1>
    </dataValidation>
    <dataValidation type="whole" operator="greaterThanOrEqual" allowBlank="1" showInputMessage="1" showErrorMessage="1" error="７未満の値は入力しないでください。（補助対象となるのは最低７平方メートル以上です）" sqref="GG6:GG11 BS6:BS10" xr:uid="{00000000-0002-0000-0200-00001F000000}">
      <formula1>7</formula1>
    </dataValidation>
    <dataValidation type="whole" operator="greaterThanOrEqual" allowBlank="1" showInputMessage="1" showErrorMessage="1" error="３未満の値は入力しないでください。_x000a_（建具は見付３㎡以上が補助対象です）" sqref="BU6:BU10" xr:uid="{00000000-0002-0000-0200-000020000000}">
      <formula1>3</formula1>
    </dataValidation>
    <dataValidation type="list" allowBlank="1" showInputMessage="1" showErrorMessage="1" sqref="CO6:CO10" xr:uid="{00000000-0002-0000-0200-000021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200-000022000000}">
      <formula1>"新築,改修,登録"</formula1>
    </dataValidation>
    <dataValidation type="list" allowBlank="1" showInputMessage="1" showErrorMessage="1" sqref="BA6:BA11" xr:uid="{00000000-0002-0000-0200-000023000000}">
      <formula1>"平板瓦,和瓦,S瓦"</formula1>
    </dataValidation>
    <dataValidation type="list" allowBlank="1" showInputMessage="1" showErrorMessage="1" sqref="BW6:BW10 BB6:BC11" xr:uid="{00000000-0002-0000-0200-000024000000}">
      <formula1>"モルタル塗,漆喰塗,土壁塗,そとん壁,じゅらく塗,珪藻土塗,その他"</formula1>
    </dataValidation>
    <dataValidation allowBlank="1" showInputMessage="1" showErrorMessage="1" prompt="自動計算" sqref="E6:E11 FD6:FF11 GD6:GF11 FX6:FZ11 FS6:FU11 DQ6:DS11 ET6:EV11 EO6:EQ11 DV6:DX11 FL6:FM11 GN6:GO11 EI6:EL11 GJ6:GK11 EA6:EC11 EF6:EG11 B6:B11 Q6:R11 GT6:GV11 T6:U11 AY6:AZ11 AP6:AQ11 BH6:BI11 BQ6:BR11 BL6:BM11 BX6:BX11 CL6:CL11 AL6:AM11 BD6:BD11 AA6:AB11 BV6:BV11 AG6:AI11 AD6:AD11 AE6:AE11" xr:uid="{00000000-0002-0000-0200-000025000000}"/>
    <dataValidation type="list" allowBlank="1" showInputMessage="1" showErrorMessage="1" prompt="AW列の瓦の種類も選択してください。" sqref="AU6:AU10" xr:uid="{00000000-0002-0000-0200-000026000000}">
      <formula1>"2"</formula1>
    </dataValidation>
    <dataValidation type="list" allowBlank="1" showInputMessage="1" showErrorMessage="1" prompt="AX列の左官材料の種類も選択してください。" sqref="AT6:AT10" xr:uid="{00000000-0002-0000-0200-000027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0" xr:uid="{00000000-0002-0000-0200-000028000000}">
      <formula1>7</formula1>
    </dataValidation>
    <dataValidation allowBlank="1" showInputMessage="1" showErrorMessage="1" error="実木材使用量より大きな値は入力しないでください。補助対象は10m3以上です（整数値で入力）。" sqref="DZ11 DP6:DP11 DU11 P11" xr:uid="{00000000-0002-0000-0200-000029000000}"/>
    <dataValidation operator="lessThanOrEqual" allowBlank="1" showInputMessage="1" showErrorMessage="1" error="県産材の実使用量より大きな値は入力しないでください（整数値入力）。" sqref="DU6:DU10 S11 V11:Z11 AF11 AC11 AR11:AX11 AN11:AO11 AJ11:AK11" xr:uid="{00000000-0002-0000-0200-00002A000000}"/>
    <dataValidation operator="lessThanOrEqual" allowBlank="1" showInputMessage="1" showErrorMessage="1" error="県産材の実使用量より大きな値は入力しないでください。" sqref="DZ6:DZ10" xr:uid="{00000000-0002-0000-0200-00002B000000}"/>
    <dataValidation operator="greaterThanOrEqual" allowBlank="1" showInputMessage="1" showErrorMessage="1" error="県産材の実使用量より大きな値は入力しないでください。" sqref="EE6:EE11" xr:uid="{00000000-0002-0000-0200-00002C000000}"/>
    <dataValidation type="list" allowBlank="1" showErrorMessage="1" sqref="FG6:FG11" xr:uid="{00000000-0002-0000-0200-00002D000000}">
      <formula1>"平板瓦,和瓦,S瓦"</formula1>
    </dataValidation>
    <dataValidation type="list" allowBlank="1" showErrorMessage="1" sqref="GL6:GL11 FH6:FI11" xr:uid="{00000000-0002-0000-0200-00002E000000}">
      <formula1>"モルタル塗,漆喰塗,土壁塗,そとん壁,じゅらく塗,珪藻土塗,その他"</formula1>
    </dataValidation>
    <dataValidation type="list" allowBlank="1" showInputMessage="1" showErrorMessage="1" prompt="EL列の瓦の種類も選択してください。" sqref="EZ6:EZ11" xr:uid="{00000000-0002-0000-0200-00002F000000}">
      <formula1>"2"</formula1>
    </dataValidation>
    <dataValidation type="list" allowBlank="1" showInputMessage="1" showErrorMessage="1" prompt="EM列の左官材料の種類も選択してください。" sqref="EY6:EY11" xr:uid="{00000000-0002-0000-0200-000030000000}">
      <formula1>"1,2"</formula1>
    </dataValidation>
    <dataValidation type="list" allowBlank="1" showInputMessage="1" showErrorMessage="1" prompt="EN列の木製建具事業者名も入力してください。" sqref="FA6:FA11" xr:uid="{00000000-0002-0000-0200-000031000000}">
      <formula1>"1,2"</formula1>
    </dataValidation>
    <dataValidation type="list" allowBlank="1" showInputMessage="1" showErrorMessage="1" prompt="EO列に畳事業者名を入力してください。" sqref="FB6:FB11" xr:uid="{00000000-0002-0000-0200-000032000000}">
      <formula1>"1"</formula1>
    </dataValidation>
    <dataValidation allowBlank="1" showInputMessage="1" showErrorMessage="1" error="0.3以上が補助対象、実木材使用量以下の数値を入力" sqref="FP6:FP11" xr:uid="{00000000-0002-0000-0200-000033000000}"/>
    <dataValidation operator="greaterThanOrEqual" allowBlank="1" showInputMessage="1" showErrorMessage="1" error="整数値で入力" sqref="FR6:FR11" xr:uid="{00000000-0002-0000-0200-000034000000}"/>
    <dataValidation allowBlank="1" showErrorMessage="1" sqref="GM6:GM11" xr:uid="{00000000-0002-0000-0200-000035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H6:GH11" xr:uid="{00000000-0002-0000-0200-000036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I6:GI11" xr:uid="{00000000-0002-0000-0200-000037000000}">
      <formula1>3</formula1>
    </dataValidation>
    <dataValidation allowBlank="1" sqref="BJ11:BK11 BN11:BP11" xr:uid="{00000000-0002-0000-0200-000038000000}"/>
    <dataValidation type="list" allowBlank="1" showInputMessage="1" showErrorMessage="1" sqref="G11 DM11" xr:uid="{00000000-0002-0000-0200-000039000000}">
      <formula1>"〇"</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A5C4-A470-4071-AF33-B622785CCB9E}">
  <dimension ref="A1:L2"/>
  <sheetViews>
    <sheetView workbookViewId="0">
      <selection activeCell="H3" sqref="H3"/>
    </sheetView>
  </sheetViews>
  <sheetFormatPr defaultRowHeight="18" x14ac:dyDescent="0.45"/>
  <cols>
    <col min="2" max="3" width="9.3984375" bestFit="1" customWidth="1"/>
    <col min="4" max="4" width="15.09765625" customWidth="1"/>
    <col min="5" max="5" width="16.3984375" customWidth="1"/>
    <col min="6" max="6" width="19.19921875" bestFit="1" customWidth="1"/>
    <col min="7" max="11" width="11" bestFit="1" customWidth="1"/>
  </cols>
  <sheetData>
    <row r="1" spans="1:12" x14ac:dyDescent="0.45">
      <c r="A1" s="298" t="s">
        <v>452</v>
      </c>
      <c r="B1" s="298" t="s">
        <v>453</v>
      </c>
      <c r="C1" s="298" t="s">
        <v>454</v>
      </c>
      <c r="D1" s="298" t="s">
        <v>455</v>
      </c>
      <c r="E1" s="298" t="s">
        <v>456</v>
      </c>
      <c r="F1" s="298" t="s">
        <v>457</v>
      </c>
      <c r="G1" s="298" t="s">
        <v>458</v>
      </c>
      <c r="H1" s="298" t="s">
        <v>459</v>
      </c>
      <c r="I1" s="298" t="s">
        <v>460</v>
      </c>
      <c r="J1" s="298" t="s">
        <v>461</v>
      </c>
      <c r="K1" s="298" t="s">
        <v>462</v>
      </c>
      <c r="L1" s="298" t="s">
        <v>463</v>
      </c>
    </row>
    <row r="2" spans="1:12" x14ac:dyDescent="0.45">
      <c r="A2" s="219"/>
      <c r="B2" s="219" t="str">
        <f>IF('【様式第２号の２】事業計画書兼チェックシート（改修）'!B52="✔",IF('【様式第２号の２】事業計画書兼チェックシート（改修）'!U52="","",IF('【様式第２号の２】事業計画書兼チェックシート（改修）'!U52="その他","",IF('【様式第２号の２】事業計画書兼チェックシート（改修）'!N13="","",'【様式第２号の２】事業計画書兼チェックシート（改修）'!N13))),"")</f>
        <v/>
      </c>
      <c r="C2" s="219" t="str">
        <f>IF('【様式第２号の２】事業計画書兼チェックシート（改修）'!B52="✔",IF('【様式第２号の２】事業計画書兼チェックシート（改修）'!U52="","",IF('【様式第２号の２】事業計画書兼チェックシート（改修）'!U52="その他","",IF('【様式第２号の２】事業計画書兼チェックシート（改修）'!N13="","",'【様式第２号の２】事業計画書兼チェックシート（改修）'!N13))),"")</f>
        <v/>
      </c>
      <c r="D2" s="219" t="str">
        <f>IF('【様式第２号の２】事業計画書兼チェックシート（改修）'!B52="✔",IF('【様式第２号の２】事業計画書兼チェックシート（改修）'!U52="","",IF('【様式第２号の２】事業計画書兼チェックシート（改修）'!U52="その他","",IF('【様式第２号の２】事業計画書兼チェックシート（改修）'!U52="","",'【様式第２号の２】事業計画書兼チェックシート（改修）'!U52))),"")</f>
        <v/>
      </c>
      <c r="E2" s="299" t="e">
        <f>IF('【様式第２号の２】事業計画書兼チェックシート（改修）'!S33="","",'【様式第２号の２】事業計画書兼チェックシート（改修）'!S33)*10000</f>
        <v>#VALUE!</v>
      </c>
      <c r="F2" s="300" t="str">
        <f>【様式第６号の３】補助基準額等算定表!D61</f>
        <v/>
      </c>
      <c r="G2" s="300">
        <f>【様式第６号の３】補助基準額等算定表!D63</f>
        <v>0</v>
      </c>
      <c r="H2" s="300">
        <f>【様式第６号の３】補助基準額等算定表!D66</f>
        <v>0</v>
      </c>
      <c r="I2" s="219"/>
      <c r="J2" s="219"/>
      <c r="K2" s="219"/>
      <c r="L2" s="219"/>
    </row>
  </sheetData>
  <sheetProtection algorithmName="SHA-512" hashValue="voOULcVSncNvCDts9AoF9Ckp8RxgolBTY1AcYKYoHMwAr0hLM2WnE3JsbhtT1AIrmpySrdgYJToG4fjEa4SmQg==" saltValue="jaSOi5RP5H7dIJ8+OvGM6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【様式第２号の２】事業計画書兼チェックシート（改修）</vt:lpstr>
      <vt:lpstr>【様式第６号の３】補助基準額等算定表</vt:lpstr>
      <vt:lpstr>【様式第１号】登録申請書 (住まいる)</vt:lpstr>
      <vt:lpstr>【様式第１号】登録申請書 (健康省エネ)</vt:lpstr>
      <vt:lpstr>住まいる台帳</vt:lpstr>
      <vt:lpstr>健康省エネ台帳</vt:lpstr>
      <vt:lpstr>'【様式第１号】登録申請書 (健康省エネ)'!Print_Area</vt:lpstr>
      <vt:lpstr>'【様式第１号】登録申請書 (住まいる)'!Print_Area</vt:lpstr>
      <vt:lpstr>'【様式第２号の２】事業計画書兼チェックシート（改修）'!Print_Area</vt:lpstr>
      <vt:lpstr>【様式第６号の３】補助基準額等算定表!Print_Area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山澤 徹也</cp:lastModifiedBy>
  <cp:lastPrinted>2024-03-21T09:24:06Z</cp:lastPrinted>
  <dcterms:created xsi:type="dcterms:W3CDTF">2023-01-05T23:49:49Z</dcterms:created>
  <dcterms:modified xsi:type="dcterms:W3CDTF">2025-06-26T07:44:51Z</dcterms:modified>
</cp:coreProperties>
</file>