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8E6DF02F-7CDF-4B4E-BE97-2FD75ED25FBD}" xr6:coauthVersionLast="47" xr6:coauthVersionMax="47" xr10:uidLastSave="{00000000-0000-0000-0000-000000000000}"/>
  <bookViews>
    <workbookView xWindow="28680" yWindow="-120" windowWidth="27720" windowHeight="16440" tabRatio="848" xr2:uid="{00000000-000D-0000-FFFF-FFFF00000000}"/>
  </bookViews>
  <sheets>
    <sheet name="【様式第2号】事業計画書兼チェックシート（新築）" sheetId="11" r:id="rId1"/>
    <sheet name="【様式第６号】（別紙）補助金併用一覧" sheetId="15" state="hidden" r:id="rId2"/>
    <sheet name="交付申請書（計画書連動）（未来型）" sheetId="18" r:id="rId3"/>
    <sheet name="交付申請書（計画書連動）（住まいる）" sheetId="12" r:id="rId4"/>
    <sheet name="住まいる台帳コピー" sheetId="16" r:id="rId5"/>
    <sheet name="未来型台帳コピー" sheetId="17" r:id="rId6"/>
  </sheets>
  <externalReferences>
    <externalReference r:id="rId7"/>
  </externalReferences>
  <definedNames>
    <definedName name="_xlnm.Print_Area" localSheetId="0">'【様式第2号】事業計画書兼チェックシート（新築）'!$A$1:$AA$271</definedName>
    <definedName name="_xlnm.Print_Area" localSheetId="1">'【様式第６号】（別紙）補助金併用一覧'!$A$1:$E$32</definedName>
    <definedName name="_xlnm.Print_Area" localSheetId="3">'交付申請書（計画書連動）（住まいる）'!$A$1:$Z$41</definedName>
    <definedName name="_xlnm.Print_Area" localSheetId="2">'交付申請書（計画書連動）（未来型）'!$A$1:$Z$41</definedName>
  </definedNames>
  <calcPr calcId="181029"/>
</workbook>
</file>

<file path=xl/calcChain.xml><?xml version="1.0" encoding="utf-8"?>
<calcChain xmlns="http://schemas.openxmlformats.org/spreadsheetml/2006/main">
  <c r="AG11" i="16" l="1"/>
  <c r="AC11" i="16"/>
  <c r="Y11" i="16"/>
  <c r="V11" i="16"/>
  <c r="S11" i="16"/>
  <c r="P11" i="16"/>
  <c r="Y108" i="11"/>
  <c r="U101" i="11" l="1"/>
  <c r="X11" i="16" l="1"/>
  <c r="U11" i="16"/>
  <c r="Y110" i="11"/>
  <c r="Y103" i="11"/>
  <c r="Y111" i="11" s="1"/>
  <c r="Y104" i="11"/>
  <c r="AB240" i="11" l="1"/>
  <c r="AB40" i="11" l="1"/>
  <c r="H28" i="18" l="1"/>
  <c r="H28" i="12"/>
  <c r="T240" i="11"/>
  <c r="M22" i="18" s="1"/>
  <c r="M23" i="18" l="1"/>
  <c r="O10" i="18" l="1"/>
  <c r="P9" i="18"/>
  <c r="O13" i="18"/>
  <c r="O12" i="18"/>
  <c r="O11" i="18"/>
  <c r="P9" i="12" l="1"/>
  <c r="O13" i="12"/>
  <c r="O12" i="12"/>
  <c r="O11" i="12"/>
  <c r="O10" i="12"/>
  <c r="W4" i="18"/>
  <c r="T4" i="18"/>
  <c r="Q4" i="18"/>
  <c r="H27" i="18"/>
  <c r="B6" i="18"/>
  <c r="Q4" i="12"/>
  <c r="T4" i="12"/>
  <c r="W4" i="12"/>
  <c r="AB14" i="11"/>
  <c r="AB13" i="11"/>
  <c r="AB12" i="11"/>
  <c r="AB11" i="11"/>
  <c r="AB10" i="11"/>
  <c r="AB8" i="11"/>
  <c r="C250" i="11"/>
  <c r="H27" i="12"/>
  <c r="B6" i="12"/>
  <c r="BG29" i="11" l="1"/>
  <c r="DK11" i="16" l="1"/>
  <c r="D75" i="11"/>
  <c r="DJ11" i="16" l="1"/>
  <c r="DN11" i="16" l="1"/>
  <c r="DM11" i="16"/>
  <c r="DL11" i="16"/>
  <c r="DI11" i="16"/>
  <c r="DH11" i="16"/>
  <c r="DH13" i="16" s="1"/>
  <c r="DG11" i="16"/>
  <c r="DF11" i="16"/>
  <c r="DF13" i="16" s="1"/>
  <c r="DE11" i="16"/>
  <c r="DD11" i="16"/>
  <c r="DD13" i="16" s="1"/>
  <c r="DC11" i="16"/>
  <c r="DB11" i="16"/>
  <c r="DB13" i="16" s="1"/>
  <c r="DA11" i="16"/>
  <c r="CZ11" i="16"/>
  <c r="CO11" i="16"/>
  <c r="BC11" i="16"/>
  <c r="BB11" i="16"/>
  <c r="BB13" i="16" s="1"/>
  <c r="BA11" i="16"/>
  <c r="D50" i="11" l="1"/>
  <c r="AB31" i="11" l="1"/>
  <c r="AB60" i="11"/>
  <c r="AB57" i="11"/>
  <c r="AB54" i="11"/>
  <c r="AT3" i="17" l="1"/>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I3" i="17"/>
  <c r="FE11" i="16" l="1"/>
  <c r="FD11" i="16"/>
  <c r="FC11" i="16"/>
  <c r="FB11" i="16"/>
  <c r="FA11" i="16"/>
  <c r="EZ11" i="16"/>
  <c r="EY11" i="16"/>
  <c r="EU11" i="16"/>
  <c r="ET11" i="16"/>
  <c r="EP11" i="16"/>
  <c r="EO11" i="16"/>
  <c r="EI11" i="16"/>
  <c r="EH11" i="16" s="1"/>
  <c r="EF11" i="16"/>
  <c r="EA11" i="16"/>
  <c r="DZ11" i="16" s="1"/>
  <c r="DV11" i="16"/>
  <c r="DU11" i="16" s="1"/>
  <c r="DQ11" i="16"/>
  <c r="DS11" i="16" s="1"/>
  <c r="DP11" i="16"/>
  <c r="GV10" i="16"/>
  <c r="GU10" i="16"/>
  <c r="GO10" i="16"/>
  <c r="GG10" i="16"/>
  <c r="GA10" i="16"/>
  <c r="FV10" i="16"/>
  <c r="FT10" i="16"/>
  <c r="FM10" i="16"/>
  <c r="FF10" i="16"/>
  <c r="EX10" i="16" s="1"/>
  <c r="ES10" i="16"/>
  <c r="EN10" i="16"/>
  <c r="EH10" i="16"/>
  <c r="EE10" i="16"/>
  <c r="DZ10" i="16"/>
  <c r="DU10" i="16"/>
  <c r="DS10" i="16"/>
  <c r="EK10" i="16" s="1"/>
  <c r="GO9" i="16"/>
  <c r="GG9" i="16"/>
  <c r="GA9" i="16"/>
  <c r="FV9" i="16"/>
  <c r="FT9" i="16"/>
  <c r="FF9" i="16"/>
  <c r="FG9" i="16" s="1"/>
  <c r="ES9" i="16"/>
  <c r="EN9" i="16"/>
  <c r="EH9" i="16"/>
  <c r="EE9" i="16"/>
  <c r="DZ9" i="16"/>
  <c r="DU9" i="16"/>
  <c r="DS9" i="16"/>
  <c r="GV8" i="16"/>
  <c r="GU8" i="16"/>
  <c r="GO8" i="16"/>
  <c r="GG8" i="16"/>
  <c r="GA8" i="16"/>
  <c r="FV8" i="16"/>
  <c r="FT8" i="16"/>
  <c r="FM8" i="16"/>
  <c r="FF8" i="16"/>
  <c r="EX8" i="16" s="1"/>
  <c r="ES8" i="16"/>
  <c r="EN8" i="16"/>
  <c r="EH8" i="16"/>
  <c r="EE8" i="16"/>
  <c r="DZ8" i="16"/>
  <c r="DU8" i="16"/>
  <c r="DS8" i="16"/>
  <c r="EC8" i="16" s="1"/>
  <c r="GG7" i="16"/>
  <c r="GA7" i="16"/>
  <c r="FV7" i="16"/>
  <c r="FT7" i="16"/>
  <c r="FM7" i="16"/>
  <c r="FF7" i="16"/>
  <c r="EX7" i="16" s="1"/>
  <c r="ES7" i="16"/>
  <c r="EN7" i="16"/>
  <c r="EH7" i="16"/>
  <c r="EE7" i="16"/>
  <c r="DZ7" i="16"/>
  <c r="DU7" i="16"/>
  <c r="DS7" i="16"/>
  <c r="GO6" i="16"/>
  <c r="GG6" i="16"/>
  <c r="GA6" i="16"/>
  <c r="FV6" i="16"/>
  <c r="FT6" i="16"/>
  <c r="FF6" i="16"/>
  <c r="FG6" i="16" s="1"/>
  <c r="ES6" i="16"/>
  <c r="EN6" i="16"/>
  <c r="EH6" i="16"/>
  <c r="EE6" i="16"/>
  <c r="DZ6" i="16"/>
  <c r="DU6" i="16"/>
  <c r="DS6" i="16"/>
  <c r="EK6" i="16" s="1"/>
  <c r="EX6" i="16" l="1"/>
  <c r="FG10" i="16"/>
  <c r="DX10" i="16"/>
  <c r="GE7" i="16"/>
  <c r="DX6" i="16"/>
  <c r="GK6" i="16"/>
  <c r="EV9" i="16"/>
  <c r="FY9" i="16"/>
  <c r="GE8" i="16"/>
  <c r="GE10" i="16"/>
  <c r="GK7" i="16"/>
  <c r="EG10" i="16"/>
  <c r="EL10" i="16" s="1"/>
  <c r="EQ8" i="16"/>
  <c r="EQ7" i="16"/>
  <c r="EG7" i="16"/>
  <c r="EK8" i="16"/>
  <c r="GK9" i="16"/>
  <c r="EV10" i="16"/>
  <c r="GK10" i="16"/>
  <c r="ES11" i="16"/>
  <c r="EQ10" i="16"/>
  <c r="GK8" i="16"/>
  <c r="FY6" i="16"/>
  <c r="GE9" i="16"/>
  <c r="EC10" i="16"/>
  <c r="GW10" i="16"/>
  <c r="EN11" i="16"/>
  <c r="EQ11" i="16" s="1"/>
  <c r="FF11" i="16"/>
  <c r="EX11" i="16" s="1"/>
  <c r="GE6" i="16"/>
  <c r="FY7" i="16"/>
  <c r="DX8" i="16"/>
  <c r="EV8" i="16"/>
  <c r="FG8" i="16"/>
  <c r="EG9" i="16"/>
  <c r="EV6" i="16"/>
  <c r="EQ6" i="16"/>
  <c r="EC7" i="16"/>
  <c r="EV7" i="16"/>
  <c r="EG8" i="16"/>
  <c r="GW8" i="16"/>
  <c r="EC11" i="16"/>
  <c r="DX11" i="16"/>
  <c r="EK11" i="16"/>
  <c r="EG11" i="16"/>
  <c r="FG7" i="16"/>
  <c r="EG6" i="16"/>
  <c r="EL6" i="16" s="1"/>
  <c r="DX7" i="16"/>
  <c r="EK7" i="16"/>
  <c r="EL7" i="16" s="1"/>
  <c r="FY8" i="16"/>
  <c r="DX9" i="16"/>
  <c r="EK9" i="16"/>
  <c r="EQ9" i="16"/>
  <c r="FY10" i="16"/>
  <c r="EC6" i="16"/>
  <c r="EX9" i="16"/>
  <c r="EE11" i="16"/>
  <c r="EC9" i="16"/>
  <c r="EL8" i="16" l="1"/>
  <c r="EL9" i="16"/>
  <c r="EV11" i="16"/>
  <c r="FG11" i="16"/>
  <c r="EL11" i="16"/>
  <c r="CR11" i="16" l="1"/>
  <c r="CQ11" i="16"/>
  <c r="CQ13" i="16" s="1"/>
  <c r="CP11" i="16"/>
  <c r="CP13" i="16" s="1"/>
  <c r="CN11" i="16"/>
  <c r="CM11" i="16"/>
  <c r="CM13" i="16" s="1"/>
  <c r="CI11" i="16"/>
  <c r="CG11" i="16"/>
  <c r="CE11" i="16"/>
  <c r="CC11" i="16"/>
  <c r="CA11" i="16"/>
  <c r="BY11" i="16"/>
  <c r="AD11" i="16"/>
  <c r="AF11" i="16"/>
  <c r="V13" i="16"/>
  <c r="R11" i="16"/>
  <c r="P13" i="16"/>
  <c r="O11" i="16"/>
  <c r="O13" i="16" s="1"/>
  <c r="N11" i="16"/>
  <c r="M11" i="16"/>
  <c r="L11" i="16"/>
  <c r="K11" i="16"/>
  <c r="K13" i="16" s="1"/>
  <c r="J11" i="16"/>
  <c r="I11" i="16"/>
  <c r="B7" i="16"/>
  <c r="E7" i="16"/>
  <c r="Q7" i="16"/>
  <c r="R7" i="16"/>
  <c r="U7" i="16"/>
  <c r="AF7" i="16"/>
  <c r="AB7" i="16"/>
  <c r="AD7" i="16"/>
  <c r="AI7" i="16"/>
  <c r="AM7" i="16"/>
  <c r="AY7" i="16"/>
  <c r="AQ7" i="16" s="1"/>
  <c r="BD7" i="16"/>
  <c r="BH7" i="16"/>
  <c r="BI7" i="16"/>
  <c r="BM7" i="16"/>
  <c r="BR7" i="16"/>
  <c r="B8" i="16"/>
  <c r="E8" i="16"/>
  <c r="Q8" i="16"/>
  <c r="R8" i="16"/>
  <c r="U8" i="16"/>
  <c r="AF8" i="16"/>
  <c r="AB8" i="16"/>
  <c r="AD8" i="16"/>
  <c r="AI8" i="16"/>
  <c r="AM8" i="16"/>
  <c r="AY8" i="16"/>
  <c r="AQ8" i="16" s="1"/>
  <c r="BH8" i="16"/>
  <c r="FU8" i="16" s="1"/>
  <c r="BI8" i="16"/>
  <c r="BM8" i="16"/>
  <c r="BR8" i="16"/>
  <c r="BX8" i="16"/>
  <c r="GP8" i="16" s="1"/>
  <c r="B9" i="16"/>
  <c r="E9" i="16"/>
  <c r="Q9" i="16"/>
  <c r="R9" i="16"/>
  <c r="U9" i="16"/>
  <c r="AF9" i="16"/>
  <c r="AB9" i="16"/>
  <c r="AD9" i="16"/>
  <c r="AI9" i="16"/>
  <c r="AM9" i="16"/>
  <c r="AY9" i="16"/>
  <c r="BH9" i="16"/>
  <c r="FU9" i="16" s="1"/>
  <c r="BI9" i="16"/>
  <c r="BM9" i="16"/>
  <c r="BR9" i="16"/>
  <c r="BX9" i="16"/>
  <c r="GP9" i="16" s="1"/>
  <c r="B10" i="16"/>
  <c r="E10" i="16"/>
  <c r="Q10" i="16"/>
  <c r="R10" i="16"/>
  <c r="U10" i="16"/>
  <c r="AF10" i="16"/>
  <c r="AB10" i="16"/>
  <c r="AD10" i="16"/>
  <c r="AI10" i="16"/>
  <c r="AM10" i="16"/>
  <c r="AY10" i="16"/>
  <c r="AQ10" i="16" s="1"/>
  <c r="BD10" i="16"/>
  <c r="FN10" i="16" s="1"/>
  <c r="BH10" i="16"/>
  <c r="FU10" i="16" s="1"/>
  <c r="BI10" i="16"/>
  <c r="BM10" i="16"/>
  <c r="BR10" i="16"/>
  <c r="BX10" i="16"/>
  <c r="GP10" i="16" s="1"/>
  <c r="B11" i="16"/>
  <c r="E11" i="16"/>
  <c r="EI13" i="16"/>
  <c r="FT13" i="16"/>
  <c r="GN13" i="16"/>
  <c r="GM13" i="16"/>
  <c r="GJ13" i="16"/>
  <c r="GI13" i="16"/>
  <c r="GH13" i="16"/>
  <c r="GD13" i="16"/>
  <c r="GC13" i="16"/>
  <c r="GB13" i="16"/>
  <c r="FX13" i="16"/>
  <c r="FW13" i="16"/>
  <c r="FS13" i="16"/>
  <c r="FR13" i="16"/>
  <c r="FQ13" i="16"/>
  <c r="FP13" i="16"/>
  <c r="FO13" i="16"/>
  <c r="FL13" i="16"/>
  <c r="FK13" i="16"/>
  <c r="FJ13" i="16"/>
  <c r="FI13" i="16"/>
  <c r="FE13" i="16"/>
  <c r="FD13" i="16"/>
  <c r="FC13" i="16"/>
  <c r="FB13" i="16"/>
  <c r="FA13" i="16"/>
  <c r="EZ13" i="16"/>
  <c r="EY13" i="16"/>
  <c r="EU13" i="16"/>
  <c r="ET13" i="16"/>
  <c r="EP13" i="16"/>
  <c r="EO13" i="16"/>
  <c r="EJ13" i="16"/>
  <c r="EG13" i="16"/>
  <c r="EF13" i="16"/>
  <c r="EB13" i="16"/>
  <c r="EA13" i="16"/>
  <c r="DW13" i="16"/>
  <c r="DV13" i="16"/>
  <c r="DR13" i="16"/>
  <c r="DQ13" i="16"/>
  <c r="DP13" i="16"/>
  <c r="CZ13" i="16"/>
  <c r="CO13" i="16"/>
  <c r="BW13" i="16"/>
  <c r="BU13" i="16"/>
  <c r="BT13" i="16"/>
  <c r="BS13" i="16"/>
  <c r="BP13" i="16"/>
  <c r="BO13" i="16"/>
  <c r="BN13" i="16"/>
  <c r="BK13" i="16"/>
  <c r="BJ13" i="16"/>
  <c r="BG13" i="16"/>
  <c r="BF13" i="16"/>
  <c r="BE13" i="16"/>
  <c r="BC13" i="16"/>
  <c r="BA13" i="16"/>
  <c r="G13" i="16"/>
  <c r="D13" i="16"/>
  <c r="BM13" i="16"/>
  <c r="BX6" i="16"/>
  <c r="GP6" i="16" s="1"/>
  <c r="BR6" i="16"/>
  <c r="BM6" i="16"/>
  <c r="BI6" i="16"/>
  <c r="BH6" i="16"/>
  <c r="FU6" i="16" s="1"/>
  <c r="AY6" i="16"/>
  <c r="AQ6" i="16" s="1"/>
  <c r="AM6" i="16"/>
  <c r="AI6" i="16"/>
  <c r="AD6" i="16"/>
  <c r="AB6" i="16"/>
  <c r="AF6" i="16"/>
  <c r="U6" i="16"/>
  <c r="R6" i="16"/>
  <c r="Q6" i="16"/>
  <c r="E6" i="16"/>
  <c r="B6" i="16"/>
  <c r="BV9" i="16" l="1"/>
  <c r="GL9" i="16" s="1"/>
  <c r="DT10" i="16"/>
  <c r="AL10" i="16"/>
  <c r="ER10" i="16" s="1"/>
  <c r="BQ9" i="16"/>
  <c r="GF9" i="16" s="1"/>
  <c r="T7" i="16"/>
  <c r="DY7" i="16" s="1"/>
  <c r="DT7" i="16"/>
  <c r="AL7" i="16"/>
  <c r="ER7" i="16" s="1"/>
  <c r="DT6" i="16"/>
  <c r="AL6" i="16"/>
  <c r="ER6" i="16" s="1"/>
  <c r="BL7" i="16"/>
  <c r="FZ7" i="16" s="1"/>
  <c r="FU7" i="16"/>
  <c r="FN7" i="16"/>
  <c r="T9" i="16"/>
  <c r="DY9" i="16" s="1"/>
  <c r="DT9" i="16"/>
  <c r="AL9" i="16"/>
  <c r="ER9" i="16" s="1"/>
  <c r="T8" i="16"/>
  <c r="DY8" i="16" s="1"/>
  <c r="DT8" i="16"/>
  <c r="AL8" i="16"/>
  <c r="ER8" i="16" s="1"/>
  <c r="AB11" i="16"/>
  <c r="AB13" i="16" s="1"/>
  <c r="AC13" i="16"/>
  <c r="S13" i="16"/>
  <c r="AA8" i="16"/>
  <c r="ED8" i="16" s="1"/>
  <c r="AD13" i="16"/>
  <c r="AG13" i="16"/>
  <c r="BV10" i="16"/>
  <c r="GL10" i="16" s="1"/>
  <c r="CL10" i="16"/>
  <c r="Q11" i="16"/>
  <c r="U13" i="16"/>
  <c r="BQ10" i="16"/>
  <c r="GF10" i="16" s="1"/>
  <c r="BL10" i="16"/>
  <c r="FZ10" i="16" s="1"/>
  <c r="BV7" i="16"/>
  <c r="BL6" i="16"/>
  <c r="FZ6" i="16" s="1"/>
  <c r="AA9" i="16"/>
  <c r="ED9" i="16" s="1"/>
  <c r="BQ7" i="16"/>
  <c r="GF7" i="16" s="1"/>
  <c r="AH8" i="16"/>
  <c r="AE8" i="16" s="1"/>
  <c r="EM8" i="16" s="1"/>
  <c r="AZ8" i="16"/>
  <c r="FH8" i="16" s="1"/>
  <c r="AP8" i="16"/>
  <c r="EW8" i="16" s="1"/>
  <c r="AZ7" i="16"/>
  <c r="FH7" i="16" s="1"/>
  <c r="AA7" i="16"/>
  <c r="ED7" i="16" s="1"/>
  <c r="AH9" i="16"/>
  <c r="AE9" i="16" s="1"/>
  <c r="EM9" i="16" s="1"/>
  <c r="AZ6" i="16"/>
  <c r="FH6" i="16" s="1"/>
  <c r="AZ10" i="16"/>
  <c r="FH10" i="16" s="1"/>
  <c r="BL9" i="16"/>
  <c r="FZ9" i="16" s="1"/>
  <c r="AP9" i="16"/>
  <c r="EW9" i="16" s="1"/>
  <c r="AP7" i="16"/>
  <c r="EW7" i="16" s="1"/>
  <c r="EN13" i="16"/>
  <c r="BV6" i="16"/>
  <c r="GL6" i="16" s="1"/>
  <c r="DU13" i="16"/>
  <c r="AF13" i="16"/>
  <c r="R13" i="16"/>
  <c r="AZ9" i="16"/>
  <c r="FH9" i="16" s="1"/>
  <c r="AQ9" i="16"/>
  <c r="BL8" i="16"/>
  <c r="FZ8" i="16" s="1"/>
  <c r="BV8" i="16"/>
  <c r="GL8" i="16" s="1"/>
  <c r="AP10" i="16"/>
  <c r="EW10" i="16" s="1"/>
  <c r="T10" i="16"/>
  <c r="DY10" i="16" s="1"/>
  <c r="AH10" i="16"/>
  <c r="AE10" i="16" s="1"/>
  <c r="EM10" i="16" s="1"/>
  <c r="AA10" i="16"/>
  <c r="ED10" i="16" s="1"/>
  <c r="BQ8" i="16"/>
  <c r="GF8" i="16" s="1"/>
  <c r="AH7" i="16"/>
  <c r="AE7" i="16" s="1"/>
  <c r="EM7" i="16" s="1"/>
  <c r="GG13" i="16"/>
  <c r="B13" i="16"/>
  <c r="GA13" i="16"/>
  <c r="AP6" i="16"/>
  <c r="EW6" i="16" s="1"/>
  <c r="T6" i="16"/>
  <c r="DY6" i="16" s="1"/>
  <c r="BQ6" i="16"/>
  <c r="GF6" i="16" s="1"/>
  <c r="BI13" i="16"/>
  <c r="DS13" i="16"/>
  <c r="FV13" i="16"/>
  <c r="AA6" i="16"/>
  <c r="ED6" i="16" s="1"/>
  <c r="BH13" i="16"/>
  <c r="AH6" i="16"/>
  <c r="AE6" i="16" s="1"/>
  <c r="EM6" i="16" s="1"/>
  <c r="E13" i="16"/>
  <c r="BR13" i="16"/>
  <c r="EE13" i="16"/>
  <c r="DZ13" i="16"/>
  <c r="ES13" i="16"/>
  <c r="FF13" i="16"/>
  <c r="B98" i="11"/>
  <c r="AB98" i="11" s="1"/>
  <c r="W11" i="16" l="1"/>
  <c r="AA11" i="16" s="1"/>
  <c r="Z11" i="16"/>
  <c r="AH11" i="16"/>
  <c r="AE11" i="16" s="1"/>
  <c r="T11" i="16"/>
  <c r="DY11" i="16" s="1"/>
  <c r="DY13" i="16" s="1"/>
  <c r="DT11" i="16"/>
  <c r="DT13" i="16" s="1"/>
  <c r="BX7" i="16"/>
  <c r="GL7" i="16"/>
  <c r="GO7" i="16"/>
  <c r="GV7" i="16" s="1"/>
  <c r="Q13" i="16"/>
  <c r="BD9" i="16"/>
  <c r="DX13" i="16"/>
  <c r="EX13" i="16"/>
  <c r="BD8" i="16"/>
  <c r="FN8" i="16" s="1"/>
  <c r="EC13" i="16"/>
  <c r="FG13" i="16"/>
  <c r="EK13" i="16"/>
  <c r="BQ13" i="16"/>
  <c r="GE13" i="16"/>
  <c r="BD6" i="16"/>
  <c r="EQ13" i="16"/>
  <c r="BV13" i="16"/>
  <c r="FY13" i="16"/>
  <c r="EH13" i="16"/>
  <c r="BL13" i="16"/>
  <c r="FZ13" i="16"/>
  <c r="EV13" i="16"/>
  <c r="GK13" i="16"/>
  <c r="FU13" i="16"/>
  <c r="ED11" i="16" l="1"/>
  <c r="EM11" i="16"/>
  <c r="EM13" i="16" s="1"/>
  <c r="AU3" i="17"/>
  <c r="AE13" i="16"/>
  <c r="T13" i="16"/>
  <c r="GU9" i="16"/>
  <c r="GU6" i="16"/>
  <c r="GU7" i="16"/>
  <c r="GW7" i="16" s="1"/>
  <c r="GP7" i="16"/>
  <c r="CL7" i="16"/>
  <c r="CL9" i="16"/>
  <c r="FM9" i="16" s="1"/>
  <c r="GV9" i="16" s="1"/>
  <c r="AH13" i="16"/>
  <c r="AA13" i="16"/>
  <c r="CL8" i="16"/>
  <c r="GF13" i="16"/>
  <c r="ED13" i="16"/>
  <c r="EL13" i="16"/>
  <c r="GO13" i="16"/>
  <c r="BX13" i="16"/>
  <c r="GL13" i="16"/>
  <c r="CL6" i="16"/>
  <c r="FM6" i="16" s="1"/>
  <c r="GV6" i="16" s="1"/>
  <c r="GW9" i="16" l="1"/>
  <c r="FN9" i="16"/>
  <c r="GW6" i="16"/>
  <c r="FN6" i="16"/>
  <c r="GP13" i="16"/>
  <c r="AC180" i="11"/>
  <c r="F182" i="11" s="1"/>
  <c r="AR11" i="16" l="1"/>
  <c r="AR13" i="16" s="1"/>
  <c r="D89" i="11"/>
  <c r="AB49" i="11" l="1"/>
  <c r="Y78" i="11" l="1"/>
  <c r="Y132" i="11" l="1"/>
  <c r="Y147" i="11"/>
  <c r="AB265" i="11"/>
  <c r="AL11" i="16" l="1"/>
  <c r="AB37" i="11"/>
  <c r="AJ11" i="16" l="1"/>
  <c r="AJ13" i="16" s="1"/>
  <c r="AK11" i="16"/>
  <c r="AK13" i="16" s="1"/>
  <c r="ER11" i="16"/>
  <c r="ER13" i="16" s="1"/>
  <c r="AB198" i="11"/>
  <c r="AB195" i="11"/>
  <c r="AB197" i="11"/>
  <c r="AB196" i="11"/>
  <c r="AI11" i="16" l="1"/>
  <c r="AI13" i="16" s="1"/>
  <c r="AL13" i="16"/>
  <c r="B178" i="11"/>
  <c r="AB29" i="11" l="1"/>
  <c r="AB45" i="11" l="1"/>
  <c r="AB269" i="11" l="1"/>
  <c r="AB268" i="11"/>
  <c r="AB267" i="11"/>
  <c r="AB266" i="11"/>
  <c r="AC192" i="11" l="1"/>
  <c r="F194" i="11" s="1"/>
  <c r="AT11" i="16" l="1"/>
  <c r="AT13" i="16" s="1"/>
  <c r="D8" i="15"/>
  <c r="D7" i="15"/>
  <c r="AB39" i="11" l="1"/>
  <c r="AB38" i="11"/>
  <c r="AB77" i="11"/>
  <c r="AB35" i="11" l="1"/>
  <c r="AB231" i="11" l="1"/>
  <c r="AC225" i="11"/>
  <c r="AB220" i="11"/>
  <c r="AC218" i="11"/>
  <c r="F220" i="11" s="1"/>
  <c r="AB213" i="11"/>
  <c r="AC208" i="11"/>
  <c r="F210" i="11" s="1"/>
  <c r="AV11" i="16" s="1"/>
  <c r="AV13" i="16" s="1"/>
  <c r="AB203" i="11"/>
  <c r="AC200" i="11"/>
  <c r="F202" i="11" s="1"/>
  <c r="AB189" i="11"/>
  <c r="AB188" i="11"/>
  <c r="AC185" i="11"/>
  <c r="AB94" i="11"/>
  <c r="AB48" i="11"/>
  <c r="AB44" i="11"/>
  <c r="AB43" i="11"/>
  <c r="AB36" i="11"/>
  <c r="AB34" i="11"/>
  <c r="AB33" i="11"/>
  <c r="AB32" i="11"/>
  <c r="AB30" i="11"/>
  <c r="F187" i="11" l="1"/>
  <c r="AU11" i="16"/>
  <c r="AU13" i="16" s="1"/>
  <c r="F227" i="11"/>
  <c r="AB111" i="11"/>
  <c r="Y173" i="11" l="1"/>
  <c r="T239" i="11" s="1"/>
  <c r="F233" i="11"/>
  <c r="AS11" i="16"/>
  <c r="AS13" i="16" s="1"/>
  <c r="AX11" i="16"/>
  <c r="AX13" i="16" s="1"/>
  <c r="AW11" i="16"/>
  <c r="AP11" i="16"/>
  <c r="EW11" i="16" s="1"/>
  <c r="AN11" i="16"/>
  <c r="AO11" i="16"/>
  <c r="AO13" i="16" s="1"/>
  <c r="K235" i="11" l="1"/>
  <c r="M23" i="12"/>
  <c r="AW13" i="16"/>
  <c r="AY11" i="16"/>
  <c r="AN13" i="16"/>
  <c r="AM11" i="16"/>
  <c r="AB235" i="11"/>
  <c r="M22" i="12" s="1"/>
  <c r="AB163" i="11"/>
  <c r="AB166" i="11"/>
  <c r="AB162" i="11"/>
  <c r="AB165" i="11"/>
  <c r="AB164" i="11"/>
  <c r="AZ11" i="16" l="1"/>
  <c r="AQ11" i="16"/>
  <c r="AQ13" i="16" s="1"/>
  <c r="AY13" i="16"/>
  <c r="AM13" i="16"/>
  <c r="FH11" i="16" l="1"/>
  <c r="FH13" i="16" s="1"/>
  <c r="AZ13" i="16"/>
  <c r="BD11" i="16"/>
  <c r="GU11" i="16" s="1"/>
  <c r="AP13" i="16"/>
  <c r="EW13" i="16"/>
  <c r="CL11" i="16" l="1"/>
  <c r="FM11" i="16" s="1"/>
  <c r="BD13" i="16"/>
  <c r="GU13" i="16"/>
  <c r="GV11" i="16" l="1"/>
  <c r="GW11" i="16" s="1"/>
  <c r="FN11" i="16"/>
  <c r="CL13" i="16"/>
  <c r="FM13" i="16" l="1"/>
  <c r="FN13" i="16"/>
  <c r="GW13" i="16" l="1"/>
  <c r="GV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1" authorId="0" shapeId="0" xr:uid="{00000000-0006-0000-0000-000001000000}">
      <text>
        <r>
          <rPr>
            <b/>
            <sz val="9"/>
            <color indexed="81"/>
            <rFont val="ＭＳ Ｐゴシック"/>
            <family val="3"/>
            <charset val="128"/>
          </rPr>
          <t>併用住宅を選択すると、ここに入力欄が表示されます。</t>
        </r>
      </text>
    </comment>
    <comment ref="J265"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<sst xmlns="http://schemas.openxmlformats.org/spreadsheetml/2006/main" count="811" uniqueCount="526">
  <si>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</si>
  <si>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</si>
  <si>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</si>
  <si>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</si>
  <si>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</si>
  <si>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</si>
  <si>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</si>
  <si>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</si>
  <si>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</si>
  <si>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</si>
  <si>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</si>
  <si>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</si>
  <si>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</si>
  <si>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</si>
  <si>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</si>
  <si>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</si>
  <si>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</si>
  <si>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</si>
  <si>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</si>
  <si>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</si>
  <si>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</si>
  <si>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</si>
  <si>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</si>
  <si>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</si>
  <si>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</si>
  <si>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</si>
  <si>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</si>
  <si>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</si>
  <si>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</si>
  <si>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</si>
  <si>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</si>
  <si>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</si>
  <si>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</si>
  <si>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</si>
  <si>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</si>
  <si>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</si>
  <si>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</si>
  <si>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</si>
  <si>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</si>
  <si>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</si>
  <si>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</si>
  <si>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</si>
  <si>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</si>
  <si>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</si>
  <si>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</si>
  <si>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</si>
  <si>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</si>
  <si>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</si>
  <si>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</si>
  <si>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</si>
  <si>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</si>
  <si>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</si>
  <si>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</si>
  <si>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</si>
  <si>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</si>
  <si>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</si>
  <si>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</si>
  <si>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</si>
  <si>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</si>
  <si>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</si>
  <si>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</si>
  <si>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</si>
  <si>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</si>
  <si>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</si>
  <si>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</si>
  <si>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</si>
  <si>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</si>
  <si>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</si>
  <si>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</si>
  <si>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</si>
  <si>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</si>
  <si>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</si>
  <si>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</si>
  <si>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</si>
  <si>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</si>
  <si>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</si>
  <si>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</si>
  <si>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</si>
  <si>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</si>
  <si>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</si>
  <si>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</si>
  <si>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</si>
  <si>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</si>
  <si>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</si>
  <si>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</si>
  <si>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</si>
  <si>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</si>
  <si>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</si>
  <si>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</si>
  <si>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</si>
  <si>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</si>
  <si>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</si>
  <si>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</si>
  <si>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</si>
  <si>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</si>
  <si>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</si>
  <si>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</si>
  <si>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</si>
  <si>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</si>
  <si>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</si>
  <si>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</si>
  <si>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</si>
  <si>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</si>
  <si>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</si>
  <si>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</si>
  <si>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</si>
  <si>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</si>
  <si>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</si>
  <si>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</si>
  <si>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</si>
  <si>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</si>
  <si>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</si>
  <si>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</si>
  <si>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</si>
  <si>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</si>
  <si>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</si>
  <si>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</si>
  <si>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</si>
  <si>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</si>
  <si>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</si>
  <si>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</si>
  <si>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</si>
  <si>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</si>
  <si>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</si>
  <si>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</si>
  <si>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</si>
  <si>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</si>
  <si>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</si>
  <si>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</si>
  <si>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</si>
  <si>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</si>
  <si>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</si>
  <si>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</si>
  <si>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</si>
  <si>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</si>
  <si>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</si>
  <si>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</si>
  <si>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</si>
  <si>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</si>
  <si>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</si>
  <si>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</si>
  <si>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</si>
  <si>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</si>
  <si>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</si>
  <si>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</si>
  <si>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</si>
  <si>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</si>
  <si>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</si>
  <si>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</si>
  <si>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</si>
  <si>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</si>
  <si>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</si>
  <si>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</si>
  <si>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</si>
  <si>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</si>
  <si>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</si>
  <si>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</si>
  <si>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</si>
  <si>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</si>
  <si>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</si>
  <si>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</si>
  <si>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</si>
  <si>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</si>
  <si>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</si>
  <si>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</si>
  <si>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</si>
  <si>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</si>
  <si>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</si>
  <si>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</si>
  <si>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</si>
  <si>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</si>
  <si>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</si>
  <si>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</si>
  <si>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</si>
  <si>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</si>
  <si>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</si>
  <si>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</si>
  <si>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</si>
  <si>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</si>
  <si>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</si>
  <si>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</si>
  <si>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</si>
  <si>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</si>
  <si>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</si>
  <si>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</si>
  <si>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</si>
  <si>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</si>
  <si>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</si>
  <si>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</si>
  <si>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</si>
  <si>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</si>
  <si>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</si>
  <si>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</si>
  <si>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</si>
  <si>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</si>
  <si>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</si>
  <si>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</si>
  <si>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</si>
  <si>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</si>
  <si>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</si>
  <si>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</si>
  <si>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</si>
  <si>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</si>
  <si>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</si>
  <si>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</si>
  <si>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</si>
  <si>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</si>
  <si>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</si>
  <si>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</si>
  <si>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</si>
  <si>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</si>
  <si>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</si>
  <si>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</si>
  <si>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</si>
  <si>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</si>
  <si>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</si>
  <si>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</si>
  <si>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</si>
  <si>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</si>
  <si>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</si>
  <si>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</si>
  <si>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</si>
  <si>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</si>
  <si>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</si>
  <si>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</si>
  <si>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</si>
  <si>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</si>
  <si>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</si>
  <si>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</si>
  <si>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</si>
  <si>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</si>
  <si>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</si>
  <si>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</si>
  <si>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</si>
  <si>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</si>
  <si>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</si>
  <si>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</si>
  <si>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月</t>
    <rPh sb="0" eb="1">
      <t>ガツ</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</si>
  <si>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</si>
  <si>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</si>
  <si>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</si>
  <si>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</si>
  <si>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</si>
  <si>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</si>
  <si>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</si>
  <si>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</si>
  <si>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</si>
  <si>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</si>
  <si>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</si>
  <si>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</si>
  <si>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</si>
  <si>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</si>
  <si>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</si>
  <si>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</si>
  <si>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</si>
  <si>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</si>
  <si>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</si>
  <si>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</si>
  <si>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6"/>
  </si>
  <si>
    <t>区分</t>
    <rPh sb="0" eb="2">
      <t>クブン</t>
    </rPh>
    <phoneticPr fontId="16"/>
  </si>
  <si>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</si>
  <si>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</si>
  <si>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</si>
  <si>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6"/>
  </si>
  <si>
    <t>建設地</t>
    <rPh sb="0" eb="3">
      <t>ケンセツチ</t>
    </rPh>
    <phoneticPr fontId="16"/>
  </si>
  <si>
    <t>新築助成（予定）</t>
    <rPh sb="0" eb="2">
      <t>シンチク</t>
    </rPh>
    <rPh sb="2" eb="4">
      <t>ジョセイ</t>
    </rPh>
    <rPh sb="5" eb="7">
      <t>ヨテイ</t>
    </rPh>
    <phoneticPr fontId="16"/>
  </si>
  <si>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</si>
  <si>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</si>
  <si>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6"/>
  </si>
  <si>
    <t>交付（登録）決定</t>
    <rPh sb="0" eb="2">
      <t>コウフ</t>
    </rPh>
    <rPh sb="3" eb="5">
      <t>トウロク</t>
    </rPh>
    <rPh sb="6" eb="8">
      <t>ケッテイ</t>
    </rPh>
    <phoneticPr fontId="16"/>
  </si>
  <si>
    <t>業者名</t>
    <rPh sb="0" eb="2">
      <t>ギョウシャ</t>
    </rPh>
    <rPh sb="2" eb="3">
      <t>メイ</t>
    </rPh>
    <phoneticPr fontId="16"/>
  </si>
  <si>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</si>
  <si>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</si>
  <si>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</si>
  <si>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</si>
  <si>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</si>
  <si>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</si>
  <si>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</si>
  <si>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</si>
  <si>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16"/>
  </si>
  <si>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</si>
  <si>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</si>
  <si>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6"/>
  </si>
  <si>
    <t>郵便番号</t>
    <rPh sb="0" eb="4">
      <t>ユウビンバンゴウ</t>
    </rPh>
    <phoneticPr fontId="31"/>
  </si>
  <si>
    <t>住所</t>
    <rPh sb="0" eb="2">
      <t>ジュウショ</t>
    </rPh>
    <phoneticPr fontId="31"/>
  </si>
  <si>
    <t>電話</t>
    <rPh sb="0" eb="2">
      <t>デンワ</t>
    </rPh>
    <phoneticPr fontId="16"/>
  </si>
  <si>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</si>
  <si>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6"/>
  </si>
  <si>
    <t>機械等級区分構造材</t>
    <rPh sb="0" eb="2">
      <t>キカイ</t>
    </rPh>
    <rPh sb="2" eb="4">
      <t>トウキュウ</t>
    </rPh>
    <rPh sb="4" eb="6">
      <t>クブン</t>
    </rPh>
    <rPh sb="6" eb="9">
      <t>コウゾウザイ</t>
    </rPh>
    <phoneticPr fontId="16"/>
  </si>
  <si>
    <t>県産内外装材</t>
    <rPh sb="0" eb="2">
      <t>ケンサン</t>
    </rPh>
    <rPh sb="2" eb="5">
      <t>ナイガイソウ</t>
    </rPh>
    <rPh sb="5" eb="6">
      <t>ザイ</t>
    </rPh>
    <phoneticPr fontId="16"/>
  </si>
  <si>
    <t>県産ＣＬＴ材</t>
    <rPh sb="0" eb="2">
      <t>ケンサン</t>
    </rPh>
    <rPh sb="5" eb="6">
      <t>ザイ</t>
    </rPh>
    <phoneticPr fontId="16"/>
  </si>
  <si>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</si>
  <si>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</si>
  <si>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6"/>
  </si>
  <si>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</si>
  <si>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</si>
  <si>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</si>
  <si>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6"/>
  </si>
  <si>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</si>
  <si>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</si>
  <si>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</si>
  <si>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</si>
  <si>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6"/>
  </si>
  <si>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</si>
  <si>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</si>
  <si>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</si>
  <si>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</si>
  <si>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</si>
  <si>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</si>
  <si>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</si>
  <si>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</si>
  <si>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内外装材使用量
(m3)</t>
    <rPh sb="0" eb="3">
      <t>ナイガイソウ</t>
    </rPh>
    <rPh sb="3" eb="4">
      <t>ザイ</t>
    </rPh>
    <rPh sb="4" eb="7">
      <t>シヨウリョウ</t>
    </rPh>
    <phoneticPr fontId="31"/>
  </si>
  <si>
    <t>算出値
(千円)</t>
    <rPh sb="0" eb="2">
      <t>サンシュツ</t>
    </rPh>
    <rPh sb="2" eb="3">
      <t>チ</t>
    </rPh>
    <rPh sb="5" eb="7">
      <t>センエン</t>
    </rPh>
    <phoneticPr fontId="31"/>
  </si>
  <si>
    <t>CLT使用量
(m3)</t>
    <rPh sb="3" eb="6">
      <t>シヨウリョウ</t>
    </rPh>
    <phoneticPr fontId="31"/>
  </si>
  <si>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</si>
  <si>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</si>
  <si>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</si>
  <si>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t xml:space="preserve">有
</t>
    <rPh sb="0" eb="1">
      <t>ア</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</si>
  <si>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</si>
  <si>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</si>
  <si>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</si>
  <si>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</si>
  <si>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</si>
  <si>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</si>
  <si>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</si>
  <si>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</si>
  <si>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</si>
  <si>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</si>
  <si>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</si>
  <si>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</si>
  <si>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</si>
  <si>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</si>
  <si>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6"/>
  </si>
  <si>
    <t>着工</t>
    <rPh sb="0" eb="2">
      <t>チャッコウ</t>
    </rPh>
    <phoneticPr fontId="16"/>
  </si>
  <si>
    <t>完成</t>
    <rPh sb="0" eb="2">
      <t>カンセイ</t>
    </rPh>
    <phoneticPr fontId="16"/>
  </si>
  <si>
    <t>日付</t>
    <rPh sb="0" eb="2">
      <t>ヒヅケ</t>
    </rPh>
    <phoneticPr fontId="16"/>
  </si>
  <si>
    <t>金額</t>
    <rPh sb="0" eb="2">
      <t>キンガク</t>
    </rPh>
    <phoneticPr fontId="16"/>
  </si>
  <si>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</si>
  <si>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</si>
  <si>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</si>
  <si>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</si>
  <si>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</si>
  <si>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</si>
  <si>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</si>
  <si>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</si>
  <si>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</si>
  <si>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</si>
  <si>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</si>
  <si>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</si>
  <si>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</si>
  <si>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</si>
  <si>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</si>
  <si>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</si>
  <si>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</si>
  <si>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</si>
  <si>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</si>
  <si>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</si>
  <si>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</si>
  <si>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</si>
  <si>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</si>
  <si>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</si>
  <si>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</si>
  <si>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</si>
  <si>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</si>
  <si>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</si>
  <si>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</si>
  <si>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</si>
  <si>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</si>
  <si>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</si>
  <si>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</si>
  <si>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</si>
  <si>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</si>
  <si>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6"/>
  </si>
  <si>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</si>
  <si>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</si>
  <si>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6"/>
  </si>
  <si>
    <t>実績減
（千円）</t>
    <rPh sb="0" eb="2">
      <t>ジッセキ</t>
    </rPh>
    <rPh sb="2" eb="3">
      <t>ゲン</t>
    </rPh>
    <rPh sb="5" eb="7">
      <t>センエン</t>
    </rPh>
    <phoneticPr fontId="16"/>
  </si>
  <si>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</si>
  <si>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</si>
  <si>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</si>
  <si>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</si>
  <si>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</si>
  <si>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</si>
  <si>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</si>
  <si>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</si>
  <si>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</si>
  <si>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</si>
  <si>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</si>
  <si>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</si>
  <si>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</si>
  <si>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</si>
  <si>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</si>
  <si>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</si>
  <si>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</si>
  <si>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</si>
  <si>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</si>
  <si>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</si>
  <si>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</si>
  <si>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</si>
  <si>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</si>
  <si>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</si>
  <si>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</si>
  <si>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</si>
  <si>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</si>
  <si>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</si>
  <si>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</si>
  <si>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</si>
  <si>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</si>
  <si>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</si>
  <si>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</si>
  <si>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</si>
  <si>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</si>
  <si>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</si>
  <si>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</si>
  <si>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</si>
  <si>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</si>
  <si>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</si>
  <si>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</si>
  <si>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</si>
  <si>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</si>
  <si>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1"/>
  </si>
  <si>
    <t>18歳以下なしかつ婚姻10年</t>
    <rPh sb="2" eb="3">
      <t>サイ</t>
    </rPh>
    <rPh sb="3" eb="5">
      <t>イカ</t>
    </rPh>
    <rPh sb="9" eb="11">
      <t>コンイン</t>
    </rPh>
    <rPh sb="13" eb="14">
      <t>ネン</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</si>
  <si>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</si>
  <si>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</si>
  <si>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</si>
  <si>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</si>
  <si>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</si>
  <si>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</si>
  <si>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</si>
  <si>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</si>
  <si>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</si>
  <si>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</si>
  <si>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</si>
  <si>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1"/>
  </si>
  <si>
    <t>申請受付年月日</t>
    <rPh sb="0" eb="2">
      <t>シンセイ</t>
    </rPh>
    <rPh sb="2" eb="4">
      <t>ウケツケ</t>
    </rPh>
    <rPh sb="4" eb="7">
      <t>ネンガッピ</t>
    </rPh>
    <phoneticPr fontId="51"/>
  </si>
  <si>
    <t>申請者</t>
    <rPh sb="0" eb="3">
      <t>シンセイシャ</t>
    </rPh>
    <phoneticPr fontId="51"/>
  </si>
  <si>
    <t>交付決定日</t>
    <rPh sb="0" eb="4">
      <t>コウフケッテイ</t>
    </rPh>
    <rPh sb="4" eb="5">
      <t>ヒ</t>
    </rPh>
    <phoneticPr fontId="51"/>
  </si>
  <si>
    <t>実績報告日</t>
    <rPh sb="0" eb="2">
      <t>ジッセキ</t>
    </rPh>
    <rPh sb="2" eb="4">
      <t>ホウコク</t>
    </rPh>
    <rPh sb="4" eb="5">
      <t>ビ</t>
    </rPh>
    <phoneticPr fontId="51"/>
  </si>
  <si>
    <t>額の確定日</t>
    <rPh sb="0" eb="1">
      <t>ガク</t>
    </rPh>
    <rPh sb="2" eb="4">
      <t>カクテイ</t>
    </rPh>
    <rPh sb="4" eb="5">
      <t>ヒ</t>
    </rPh>
    <phoneticPr fontId="51"/>
  </si>
  <si>
    <t>支払日</t>
    <rPh sb="0" eb="2">
      <t>シハラ</t>
    </rPh>
    <rPh sb="2" eb="3">
      <t>ヒ</t>
    </rPh>
    <phoneticPr fontId="51"/>
  </si>
  <si>
    <t>郵便番号</t>
    <rPh sb="0" eb="2">
      <t>ユウビン</t>
    </rPh>
    <rPh sb="2" eb="4">
      <t>バンゴウ</t>
    </rPh>
    <phoneticPr fontId="1"/>
  </si>
  <si>
    <t>申請者情報</t>
    <rPh sb="0" eb="3">
      <t>シンセイシャ</t>
    </rPh>
    <rPh sb="3" eb="5">
      <t>ジョウホウ</t>
    </rPh>
    <phoneticPr fontId="51"/>
  </si>
  <si>
    <t>電話番号</t>
    <rPh sb="0" eb="4">
      <t>デンワバンゴウ</t>
    </rPh>
    <phoneticPr fontId="1"/>
  </si>
  <si>
    <t>市町村名</t>
    <rPh sb="0" eb="4">
      <t>シチョウソンメイ</t>
    </rPh>
    <phoneticPr fontId="31"/>
  </si>
  <si>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</si>
  <si>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</si>
  <si>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</si>
  <si>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</si>
  <si>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</si>
  <si>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</si>
  <si>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1"/>
  </si>
  <si>
    <t>着工（予定）年月日</t>
    <rPh sb="0" eb="2">
      <t>チャッコウ</t>
    </rPh>
    <rPh sb="3" eb="5">
      <t>ヨテイ</t>
    </rPh>
    <rPh sb="6" eb="9">
      <t>ネンガッピ</t>
    </rPh>
    <phoneticPr fontId="51"/>
  </si>
  <si>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</si>
  <si>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</si>
  <si>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</si>
  <si>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</si>
  <si>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</si>
  <si>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</si>
  <si>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</si>
  <si>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</si>
  <si>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</si>
  <si>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</si>
  <si>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</si>
  <si>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</si>
  <si>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1"/>
  </si>
  <si>
    <t>額確定額</t>
    <rPh sb="0" eb="3">
      <t>ガクカクテイ</t>
    </rPh>
    <rPh sb="3" eb="4">
      <t>ガク</t>
    </rPh>
    <phoneticPr fontId="51"/>
  </si>
  <si>
    <t>変更承認額</t>
    <rPh sb="0" eb="4">
      <t>ヘンコウショウニン</t>
    </rPh>
    <rPh sb="4" eb="5">
      <t>ガク</t>
    </rPh>
    <phoneticPr fontId="51"/>
  </si>
  <si>
    <t>変更承認日</t>
    <rPh sb="0" eb="2">
      <t>ヘンコウ</t>
    </rPh>
    <rPh sb="2" eb="4">
      <t>ショウニン</t>
    </rPh>
    <rPh sb="4" eb="5">
      <t>ヒ</t>
    </rPh>
    <phoneticPr fontId="51"/>
  </si>
  <si>
    <t>T-G1</t>
    <phoneticPr fontId="1"/>
  </si>
  <si>
    <t>T-G2</t>
    <phoneticPr fontId="1"/>
  </si>
  <si>
    <t>T-G3</t>
    <phoneticPr fontId="1"/>
  </si>
  <si>
    <t>→行全体を台帳へコピぺ</t>
    <rPh sb="1" eb="2">
      <t>ギョウ</t>
    </rPh>
    <rPh sb="2" eb="4">
      <t>ゼンタイ</t>
    </rPh>
    <rPh sb="5" eb="7">
      <t>ダイチョウ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</si>
  <si>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</si>
  <si>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</si>
  <si>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</si>
  <si>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</si>
  <si>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</si>
  <si>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</si>
  <si>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</si>
  <si>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</si>
  <si>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</si>
  <si>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</si>
  <si>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</si>
  <si>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</si>
  <si>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</si>
  <si>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</si>
  <si>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とっとり住まいる支援事業補助対象住宅登録申請書</t>
    <phoneticPr fontId="1"/>
  </si>
  <si>
    <t>建売事業者名</t>
    <rPh sb="0" eb="2">
      <t>タテウリ</t>
    </rPh>
    <rPh sb="2" eb="4">
      <t>ジギョウ</t>
    </rPh>
    <rPh sb="4" eb="5">
      <t>シャ</t>
    </rPh>
    <rPh sb="5" eb="6">
      <t>メイ</t>
    </rPh>
    <phoneticPr fontId="1"/>
  </si>
  <si>
    <t>代表者職氏名</t>
    <rPh sb="0" eb="2">
      <t>ダイヒョウ</t>
    </rPh>
    <rPh sb="2" eb="3">
      <t>シャ</t>
    </rPh>
    <rPh sb="3" eb="4">
      <t>ショク</t>
    </rPh>
    <rPh sb="4" eb="6">
      <t>シメイ</t>
    </rPh>
    <phoneticPr fontId="1"/>
  </si>
  <si>
    <t>　とっとり住まいる支援事業補助金交付要綱第５条第１項に基づく補助の対象となる建売住宅の登録をしたいので、下記のとおり申請します。</t>
    <phoneticPr fontId="1"/>
  </si>
  <si>
    <t>・様式第２号</t>
    <rPh sb="1" eb="3">
      <t>ヨウシキ</t>
    </rPh>
    <rPh sb="3" eb="4">
      <t>ダイ</t>
    </rPh>
    <rPh sb="5" eb="6">
      <t>ゴウ</t>
    </rPh>
    <phoneticPr fontId="1"/>
  </si>
  <si>
    <t>とっとり住まいる支援事業補助対象住宅登録申請書（様式第１号）</t>
    <rPh sb="24" eb="26">
      <t>ヨウシキ</t>
    </rPh>
    <rPh sb="26" eb="27">
      <t>ダイ</t>
    </rPh>
    <rPh sb="28" eb="29">
      <t>ゴウ</t>
    </rPh>
    <phoneticPr fontId="1"/>
  </si>
  <si>
    <t>とっとり住まいる支援事業建売住宅建設等計画書（様式第２号）</t>
    <rPh sb="23" eb="25">
      <t>ヨウシキ</t>
    </rPh>
    <rPh sb="25" eb="26">
      <t>ダイ</t>
    </rPh>
    <rPh sb="27" eb="28">
      <t>ゴウ</t>
    </rPh>
    <phoneticPr fontId="1"/>
  </si>
  <si>
    <t>様式第２号（第５条関係）</t>
    <rPh sb="0" eb="2">
      <t>ヨウシキ</t>
    </rPh>
    <rPh sb="2" eb="3">
      <t>ダイ</t>
    </rPh>
    <rPh sb="4" eb="5">
      <t>ゴウ</t>
    </rPh>
    <rPh sb="6" eb="7">
      <t>ダイ</t>
    </rPh>
    <rPh sb="8" eb="9">
      <t>ジョウ</t>
    </rPh>
    <rPh sb="9" eb="11">
      <t>カンケイ</t>
    </rPh>
    <phoneticPr fontId="1"/>
  </si>
  <si>
    <t>　　　　　とっとり未来型省エネ住宅特別促進事業建売住宅建設等計画書（登録申請時チェックシート）</t>
    <rPh sb="9" eb="12">
      <t>ミライガタ</t>
    </rPh>
    <rPh sb="12" eb="13">
      <t>ショウ</t>
    </rPh>
    <rPh sb="15" eb="17">
      <t>ジュウタク</t>
    </rPh>
    <rPh sb="17" eb="19">
      <t>トクベツ</t>
    </rPh>
    <rPh sb="19" eb="23">
      <t>ソクシンジギョウ</t>
    </rPh>
    <rPh sb="23" eb="25">
      <t>タテウリ</t>
    </rPh>
    <rPh sb="25" eb="27">
      <t>ジュウタク</t>
    </rPh>
    <rPh sb="27" eb="29">
      <t>ケンセツ</t>
    </rPh>
    <rPh sb="29" eb="30">
      <t>トウ</t>
    </rPh>
    <rPh sb="30" eb="32">
      <t>ケイカク</t>
    </rPh>
    <rPh sb="32" eb="33">
      <t>ショ</t>
    </rPh>
    <rPh sb="34" eb="36">
      <t>トウロク</t>
    </rPh>
    <rPh sb="36" eb="39">
      <t>シンセイジ</t>
    </rPh>
    <phoneticPr fontId="1"/>
  </si>
  <si>
    <t>代表者職氏名</t>
    <rPh sb="0" eb="3">
      <t>ダイヒョウシャ</t>
    </rPh>
    <rPh sb="3" eb="4">
      <t>ショク</t>
    </rPh>
    <rPh sb="4" eb="6">
      <t>シメイ</t>
    </rPh>
    <phoneticPr fontId="1"/>
  </si>
  <si>
    <t>　とっとり未来型省エネ住宅特別促進事業交付要綱第５条第１項に基づく補助の対象となる建売住宅の登録をしたいので、下記のとおり申請します。</t>
    <rPh sb="19" eb="21">
      <t>コウフ</t>
    </rPh>
    <phoneticPr fontId="1"/>
  </si>
  <si>
    <t>とっとり未来型省エネ住宅特別促進事業補助対象住宅登録申請書</t>
    <phoneticPr fontId="1"/>
  </si>
  <si>
    <t>　</t>
  </si>
  <si>
    <t>販売開始予定年月日</t>
    <rPh sb="0" eb="2">
      <t>ハンバイ</t>
    </rPh>
    <rPh sb="2" eb="4">
      <t>カイシ</t>
    </rPh>
    <rPh sb="4" eb="6">
      <t>ヨテイ</t>
    </rPh>
    <rPh sb="6" eb="9">
      <t>ネンガッピ</t>
    </rPh>
    <phoneticPr fontId="1"/>
  </si>
  <si>
    <t>国補助事業の補助利用者である。（子育てエコホーム支援事業、地域型グリーン化事業など）</t>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</si>
  <si>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</si>
  <si>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</si>
  <si>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</si>
  <si>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</si>
  <si>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</si>
  <si>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t>
    <rPh sb="0" eb="3">
      <t>オウカザイ</t>
    </rPh>
    <phoneticPr fontId="1"/>
  </si>
  <si>
    <t>横架材以外</t>
    <rPh sb="0" eb="3">
      <t>オウカザイ</t>
    </rPh>
    <rPh sb="3" eb="5">
      <t>イガイ</t>
    </rPh>
    <phoneticPr fontId="1"/>
  </si>
  <si>
    <t>・県産機械等級区分構造材を１m3以上使用する場合、横架材１m3につき３万円、横架材以外1ｍ3につき2万円の合計が交付されます。（上限30万円）</t>
    <rPh sb="1" eb="3">
      <t>ケンサン</t>
    </rPh>
    <rPh sb="3" eb="5">
      <t>キカイ</t>
    </rPh>
    <rPh sb="5" eb="7">
      <t>トウキュウ</t>
    </rPh>
    <rPh sb="7" eb="9">
      <t>クブン</t>
    </rPh>
    <rPh sb="9" eb="12">
      <t>コウゾウザイ</t>
    </rPh>
    <rPh sb="16" eb="18">
      <t>イジョウ</t>
    </rPh>
    <rPh sb="18" eb="20">
      <t>シヨウ</t>
    </rPh>
    <rPh sb="22" eb="24">
      <t>バアイ</t>
    </rPh>
    <rPh sb="25" eb="28">
      <t>オウカザイ</t>
    </rPh>
    <rPh sb="35" eb="37">
      <t>マンエン</t>
    </rPh>
    <rPh sb="38" eb="41">
      <t>オウカザイ</t>
    </rPh>
    <rPh sb="41" eb="43">
      <t>イガイ</t>
    </rPh>
    <rPh sb="50" eb="52">
      <t>マンエン</t>
    </rPh>
    <rPh sb="53" eb="55">
      <t>ゴウケイ</t>
    </rPh>
    <rPh sb="56" eb="58">
      <t>コウフ</t>
    </rPh>
    <phoneticPr fontId="1"/>
  </si>
  <si>
    <t>横架材
使用量
(m3)</t>
    <rPh sb="0" eb="3">
      <t>オウカザイ</t>
    </rPh>
    <rPh sb="4" eb="7">
      <t>シヨウリョウ</t>
    </rPh>
    <phoneticPr fontId="31"/>
  </si>
  <si>
    <t>横架材以外
使用量
(m3)</t>
    <rPh sb="0" eb="5">
      <t>オウカザイイガイ</t>
    </rPh>
    <rPh sb="6" eb="9">
      <t>シヨウリョウ</t>
    </rPh>
    <phoneticPr fontId="3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</si>
  <si>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</si>
  <si>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</si>
  <si>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（ＪＡＳ格付及び含水率20%以下）であることを証明する書類</t>
  </si>
  <si>
    <t>令和6年4月1日改正</t>
    <rPh sb="0" eb="2">
      <t>レイワ</t>
    </rPh>
    <rPh sb="3" eb="4">
      <t>ネン</t>
    </rPh>
    <rPh sb="5" eb="6">
      <t>ガツ</t>
    </rPh>
    <rPh sb="7" eb="8">
      <t>ニチ</t>
    </rPh>
    <rPh sb="8" eb="10">
      <t>カイセイ</t>
    </rPh>
    <phoneticPr fontId="1"/>
  </si>
  <si>
    <r>
      <t>国補助利用者のうち、「</t>
    </r>
    <r>
      <rPr>
        <sz val="11"/>
        <color rgb="FF00B050"/>
        <rFont val="ＭＳ Ｐ明朝"/>
        <family val="1"/>
        <charset val="128"/>
      </rPr>
      <t>国の子育て世帯等支援補助金」利用者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5" eb="28">
      <t>リヨウシャ</t>
    </rPh>
    <rPh sb="27" eb="28">
      <t>シャ</t>
    </rPh>
    <phoneticPr fontId="1"/>
  </si>
  <si>
    <r>
      <t>国補助利用者のうち、「地域型グリーン化事業</t>
    </r>
    <r>
      <rPr>
        <sz val="11"/>
        <color rgb="FF00B050"/>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</si>
  <si>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r>
      <t>※</t>
    </r>
    <r>
      <rPr>
        <sz val="11"/>
        <color rgb="FF00B050"/>
        <rFont val="ＭＳ Ｐ明朝"/>
        <family val="1"/>
        <charset val="128"/>
      </rPr>
      <t>国の子育て世帯等支援補助金利用者</t>
    </r>
    <r>
      <rPr>
        <sz val="11"/>
        <color theme="1"/>
        <rFont val="ＭＳ Ｐ明朝"/>
        <family val="1"/>
        <charset val="128"/>
      </rPr>
      <t>にあっては補助額は０円となります。</t>
    </r>
    <rPh sb="14" eb="17">
      <t>リヨウシャ</t>
    </rPh>
    <rPh sb="22" eb="25">
      <t>ホジョガク</t>
    </rPh>
    <rPh sb="27" eb="28">
      <t>エン</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</si>
  <si>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</si>
  <si>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</si>
  <si>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①売買契約時点で子育て世帯等であること。</t>
    <rPh sb="1" eb="3">
      <t>バイバイ</t>
    </rPh>
    <rPh sb="3" eb="5">
      <t>ケイヤク</t>
    </rPh>
    <rPh sb="5" eb="7">
      <t>ジテン</t>
    </rPh>
    <rPh sb="8" eb="10">
      <t>コソダ</t>
    </rPh>
    <rPh sb="11" eb="13">
      <t>セタイ</t>
    </rPh>
    <rPh sb="13" eb="14">
      <t>トウ</t>
    </rPh>
    <phoneticPr fontId="1"/>
  </si>
  <si>
    <t>②売買契約時点では、直系尊属と同居ではないこと。</t>
    <rPh sb="1" eb="3">
      <t>バイバイ</t>
    </rPh>
    <rPh sb="3" eb="5">
      <t>ケイヤク</t>
    </rPh>
    <rPh sb="5" eb="7">
      <t>ジテン</t>
    </rPh>
    <rPh sb="10" eb="12">
      <t>チョッケイ</t>
    </rPh>
    <rPh sb="12" eb="14">
      <t>ソンゾク</t>
    </rPh>
    <rPh sb="15" eb="17">
      <t>ドウキョ</t>
    </rPh>
    <phoneticPr fontId="1"/>
  </si>
  <si>
    <t>③売買契約時点では、直系尊属と近居ではないこと。</t>
    <rPh sb="1" eb="3">
      <t>バイバイ</t>
    </rPh>
    <rPh sb="3" eb="5">
      <t>ケイヤク</t>
    </rPh>
    <rPh sb="5" eb="7">
      <t>ジテン</t>
    </rPh>
    <rPh sb="10" eb="12">
      <t>チョッケイ</t>
    </rPh>
    <rPh sb="12" eb="14">
      <t>ソンゾク</t>
    </rPh>
    <rPh sb="15" eb="17">
      <t>キンキョ</t>
    </rPh>
    <phoneticPr fontId="1"/>
  </si>
  <si>
    <t>④売買契約することで直系尊属の世帯と新たに近居すること。</t>
    <rPh sb="1" eb="3">
      <t>バイバイ</t>
    </rPh>
    <rPh sb="3" eb="5">
      <t>ケイヤク</t>
    </rPh>
    <rPh sb="10" eb="12">
      <t>チョッケイ</t>
    </rPh>
    <rPh sb="12" eb="14">
      <t>ソンゾク</t>
    </rPh>
    <rPh sb="15" eb="17">
      <t>セタイ</t>
    </rPh>
    <rPh sb="18" eb="19">
      <t>アラ</t>
    </rPh>
    <phoneticPr fontId="1"/>
  </si>
  <si>
    <t>⑤売買契約することで直系尊属の世帯と新たに同居すること。</t>
    <rPh sb="1" eb="3">
      <t>バイバイ</t>
    </rPh>
    <rPh sb="3" eb="5">
      <t>ケイヤク</t>
    </rPh>
    <rPh sb="10" eb="12">
      <t>チョッケイ</t>
    </rPh>
    <rPh sb="12" eb="14">
      <t>ソンゾク</t>
    </rPh>
    <rPh sb="15" eb="17">
      <t>セタイ</t>
    </rPh>
    <rPh sb="18" eb="19">
      <t>アラ</t>
    </rPh>
    <phoneticPr fontId="1"/>
  </si>
  <si>
    <t>⑥売買契約することで直系卑属の子育て世帯等と新たに同居する世帯であること。</t>
    <rPh sb="1" eb="5">
      <t>バイバイケイヤク</t>
    </rPh>
    <rPh sb="12" eb="14">
      <t>ヒゾク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</si>
</sst>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57"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9"/>
      <color rgb="FFFF0000"/>
      <name val="ＭＳ 明朝"/>
      <family val="1"/>
      <charset val="128"/>
    </font>
    <font>
      <sz val="11"/>
      <color rgb="FF00B05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49" fillId="0" borderId="0"/>
    <xf numFmtId="38" fontId="49" fillId="0" borderId="0" applyFont="0" applyFill="0" applyBorder="0" applyAlignment="0" applyProtection="0">
      <alignment vertical="center"/>
    </xf>
    <xf numFmtId="9" fontId="49" fillId="0" borderId="0" applyFont="0" applyFill="0" applyBorder="0" applyAlignment="0" applyProtection="0">
      <alignment vertical="center"/>
    </xf>
  </cellStyleXfs>
  <cellXfs count="554">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6" fillId="0" borderId="19" xfId="0" applyFont="1" applyBorder="1">
      <alignment vertical="center"/>
    </xf>
    <xf numFmtId="0" fontId="8"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0"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7"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2" fillId="0" borderId="0" xfId="0" applyFo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vertical="top"/>
    </xf>
    <xf numFmtId="0" fontId="12"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vertical="top"/>
    </xf>
    <xf numFmtId="0" fontId="4" fillId="2" borderId="12" xfId="0" applyFont="1" applyFill="1" applyBorder="1">
      <alignment vertical="center"/>
    </xf>
    <xf numFmtId="0" fontId="11" fillId="2" borderId="12" xfId="0" applyFont="1" applyFill="1" applyBorder="1" applyAlignment="1">
      <alignment vertical="center"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1" fillId="0" borderId="0" xfId="0" applyFont="1">
      <alignment vertical="center"/>
    </xf>
    <xf numFmtId="0" fontId="22" fillId="0" borderId="0" xfId="0" applyFont="1">
      <alignment vertical="center"/>
    </xf>
    <xf numFmtId="49" fontId="21" fillId="0" borderId="0" xfId="0" applyNumberFormat="1"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176" fontId="21" fillId="0" borderId="1" xfId="0" applyNumberFormat="1" applyFont="1" applyBorder="1">
      <alignment vertical="center"/>
    </xf>
    <xf numFmtId="176" fontId="21" fillId="0" borderId="2" xfId="0" applyNumberFormat="1" applyFont="1" applyBorder="1">
      <alignment vertical="center"/>
    </xf>
    <xf numFmtId="176" fontId="21" fillId="0" borderId="3" xfId="0" applyNumberFormat="1" applyFont="1" applyBorder="1">
      <alignment vertical="center"/>
    </xf>
    <xf numFmtId="176" fontId="21" fillId="0" borderId="9" xfId="0" applyNumberFormat="1" applyFont="1" applyBorder="1">
      <alignment vertical="center"/>
    </xf>
    <xf numFmtId="176" fontId="21" fillId="0" borderId="10" xfId="0" applyNumberFormat="1" applyFont="1" applyBorder="1">
      <alignment vertical="center"/>
    </xf>
    <xf numFmtId="176" fontId="21" fillId="0" borderId="10" xfId="0" applyNumberFormat="1" applyFont="1" applyBorder="1" applyAlignment="1">
      <alignment horizontal="right" vertical="center"/>
    </xf>
    <xf numFmtId="176" fontId="21" fillId="0" borderId="11" xfId="0" applyNumberFormat="1" applyFont="1" applyBorder="1">
      <alignment vertical="center"/>
    </xf>
    <xf numFmtId="0" fontId="21" fillId="0" borderId="6" xfId="0" applyFont="1" applyBorder="1">
      <alignment vertical="center"/>
    </xf>
    <xf numFmtId="0" fontId="21" fillId="0" borderId="5" xfId="0" applyFont="1" applyBorder="1">
      <alignment vertical="center"/>
    </xf>
    <xf numFmtId="0" fontId="21" fillId="0" borderId="7" xfId="0" applyFont="1" applyBorder="1">
      <alignment vertical="center"/>
    </xf>
    <xf numFmtId="0" fontId="23" fillId="0" borderId="6" xfId="0" applyFont="1" applyBorder="1">
      <alignment vertical="center"/>
    </xf>
    <xf numFmtId="0" fontId="23" fillId="0" borderId="5" xfId="0" applyFont="1" applyBorder="1">
      <alignment vertical="center"/>
    </xf>
    <xf numFmtId="0" fontId="21" fillId="0" borderId="8" xfId="0" applyFont="1" applyBorder="1">
      <alignment vertical="center"/>
    </xf>
    <xf numFmtId="0" fontId="21" fillId="0" borderId="4" xfId="0" applyFont="1" applyBorder="1">
      <alignment vertical="center"/>
    </xf>
    <xf numFmtId="0" fontId="23" fillId="0" borderId="8" xfId="0" applyFont="1" applyBorder="1">
      <alignment vertical="center"/>
    </xf>
    <xf numFmtId="0" fontId="23" fillId="0" borderId="0" xfId="0" applyFont="1">
      <alignment vertical="center"/>
    </xf>
    <xf numFmtId="0" fontId="21" fillId="0" borderId="9" xfId="0" applyFont="1" applyBorder="1">
      <alignment vertical="center"/>
    </xf>
    <xf numFmtId="0" fontId="21" fillId="0" borderId="10" xfId="0" applyFont="1" applyBorder="1">
      <alignment vertical="center"/>
    </xf>
    <xf numFmtId="0" fontId="21" fillId="0" borderId="11" xfId="0" applyFont="1" applyBorder="1">
      <alignment vertical="center"/>
    </xf>
    <xf numFmtId="0" fontId="23" fillId="0" borderId="9" xfId="0" applyFont="1" applyBorder="1">
      <alignment vertical="center"/>
    </xf>
    <xf numFmtId="0" fontId="23" fillId="0" borderId="10" xfId="0" applyFont="1" applyBorder="1">
      <alignment vertical="center"/>
    </xf>
    <xf numFmtId="0" fontId="18" fillId="0" borderId="0" xfId="0" applyFont="1" applyAlignment="1"/>
    <xf numFmtId="0" fontId="18"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5"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1" fillId="0" borderId="0" xfId="0" applyFont="1">
      <alignment vertical="center"/>
    </xf>
    <xf numFmtId="0" fontId="26" fillId="0" borderId="0" xfId="0" applyFont="1">
      <alignment vertical="center"/>
    </xf>
    <xf numFmtId="1" fontId="4" fillId="3" borderId="0" xfId="0" applyNumberFormat="1" applyFont="1" applyFill="1">
      <alignment vertical="center"/>
    </xf>
    <xf numFmtId="49" fontId="4" fillId="0" borderId="0" xfId="0" applyNumberFormat="1" applyFont="1">
      <alignment vertical="center"/>
    </xf>
    <xf numFmtId="0" fontId="10"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pplyProtection="1">
      <alignment horizontal="left" vertical="center"/>
      <protection locked="0"/>
    </xf>
    <xf numFmtId="49" fontId="27" fillId="0" borderId="0" xfId="0" applyNumberFormat="1" applyFont="1" applyProtection="1">
      <alignment vertical="center"/>
      <protection locked="0"/>
    </xf>
    <xf numFmtId="0" fontId="27" fillId="0" borderId="0" xfId="0" applyFont="1" applyProtection="1">
      <alignment vertical="center"/>
      <protection locked="0"/>
    </xf>
    <xf numFmtId="0" fontId="13" fillId="0" borderId="0" xfId="0" applyFont="1">
      <alignment vertical="center"/>
    </xf>
    <xf numFmtId="0" fontId="8" fillId="0" borderId="0" xfId="0" applyFont="1" applyAlignment="1">
      <alignment horizontal="left" vertical="center"/>
    </xf>
    <xf numFmtId="0" fontId="4" fillId="0" borderId="0" xfId="0" applyFont="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4"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5" fontId="29" fillId="0" borderId="0" xfId="0" applyNumberFormat="1" applyFont="1">
      <alignment vertical="center"/>
    </xf>
    <xf numFmtId="184"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5"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184"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4" fontId="29" fillId="0" borderId="6" xfId="0" applyNumberFormat="1" applyFont="1" applyBorder="1" applyAlignment="1">
      <alignment vertical="top" wrapText="1"/>
    </xf>
    <xf numFmtId="184" fontId="29" fillId="0" borderId="6" xfId="0" applyNumberFormat="1" applyFont="1" applyBorder="1" applyAlignment="1">
      <alignment vertical="top"/>
    </xf>
    <xf numFmtId="185"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184" fontId="29" fillId="0" borderId="5" xfId="0" applyNumberFormat="1" applyFont="1" applyBorder="1" applyAlignment="1">
      <alignment vertical="top" wrapText="1"/>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4" fontId="29" fillId="0" borderId="5" xfId="0" applyNumberFormat="1" applyFont="1" applyBorder="1" applyAlignment="1">
      <alignment vertical="top"/>
    </xf>
    <xf numFmtId="185" fontId="29" fillId="0" borderId="5" xfId="0" applyNumberFormat="1" applyFont="1" applyBorder="1" applyAlignment="1">
      <alignment vertical="top"/>
    </xf>
    <xf numFmtId="0" fontId="35"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4"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6"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4" fontId="29" fillId="0" borderId="8" xfId="0" applyNumberFormat="1" applyFont="1" applyBorder="1" applyAlignment="1">
      <alignment vertical="top"/>
    </xf>
    <xf numFmtId="185"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6" fontId="29" fillId="0" borderId="29" xfId="0" applyNumberFormat="1" applyFont="1" applyBorder="1">
      <alignment vertical="center"/>
    </xf>
    <xf numFmtId="184"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6"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4" fontId="29" fillId="0" borderId="10" xfId="0" applyNumberFormat="1" applyFont="1" applyBorder="1" applyAlignment="1">
      <alignment vertical="top"/>
    </xf>
    <xf numFmtId="185" fontId="29" fillId="0" borderId="10" xfId="0" applyNumberFormat="1" applyFont="1" applyBorder="1" applyAlignment="1"/>
    <xf numFmtId="185" fontId="29" fillId="0" borderId="11" xfId="0" applyNumberFormat="1" applyFont="1" applyBorder="1" applyAlignment="1"/>
    <xf numFmtId="0" fontId="35"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6" fillId="0" borderId="29" xfId="0" applyFont="1" applyBorder="1" applyAlignment="1">
      <alignment vertical="center" wrapText="1"/>
    </xf>
    <xf numFmtId="184"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9"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40"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4" fontId="29" fillId="0" borderId="13" xfId="0" applyNumberFormat="1" applyFont="1" applyBorder="1">
      <alignment vertical="center"/>
    </xf>
    <xf numFmtId="185"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4"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4"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4" fontId="29" fillId="0" borderId="12" xfId="0" applyNumberFormat="1" applyFont="1" applyBorder="1" applyAlignment="1">
      <alignment vertical="center" wrapText="1"/>
    </xf>
    <xf numFmtId="185"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2"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6" fillId="0" borderId="12" xfId="0" applyFont="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4" fontId="29" fillId="13" borderId="0" xfId="0" applyNumberFormat="1" applyFont="1" applyFill="1">
      <alignment vertical="center"/>
    </xf>
    <xf numFmtId="0" fontId="29"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29" fillId="0" borderId="0" xfId="0" applyNumberFormat="1" applyFont="1" applyAlignment="1">
      <alignment horizontal="center" vertical="top" wrapText="1"/>
    </xf>
    <xf numFmtId="184" fontId="29" fillId="0" borderId="9" xfId="0" applyNumberFormat="1" applyFont="1" applyBorder="1" applyAlignment="1">
      <alignment vertical="top" wrapText="1"/>
    </xf>
    <xf numFmtId="184" fontId="29" fillId="0" borderId="10" xfId="0" applyNumberFormat="1" applyFont="1" applyBorder="1" applyAlignment="1">
      <alignment vertical="top" wrapText="1"/>
    </xf>
    <xf numFmtId="38" fontId="0" fillId="5" borderId="12" xfId="1" applyFont="1" applyFill="1" applyBorder="1">
      <alignment vertical="center"/>
    </xf>
    <xf numFmtId="188" fontId="47"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8" fillId="0" borderId="0" xfId="0" applyNumberFormat="1" applyFont="1">
      <alignment vertical="center"/>
    </xf>
    <xf numFmtId="0" fontId="53" fillId="0" borderId="0" xfId="2" applyFont="1" applyAlignment="1">
      <alignment vertical="center"/>
    </xf>
    <xf numFmtId="49" fontId="53" fillId="0" borderId="34" xfId="2" applyNumberFormat="1" applyFont="1" applyBorder="1" applyAlignment="1">
      <alignment horizontal="center" vertical="center"/>
    </xf>
    <xf numFmtId="189" fontId="32" fillId="0" borderId="35" xfId="2" applyNumberFormat="1" applyFont="1" applyBorder="1" applyAlignment="1">
      <alignment vertical="center"/>
    </xf>
    <xf numFmtId="0" fontId="53" fillId="0" borderId="35" xfId="2" applyFont="1" applyBorder="1" applyAlignment="1">
      <alignment vertical="center"/>
    </xf>
    <xf numFmtId="189" fontId="32" fillId="0" borderId="38" xfId="2" applyNumberFormat="1" applyFont="1" applyBorder="1" applyAlignment="1">
      <alignment vertical="center"/>
    </xf>
    <xf numFmtId="38" fontId="53" fillId="0" borderId="39" xfId="3" applyFont="1" applyFill="1" applyBorder="1" applyAlignment="1">
      <alignment vertical="center"/>
    </xf>
    <xf numFmtId="0" fontId="53" fillId="0" borderId="0" xfId="2" applyFont="1" applyAlignment="1">
      <alignment horizontal="center" vertical="center"/>
    </xf>
    <xf numFmtId="189" fontId="53" fillId="0" borderId="0" xfId="2" applyNumberFormat="1" applyFont="1" applyAlignment="1">
      <alignment vertical="center"/>
    </xf>
    <xf numFmtId="38" fontId="53" fillId="0" borderId="0" xfId="3" applyFont="1" applyAlignment="1">
      <alignment vertical="center"/>
    </xf>
    <xf numFmtId="0" fontId="32" fillId="5" borderId="35" xfId="2" applyFont="1" applyFill="1" applyBorder="1" applyAlignment="1">
      <alignment horizontal="center" vertical="center"/>
    </xf>
    <xf numFmtId="0" fontId="32" fillId="5" borderId="35" xfId="2" applyFont="1" applyFill="1" applyBorder="1" applyAlignment="1">
      <alignment vertical="center"/>
    </xf>
    <xf numFmtId="0" fontId="32" fillId="0" borderId="36" xfId="2" applyFont="1" applyBorder="1" applyAlignment="1">
      <alignment horizontal="center" vertical="center"/>
    </xf>
    <xf numFmtId="0" fontId="32" fillId="0" borderId="36" xfId="2" applyFont="1" applyBorder="1" applyAlignment="1">
      <alignment vertical="center"/>
    </xf>
    <xf numFmtId="0" fontId="32" fillId="0" borderId="42" xfId="2" applyFont="1" applyBorder="1" applyAlignment="1">
      <alignment horizontal="center" vertical="center"/>
    </xf>
    <xf numFmtId="0" fontId="32" fillId="0" borderId="38" xfId="2" applyFont="1" applyBorder="1" applyAlignment="1">
      <alignment vertical="center"/>
    </xf>
    <xf numFmtId="0" fontId="32" fillId="0" borderId="47" xfId="2" applyFont="1" applyBorder="1" applyAlignment="1">
      <alignment vertical="center"/>
    </xf>
    <xf numFmtId="0" fontId="32" fillId="0" borderId="46" xfId="2" applyFont="1" applyBorder="1" applyAlignment="1">
      <alignment vertical="center"/>
    </xf>
    <xf numFmtId="188" fontId="32" fillId="5" borderId="35" xfId="2" applyNumberFormat="1" applyFont="1" applyFill="1" applyBorder="1" applyAlignment="1">
      <alignment vertical="center"/>
    </xf>
    <xf numFmtId="0" fontId="32" fillId="5" borderId="38" xfId="2" applyFont="1" applyFill="1" applyBorder="1" applyAlignment="1">
      <alignment vertical="center"/>
    </xf>
    <xf numFmtId="0" fontId="32" fillId="5" borderId="47" xfId="2" applyFont="1" applyFill="1" applyBorder="1" applyAlignment="1">
      <alignment vertical="center"/>
    </xf>
    <xf numFmtId="0" fontId="32" fillId="5" borderId="46" xfId="2" applyFont="1" applyFill="1" applyBorder="1" applyAlignment="1">
      <alignment vertical="center"/>
    </xf>
    <xf numFmtId="190" fontId="53" fillId="5" borderId="35" xfId="2" applyNumberFormat="1" applyFont="1" applyFill="1" applyBorder="1" applyAlignment="1">
      <alignment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29" fillId="0" borderId="10" xfId="0" applyFont="1" applyBorder="1">
      <alignment vertical="center"/>
    </xf>
    <xf numFmtId="0" fontId="29" fillId="0" borderId="5" xfId="0"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lignment vertical="center"/>
    </xf>
    <xf numFmtId="176" fontId="21" fillId="0" borderId="2" xfId="0" applyNumberFormat="1" applyFont="1" applyBorder="1" applyAlignment="1">
      <alignment horizontal="right" vertical="center"/>
    </xf>
    <xf numFmtId="0" fontId="18" fillId="0" borderId="0" xfId="0" applyFont="1" applyAlignment="1">
      <alignment horizontal="center" vertical="center"/>
    </xf>
    <xf numFmtId="0" fontId="21" fillId="0" borderId="0" xfId="0" applyFont="1" applyProtection="1">
      <alignment vertical="center"/>
      <protection locked="0"/>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21" fillId="0" borderId="0" xfId="0" applyFont="1" applyAlignment="1">
      <alignment horizontal="center"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7" fillId="0" borderId="13" xfId="0" applyNumberFormat="1" applyFont="1" applyBorder="1" applyAlignment="1">
      <alignment vertical="center" wrapText="1"/>
    </xf>
    <xf numFmtId="0" fontId="56" fillId="0" borderId="0" xfId="0" applyFont="1" applyAlignment="1">
      <alignment horizontal="right" vertical="center"/>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left" vertical="center" wrapText="1"/>
    </xf>
    <xf numFmtId="183" fontId="4" fillId="2" borderId="12" xfId="0" applyNumberFormat="1" applyFont="1" applyFill="1" applyBorder="1" applyAlignment="1">
      <alignment horizontal="right" vertical="center"/>
    </xf>
    <xf numFmtId="0" fontId="9" fillId="0" borderId="0" xfId="0" applyFont="1" applyAlignment="1">
      <alignment horizontal="left" vertical="top" wrapText="1"/>
    </xf>
    <xf numFmtId="0" fontId="3" fillId="0" borderId="0" xfId="0" applyFont="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8" fillId="0" borderId="0" xfId="0" applyFont="1" applyAlignment="1">
      <alignment horizontal="left"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12"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2" fillId="0" borderId="0" xfId="0" applyFont="1" applyAlignment="1">
      <alignment horizontal="left" vertical="center"/>
    </xf>
    <xf numFmtId="0" fontId="4" fillId="0" borderId="12" xfId="0" applyFont="1" applyBorder="1" applyAlignment="1" applyProtection="1">
      <alignment horizontal="center" vertical="center"/>
      <protection locked="0"/>
    </xf>
    <xf numFmtId="0" fontId="4" fillId="0" borderId="12" xfId="0" applyFont="1" applyBorder="1" applyAlignment="1">
      <alignment horizontal="left" vertical="center" wrapText="1"/>
    </xf>
    <xf numFmtId="0" fontId="12"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2"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4" xfId="0" applyFont="1" applyBorder="1" applyAlignment="1">
      <alignment horizontal="left" vertical="center" wrapText="1"/>
    </xf>
    <xf numFmtId="0" fontId="4" fillId="0" borderId="1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2" fontId="4" fillId="0" borderId="0" xfId="0" applyNumberFormat="1" applyFont="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4" fillId="0" borderId="12" xfId="0" applyFont="1" applyBorder="1" applyAlignment="1">
      <alignment horizontal="left" vertical="center"/>
    </xf>
    <xf numFmtId="0" fontId="14" fillId="0" borderId="0" xfId="0" applyFont="1" applyAlignment="1">
      <alignment horizontal="left" vertical="top"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6" fillId="0" borderId="0" xfId="0" applyFont="1" applyAlignment="1">
      <alignment horizontal="left" vertical="center" wrapText="1"/>
    </xf>
    <xf numFmtId="0" fontId="7" fillId="0" borderId="6"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4" fillId="0" borderId="7" xfId="0" applyFont="1" applyBorder="1" applyAlignment="1">
      <alignment horizontal="center"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54" fillId="0" borderId="8" xfId="0" applyFont="1" applyBorder="1" applyAlignment="1">
      <alignment horizontal="left" vertical="center" wrapText="1"/>
    </xf>
    <xf numFmtId="0" fontId="54" fillId="0" borderId="0" xfId="0" applyFont="1" applyAlignment="1">
      <alignment horizontal="left" vertical="center" wrapText="1"/>
    </xf>
    <xf numFmtId="0" fontId="54" fillId="0" borderId="4" xfId="0" applyFont="1" applyBorder="1" applyAlignment="1">
      <alignment horizontal="left" vertical="center" wrapTex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8" fillId="0" borderId="0" xfId="0" applyFont="1" applyAlignment="1">
      <alignment horizontal="center" vertical="center"/>
    </xf>
    <xf numFmtId="0" fontId="4" fillId="0" borderId="11" xfId="0" applyFont="1" applyBorder="1" applyAlignment="1">
      <alignment horizontal="center" vertical="center" shrinkToFit="1"/>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0" fillId="0" borderId="0" xfId="0" applyFont="1" applyAlignment="1">
      <alignment horizontal="center" vertical="center"/>
    </xf>
    <xf numFmtId="0" fontId="4"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center" vertical="center"/>
    </xf>
    <xf numFmtId="0" fontId="27" fillId="0" borderId="0" xfId="0" applyFont="1" applyAlignment="1" applyProtection="1">
      <alignment horizontal="center" vertical="center"/>
      <protection locked="0"/>
    </xf>
    <xf numFmtId="0" fontId="21" fillId="0" borderId="0" xfId="0" applyFont="1" applyAlignment="1">
      <alignment horizontal="left" vertical="center" wrapText="1"/>
    </xf>
    <xf numFmtId="0" fontId="23" fillId="0" borderId="0" xfId="0" applyFont="1" applyAlignment="1">
      <alignment horizontal="left" vertical="center" wrapText="1"/>
    </xf>
    <xf numFmtId="176" fontId="21" fillId="0" borderId="2" xfId="0" applyNumberFormat="1" applyFont="1" applyBorder="1" applyAlignment="1">
      <alignment horizontal="righ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3" fillId="0" borderId="0" xfId="0" applyFont="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78" fontId="30" fillId="6" borderId="1" xfId="0" applyNumberFormat="1" applyFont="1" applyFill="1" applyBorder="1" applyAlignment="1">
      <alignment horizontal="center" vertical="center"/>
    </xf>
    <xf numFmtId="184" fontId="29" fillId="0" borderId="1" xfId="0" applyNumberFormat="1" applyFont="1" applyBorder="1" applyAlignment="1">
      <alignment horizontal="center" vertical="center"/>
    </xf>
    <xf numFmtId="184" fontId="29" fillId="0" borderId="2" xfId="0" applyNumberFormat="1" applyFont="1" applyBorder="1" applyAlignment="1">
      <alignment horizontal="center" vertical="center"/>
    </xf>
    <xf numFmtId="184" fontId="29" fillId="0" borderId="3" xfId="0" applyNumberFormat="1" applyFont="1" applyBorder="1" applyAlignment="1">
      <alignment horizontal="center" vertical="center"/>
    </xf>
    <xf numFmtId="178" fontId="29" fillId="4" borderId="0" xfId="0" applyNumberFormat="1" applyFont="1" applyFill="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29" fillId="0" borderId="6" xfId="0" applyFont="1" applyBorder="1" applyAlignment="1">
      <alignment horizontal="left" vertical="top"/>
    </xf>
    <xf numFmtId="0" fontId="29" fillId="0" borderId="5" xfId="0" applyFont="1" applyBorder="1" applyAlignment="1">
      <alignment horizontal="left" vertical="top"/>
    </xf>
    <xf numFmtId="0" fontId="29" fillId="0" borderId="7" xfId="0" applyFont="1" applyBorder="1" applyAlignment="1">
      <alignment horizontal="left" vertical="top"/>
    </xf>
    <xf numFmtId="0" fontId="50" fillId="0" borderId="30" xfId="2" applyFont="1" applyBorder="1" applyAlignment="1">
      <alignment horizontal="center" vertical="center" wrapText="1" shrinkToFit="1"/>
    </xf>
    <xf numFmtId="0" fontId="52" fillId="0" borderId="34" xfId="2" applyFont="1" applyBorder="1" applyAlignment="1">
      <alignment horizontal="center" vertical="center" wrapText="1" shrinkToFit="1"/>
    </xf>
    <xf numFmtId="0" fontId="32" fillId="0" borderId="31" xfId="2" applyFont="1" applyBorder="1" applyAlignment="1">
      <alignment horizontal="center" vertical="center"/>
    </xf>
    <xf numFmtId="0" fontId="32" fillId="0" borderId="35" xfId="2" applyFont="1" applyBorder="1" applyAlignment="1">
      <alignment horizontal="center" vertical="center"/>
    </xf>
    <xf numFmtId="0" fontId="32" fillId="0" borderId="48" xfId="2" applyFont="1" applyBorder="1" applyAlignment="1">
      <alignment horizontal="center" vertical="center"/>
    </xf>
    <xf numFmtId="0" fontId="32" fillId="0" borderId="49" xfId="2" applyFont="1" applyBorder="1" applyAlignment="1">
      <alignment horizontal="center" vertical="center"/>
    </xf>
    <xf numFmtId="38" fontId="32" fillId="0" borderId="33" xfId="3" applyFont="1" applyFill="1" applyBorder="1" applyAlignment="1">
      <alignment horizontal="center" vertical="center"/>
    </xf>
    <xf numFmtId="38" fontId="32" fillId="0" borderId="37" xfId="3" applyFont="1" applyFill="1" applyBorder="1" applyAlignment="1">
      <alignment horizontal="center" vertical="center"/>
    </xf>
    <xf numFmtId="0" fontId="32" fillId="0" borderId="40" xfId="2" applyFont="1" applyBorder="1" applyAlignment="1">
      <alignment horizontal="center" vertical="center"/>
    </xf>
    <xf numFmtId="0" fontId="32" fillId="0" borderId="41" xfId="2" applyFont="1" applyBorder="1" applyAlignment="1">
      <alignment horizontal="center" vertical="center"/>
    </xf>
    <xf numFmtId="0" fontId="32" fillId="0" borderId="42" xfId="2" applyFont="1" applyBorder="1" applyAlignment="1">
      <alignment horizontal="center" vertical="center"/>
    </xf>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45" xfId="2" applyFont="1" applyBorder="1" applyAlignment="1">
      <alignment horizontal="center" vertical="center"/>
    </xf>
    <xf numFmtId="0" fontId="32" fillId="0" borderId="50" xfId="2" applyFont="1" applyBorder="1" applyAlignment="1">
      <alignment horizontal="center" vertical="center"/>
    </xf>
    <xf numFmtId="0" fontId="32" fillId="0" borderId="36" xfId="2" applyFont="1" applyBorder="1" applyAlignment="1">
      <alignment horizontal="center" vertical="center"/>
    </xf>
    <xf numFmtId="0" fontId="52" fillId="0" borderId="31" xfId="2" applyFont="1" applyBorder="1" applyAlignment="1">
      <alignment horizontal="center" vertical="center" wrapText="1"/>
    </xf>
    <xf numFmtId="0" fontId="52" fillId="0" borderId="35" xfId="2" applyFont="1" applyBorder="1" applyAlignment="1">
      <alignment horizontal="center" vertical="center"/>
    </xf>
    <xf numFmtId="0" fontId="52" fillId="0" borderId="31" xfId="2" applyFont="1" applyBorder="1" applyAlignment="1">
      <alignment horizontal="center" vertical="center" wrapText="1" shrinkToFit="1"/>
    </xf>
    <xf numFmtId="0" fontId="52" fillId="0" borderId="35" xfId="2" applyFont="1" applyBorder="1" applyAlignment="1">
      <alignment horizontal="center" vertical="center" wrapText="1" shrinkToFit="1"/>
    </xf>
    <xf numFmtId="0" fontId="52" fillId="0" borderId="35" xfId="2" applyFont="1" applyBorder="1" applyAlignment="1">
      <alignment horizontal="center" vertical="center" wrapText="1"/>
    </xf>
    <xf numFmtId="189" fontId="52" fillId="0" borderId="32" xfId="2" applyNumberFormat="1" applyFont="1" applyBorder="1" applyAlignment="1">
      <alignment horizontal="center" vertical="center" wrapText="1"/>
    </xf>
    <xf numFmtId="189" fontId="52" fillId="0" borderId="36" xfId="2" applyNumberFormat="1" applyFont="1" applyBorder="1" applyAlignment="1">
      <alignment horizontal="center" vertical="center" wrapText="1"/>
    </xf>
    <xf numFmtId="178" fontId="29" fillId="0" borderId="0" xfId="0" applyNumberFormat="1" applyFont="1" applyFill="1">
      <alignmen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8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25;&#30011;&#25285;&#24403;\03_&#12392;&#12387;&#12392;&#12426;&#20303;&#12414;&#12356;&#12427;&#25903;&#25588;&#20107;&#26989;\01%20&#20132;&#20184;&#35201;&#32177;\R5.4\&#27096;&#24335;\HP&#29992;\R5_youshiki1gou2goutateuritouroku0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２号】事業計画書兼チェックシート（新築）"/>
      <sheetName val="【様式第６号】（別紙）補助金併用一覧"/>
      <sheetName val="登録申請書（計画書連動）（住まいる）"/>
      <sheetName val="登録申請書（計画書連動）（未来型）"/>
      <sheetName val="住まいる台帳コピー"/>
      <sheetName val="未来型台帳コピー"/>
      <sheetName val="（使わない）様式11号（省エネ性能説明書）"/>
    </sheetNames>
    <sheetDataSet>
      <sheetData sheetId="0">
        <row r="10">
          <cell r="O10">
            <v>0</v>
          </cell>
        </row>
        <row r="29">
          <cell r="BG29"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1"/>
  <sheetViews>
    <sheetView showGridLines="0" tabSelected="1" view="pageBreakPreview" topLeftCell="A80" zoomScaleNormal="100" zoomScaleSheetLayoutView="100" workbookViewId="0">
      <selection activeCell="U103" sqref="U103:X110"/>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5" width="3.109375" style="1"/>
    <col min="16" max="16" width="4" style="1" customWidth="1"/>
    <col min="17" max="17" width="3.44140625" style="1" bestFit="1" customWidth="1"/>
    <col min="18" max="21" width="3.109375" style="1"/>
    <col min="22" max="22" width="3.44140625" style="1" bestFit="1" customWidth="1"/>
    <col min="23" max="26" width="3.109375" style="1"/>
    <col min="27" max="27" width="3.88671875" style="1" customWidth="1"/>
    <col min="28" max="28" width="6.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493</v>
      </c>
      <c r="K1" s="2"/>
      <c r="L1" s="2"/>
      <c r="M1" s="2"/>
      <c r="N1" s="2"/>
      <c r="O1" s="2"/>
      <c r="P1" s="2"/>
      <c r="Q1" s="2"/>
      <c r="R1" s="2"/>
      <c r="Z1" s="48"/>
      <c r="AA1" s="331" t="s">
        <v>514</v>
      </c>
      <c r="AC1" s="4" t="s">
        <v>78</v>
      </c>
      <c r="BG1" s="1" t="s">
        <v>122</v>
      </c>
      <c r="BH1" s="1" t="s">
        <v>139</v>
      </c>
    </row>
    <row r="2" spans="1:60" ht="19.2" x14ac:dyDescent="0.2">
      <c r="K2" s="2"/>
      <c r="L2" s="2"/>
      <c r="M2" s="2"/>
      <c r="N2" s="2"/>
      <c r="O2" s="2"/>
      <c r="P2" s="2"/>
      <c r="Q2" s="2"/>
      <c r="R2" s="2"/>
      <c r="AC2" s="4" t="s">
        <v>181</v>
      </c>
      <c r="BG2" s="1" t="s">
        <v>123</v>
      </c>
      <c r="BH2" s="1" t="s">
        <v>140</v>
      </c>
    </row>
    <row r="3" spans="1:60" ht="15.6" customHeight="1" x14ac:dyDescent="0.2">
      <c r="A3" s="341" t="s">
        <v>472</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C3" s="4" t="s">
        <v>75</v>
      </c>
      <c r="BG3" s="1" t="s">
        <v>124</v>
      </c>
      <c r="BH3" s="1" t="s">
        <v>141</v>
      </c>
    </row>
    <row r="4" spans="1:60" ht="15" customHeight="1" x14ac:dyDescent="0.2">
      <c r="A4" s="341" t="s">
        <v>494</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C4" s="4" t="s">
        <v>75</v>
      </c>
      <c r="BG4" s="1" t="s">
        <v>482</v>
      </c>
      <c r="BH4" s="1" t="s">
        <v>483</v>
      </c>
    </row>
    <row r="5" spans="1:60" x14ac:dyDescent="0.2">
      <c r="A5" s="348" t="s">
        <v>473</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BG5" s="1" t="s">
        <v>125</v>
      </c>
      <c r="BH5" s="1" t="s">
        <v>139</v>
      </c>
    </row>
    <row r="6" spans="1:60" x14ac:dyDescent="0.2">
      <c r="A6" s="348"/>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BG6" s="1" t="s">
        <v>126</v>
      </c>
      <c r="BH6" s="1" t="s">
        <v>139</v>
      </c>
    </row>
    <row r="7" spans="1:60" ht="6" customHeight="1" x14ac:dyDescent="0.2">
      <c r="BG7" s="1" t="s">
        <v>127</v>
      </c>
      <c r="BH7" s="1" t="s">
        <v>139</v>
      </c>
    </row>
    <row r="8" spans="1:60" x14ac:dyDescent="0.2">
      <c r="C8" s="431" t="s">
        <v>238</v>
      </c>
      <c r="D8" s="431"/>
      <c r="E8" s="430"/>
      <c r="F8" s="430"/>
      <c r="G8" s="1" t="s">
        <v>7</v>
      </c>
      <c r="H8" s="421"/>
      <c r="I8" s="421"/>
      <c r="J8" s="1" t="s">
        <v>22</v>
      </c>
      <c r="K8" s="421"/>
      <c r="L8" s="421"/>
      <c r="M8" s="1" t="s">
        <v>6</v>
      </c>
      <c r="AB8" s="4" t="str">
        <f>IF(OR(C8="",H8="",K8=""),"←リストから選択してください（和暦年月日）","")</f>
        <v>←リストから選択してください（和暦年月日）</v>
      </c>
      <c r="BG8" s="1" t="s">
        <v>142</v>
      </c>
      <c r="BH8" s="1" t="s">
        <v>139</v>
      </c>
    </row>
    <row r="9" spans="1:60" ht="3" customHeight="1" x14ac:dyDescent="0.2">
      <c r="BG9" s="1" t="s">
        <v>128</v>
      </c>
      <c r="BH9" s="1" t="s">
        <v>141</v>
      </c>
    </row>
    <row r="10" spans="1:60" x14ac:dyDescent="0.2">
      <c r="J10" s="6" t="s">
        <v>10</v>
      </c>
      <c r="K10" s="39"/>
      <c r="L10" s="39"/>
      <c r="M10" s="7"/>
      <c r="N10" s="6" t="s">
        <v>9</v>
      </c>
      <c r="O10" s="435"/>
      <c r="P10" s="435"/>
      <c r="Q10" s="435"/>
      <c r="R10" s="435"/>
      <c r="S10" s="435"/>
      <c r="T10" s="435"/>
      <c r="U10" s="435"/>
      <c r="V10" s="435"/>
      <c r="W10" s="435"/>
      <c r="X10" s="435"/>
      <c r="Y10" s="435"/>
      <c r="Z10" s="436"/>
      <c r="AB10" s="4" t="str">
        <f>IF(O10="","←直接郵便番号を記入してください","")</f>
        <v>←直接郵便番号を記入してください</v>
      </c>
      <c r="BG10" s="1" t="s">
        <v>129</v>
      </c>
      <c r="BH10" s="1" t="s">
        <v>141</v>
      </c>
    </row>
    <row r="11" spans="1:60" ht="23.1" customHeight="1" x14ac:dyDescent="0.2">
      <c r="J11" s="8"/>
      <c r="K11" s="17"/>
      <c r="L11" s="17"/>
      <c r="M11" s="9"/>
      <c r="N11" s="425"/>
      <c r="O11" s="426"/>
      <c r="P11" s="426"/>
      <c r="Q11" s="426"/>
      <c r="R11" s="426"/>
      <c r="S11" s="426"/>
      <c r="T11" s="426"/>
      <c r="U11" s="426"/>
      <c r="V11" s="426"/>
      <c r="W11" s="426"/>
      <c r="X11" s="426"/>
      <c r="Y11" s="426"/>
      <c r="Z11" s="427"/>
      <c r="AB11" s="4" t="str">
        <f>IF(N11="","←直接住所を記入してください","")</f>
        <v>←直接住所を記入してください</v>
      </c>
      <c r="BG11" s="1" t="s">
        <v>130</v>
      </c>
      <c r="BH11" s="1" t="s">
        <v>141</v>
      </c>
    </row>
    <row r="12" spans="1:60" x14ac:dyDescent="0.2">
      <c r="J12" s="342" t="s">
        <v>487</v>
      </c>
      <c r="K12" s="343"/>
      <c r="L12" s="343"/>
      <c r="M12" s="344"/>
      <c r="N12" s="345"/>
      <c r="O12" s="346"/>
      <c r="P12" s="346"/>
      <c r="Q12" s="346"/>
      <c r="R12" s="346"/>
      <c r="S12" s="346"/>
      <c r="T12" s="346"/>
      <c r="U12" s="346"/>
      <c r="V12" s="346"/>
      <c r="W12" s="346"/>
      <c r="X12" s="346"/>
      <c r="Y12" s="346"/>
      <c r="Z12" s="347"/>
      <c r="AB12" s="4" t="str">
        <f>IF(N12="","←直接建売事業者名を記入してください","")</f>
        <v>←直接建売事業者名を記入してください</v>
      </c>
      <c r="BG12" s="1" t="s">
        <v>131</v>
      </c>
      <c r="BH12" s="1" t="s">
        <v>141</v>
      </c>
    </row>
    <row r="13" spans="1:60" x14ac:dyDescent="0.2">
      <c r="J13" s="432" t="s">
        <v>495</v>
      </c>
      <c r="K13" s="433"/>
      <c r="L13" s="433"/>
      <c r="M13" s="434"/>
      <c r="N13" s="345"/>
      <c r="O13" s="346"/>
      <c r="P13" s="346"/>
      <c r="Q13" s="346"/>
      <c r="R13" s="346"/>
      <c r="S13" s="346"/>
      <c r="T13" s="346"/>
      <c r="U13" s="346"/>
      <c r="V13" s="346"/>
      <c r="W13" s="346"/>
      <c r="X13" s="346"/>
      <c r="Y13" s="346"/>
      <c r="Z13" s="347"/>
      <c r="AB13" s="4" t="str">
        <f>IF(N13="","←直接代表者の役職氏名を記入してください","")</f>
        <v>←直接代表者の役職氏名を記入してください</v>
      </c>
    </row>
    <row r="14" spans="1:60" x14ac:dyDescent="0.2">
      <c r="J14" s="366" t="s">
        <v>8</v>
      </c>
      <c r="K14" s="366"/>
      <c r="L14" s="366"/>
      <c r="M14" s="366"/>
      <c r="N14" s="422"/>
      <c r="O14" s="423"/>
      <c r="P14" s="423"/>
      <c r="Q14" s="423"/>
      <c r="R14" s="423"/>
      <c r="S14" s="423"/>
      <c r="T14" s="423"/>
      <c r="U14" s="423"/>
      <c r="V14" s="423"/>
      <c r="W14" s="423"/>
      <c r="X14" s="423"/>
      <c r="Y14" s="423"/>
      <c r="Z14" s="424"/>
      <c r="AB14" s="4" t="str">
        <f>IF(N14="","←直接電話番号を記入してください","")</f>
        <v>←直接電話番号を記入してください</v>
      </c>
      <c r="BG14" s="1" t="s">
        <v>132</v>
      </c>
      <c r="BH14" s="1" t="s">
        <v>140</v>
      </c>
    </row>
    <row r="15" spans="1:60" x14ac:dyDescent="0.2">
      <c r="A15" s="1" t="s">
        <v>42</v>
      </c>
      <c r="BG15" s="1" t="s">
        <v>133</v>
      </c>
      <c r="BH15" s="1" t="s">
        <v>140</v>
      </c>
    </row>
    <row r="16" spans="1:60" x14ac:dyDescent="0.2">
      <c r="A16" s="1" t="s">
        <v>41</v>
      </c>
      <c r="AA16" s="12"/>
      <c r="BG16" s="1" t="s">
        <v>134</v>
      </c>
      <c r="BH16" s="1" t="s">
        <v>140</v>
      </c>
    </row>
    <row r="17" spans="1:60" ht="26.25" customHeight="1" x14ac:dyDescent="0.2">
      <c r="A17" s="348" t="s">
        <v>201</v>
      </c>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BG17" s="1" t="s">
        <v>135</v>
      </c>
      <c r="BH17" s="1" t="s">
        <v>140</v>
      </c>
    </row>
    <row r="18" spans="1:60" ht="3" customHeight="1" x14ac:dyDescent="0.2">
      <c r="AA18" s="12"/>
      <c r="BG18" s="1" t="s">
        <v>136</v>
      </c>
      <c r="BH18" s="1" t="s">
        <v>140</v>
      </c>
    </row>
    <row r="19" spans="1:60" x14ac:dyDescent="0.2">
      <c r="A19" s="1" t="s">
        <v>32</v>
      </c>
      <c r="BG19" s="1" t="s">
        <v>137</v>
      </c>
      <c r="BH19" s="1" t="s">
        <v>140</v>
      </c>
    </row>
    <row r="20" spans="1:60" ht="5.55" customHeight="1" x14ac:dyDescent="0.2">
      <c r="AA20" s="12"/>
      <c r="BG20" s="1" t="s">
        <v>138</v>
      </c>
      <c r="BH20" s="1" t="s">
        <v>140</v>
      </c>
    </row>
    <row r="21" spans="1:60" ht="13.5" customHeight="1" x14ac:dyDescent="0.2">
      <c r="B21" s="93"/>
      <c r="C21" s="348" t="s">
        <v>160</v>
      </c>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row>
    <row r="22" spans="1:60" x14ac:dyDescent="0.2">
      <c r="B22" s="37"/>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row>
    <row r="23" spans="1:60" ht="3.6" customHeight="1" x14ac:dyDescent="0.2">
      <c r="AA23" s="12"/>
    </row>
    <row r="24" spans="1:60" x14ac:dyDescent="0.2">
      <c r="B24" s="93"/>
      <c r="C24" s="1" t="s">
        <v>146</v>
      </c>
    </row>
    <row r="25" spans="1:60" x14ac:dyDescent="0.2">
      <c r="C25" s="13" t="s">
        <v>87</v>
      </c>
    </row>
    <row r="26" spans="1:60" x14ac:dyDescent="0.2">
      <c r="C26" s="14" t="s">
        <v>86</v>
      </c>
      <c r="D26" s="13"/>
    </row>
    <row r="27" spans="1:60" x14ac:dyDescent="0.2">
      <c r="C27" s="13" t="s">
        <v>88</v>
      </c>
    </row>
    <row r="28" spans="1:60" x14ac:dyDescent="0.2">
      <c r="C28" s="13" t="s">
        <v>85</v>
      </c>
    </row>
    <row r="29" spans="1:60" x14ac:dyDescent="0.2">
      <c r="D29" s="386" t="s">
        <v>1</v>
      </c>
      <c r="E29" s="387"/>
      <c r="F29" s="387"/>
      <c r="G29" s="387"/>
      <c r="H29" s="388"/>
      <c r="I29" s="342" t="s">
        <v>114</v>
      </c>
      <c r="J29" s="343"/>
      <c r="K29" s="343"/>
      <c r="L29" s="344"/>
      <c r="M29" s="352"/>
      <c r="N29" s="353"/>
      <c r="O29" s="353"/>
      <c r="P29" s="353"/>
      <c r="Q29" s="353"/>
      <c r="R29" s="353"/>
      <c r="S29" s="353"/>
      <c r="T29" s="353"/>
      <c r="U29" s="353"/>
      <c r="V29" s="353"/>
      <c r="W29" s="353"/>
      <c r="X29" s="354"/>
      <c r="AB29" s="4" t="str">
        <f>IF(M29="","←リストから選択してください（市町村名）","")</f>
        <v>←リストから選択してください（市町村名）</v>
      </c>
      <c r="BG29" s="1" t="str">
        <f>IF(M29="","",VLOOKUP(M29,BG1:BH20,2,FALSE))</f>
        <v/>
      </c>
    </row>
    <row r="30" spans="1:60" x14ac:dyDescent="0.2">
      <c r="D30" s="391"/>
      <c r="E30" s="392"/>
      <c r="F30" s="392"/>
      <c r="G30" s="392"/>
      <c r="H30" s="393"/>
      <c r="I30" s="345"/>
      <c r="J30" s="346"/>
      <c r="K30" s="346"/>
      <c r="L30" s="346"/>
      <c r="M30" s="346"/>
      <c r="N30" s="346"/>
      <c r="O30" s="346"/>
      <c r="P30" s="346"/>
      <c r="Q30" s="346"/>
      <c r="R30" s="346"/>
      <c r="S30" s="346"/>
      <c r="T30" s="346"/>
      <c r="U30" s="346"/>
      <c r="V30" s="346"/>
      <c r="W30" s="346"/>
      <c r="X30" s="347"/>
      <c r="AB30" s="4" t="str">
        <f>IF(I30="","←市町村名より後の所在地を直接記入してください","")</f>
        <v>←市町村名より後の所在地を直接記入してください</v>
      </c>
    </row>
    <row r="31" spans="1:60" x14ac:dyDescent="0.2">
      <c r="D31" s="342" t="s">
        <v>475</v>
      </c>
      <c r="E31" s="343"/>
      <c r="F31" s="343"/>
      <c r="G31" s="343"/>
      <c r="H31" s="344"/>
      <c r="I31" s="345"/>
      <c r="J31" s="346"/>
      <c r="K31" s="346"/>
      <c r="L31" s="346"/>
      <c r="M31" s="346"/>
      <c r="N31" s="346"/>
      <c r="O31" s="346"/>
      <c r="P31" s="346"/>
      <c r="Q31" s="346"/>
      <c r="R31" s="346"/>
      <c r="S31" s="346"/>
      <c r="T31" s="346"/>
      <c r="U31" s="346"/>
      <c r="V31" s="346"/>
      <c r="W31" s="346"/>
      <c r="X31" s="347"/>
      <c r="AB31" s="4" t="str">
        <f>IF(I31="","←住居表示がある場合のみ入力してください","")</f>
        <v>←住居表示がある場合のみ入力してください</v>
      </c>
    </row>
    <row r="32" spans="1:60" x14ac:dyDescent="0.2">
      <c r="D32" s="386" t="s">
        <v>24</v>
      </c>
      <c r="E32" s="387"/>
      <c r="F32" s="387"/>
      <c r="G32" s="387"/>
      <c r="H32" s="388"/>
      <c r="I32" s="352"/>
      <c r="J32" s="353"/>
      <c r="K32" s="353"/>
      <c r="L32" s="353"/>
      <c r="M32" s="353"/>
      <c r="N32" s="353"/>
      <c r="O32" s="342" t="s">
        <v>118</v>
      </c>
      <c r="P32" s="343"/>
      <c r="Q32" s="343"/>
      <c r="R32" s="344"/>
      <c r="S32" s="407"/>
      <c r="T32" s="408"/>
      <c r="U32" s="408"/>
      <c r="V32" s="408"/>
      <c r="W32" s="343" t="s">
        <v>91</v>
      </c>
      <c r="X32" s="344"/>
      <c r="AB32" s="4" t="str">
        <f>IF(I32="","←リストから選択してください（専用住宅・併用住宅）","")</f>
        <v>←リストから選択してください（専用住宅・併用住宅）</v>
      </c>
    </row>
    <row r="33" spans="2:28" x14ac:dyDescent="0.2">
      <c r="D33" s="386" t="s">
        <v>152</v>
      </c>
      <c r="E33" s="387"/>
      <c r="F33" s="387"/>
      <c r="G33" s="387"/>
      <c r="H33" s="388"/>
      <c r="I33" s="455"/>
      <c r="J33" s="455"/>
      <c r="K33" s="455"/>
      <c r="L33" s="410" t="s">
        <v>155</v>
      </c>
      <c r="M33" s="449" t="s">
        <v>79</v>
      </c>
      <c r="N33" s="450"/>
      <c r="O33" s="450"/>
      <c r="P33" s="450"/>
      <c r="Q33" s="451"/>
      <c r="R33" s="419" t="s">
        <v>80</v>
      </c>
      <c r="S33" s="419"/>
      <c r="T33" s="419"/>
      <c r="U33" s="419"/>
      <c r="V33" s="418"/>
      <c r="W33" s="418"/>
      <c r="X33" s="15" t="s">
        <v>155</v>
      </c>
      <c r="AB33" s="16" t="str">
        <f>IF(I33="","←延床面積を入力してください。",IF(AND(I32="併用住宅",V33=""),"←面積を入力してください。",""))</f>
        <v>←延床面積を入力してください。</v>
      </c>
    </row>
    <row r="34" spans="2:28" x14ac:dyDescent="0.2">
      <c r="D34" s="391"/>
      <c r="E34" s="392"/>
      <c r="F34" s="392"/>
      <c r="G34" s="392"/>
      <c r="H34" s="393"/>
      <c r="I34" s="456"/>
      <c r="J34" s="456"/>
      <c r="K34" s="456"/>
      <c r="L34" s="411"/>
      <c r="M34" s="452"/>
      <c r="N34" s="453"/>
      <c r="O34" s="453"/>
      <c r="P34" s="453"/>
      <c r="Q34" s="454"/>
      <c r="R34" s="420" t="s">
        <v>81</v>
      </c>
      <c r="S34" s="420"/>
      <c r="T34" s="420"/>
      <c r="U34" s="420"/>
      <c r="V34" s="368"/>
      <c r="W34" s="368"/>
      <c r="X34" s="18" t="s">
        <v>155</v>
      </c>
      <c r="AB34" s="16" t="str">
        <f>IF(AND(I32="併用住宅",V34=""),"←面積を入力してください。","")</f>
        <v/>
      </c>
    </row>
    <row r="35" spans="2:28" x14ac:dyDescent="0.2">
      <c r="D35" s="386" t="s">
        <v>30</v>
      </c>
      <c r="E35" s="387"/>
      <c r="F35" s="387"/>
      <c r="G35" s="387"/>
      <c r="H35" s="388"/>
      <c r="I35" s="405"/>
      <c r="J35" s="406"/>
      <c r="K35" s="406"/>
      <c r="L35" s="406"/>
      <c r="M35" s="406"/>
      <c r="N35" s="406"/>
      <c r="O35" s="19" t="s">
        <v>29</v>
      </c>
      <c r="P35" s="19"/>
      <c r="Q35" s="19"/>
      <c r="R35" s="40"/>
      <c r="S35" s="414" t="s">
        <v>119</v>
      </c>
      <c r="T35" s="414"/>
      <c r="U35" s="414"/>
      <c r="V35" s="415"/>
      <c r="W35" s="415"/>
      <c r="X35" s="20" t="s">
        <v>120</v>
      </c>
      <c r="AB35" s="4" t="str">
        <f>IF(I35="","←直接記入してください",IF(V35="","←階数を選択してください。",""))</f>
        <v>←直接記入してください</v>
      </c>
    </row>
    <row r="36" spans="2:28" x14ac:dyDescent="0.2">
      <c r="D36" s="8"/>
      <c r="E36" s="17"/>
      <c r="F36" s="17"/>
      <c r="G36" s="17"/>
      <c r="H36" s="9"/>
      <c r="I36" s="428" t="s">
        <v>90</v>
      </c>
      <c r="J36" s="429"/>
      <c r="K36" s="429"/>
      <c r="L36" s="94"/>
      <c r="M36" s="17" t="s">
        <v>25</v>
      </c>
      <c r="N36" s="17"/>
      <c r="O36" s="21" t="s">
        <v>27</v>
      </c>
      <c r="P36" s="17"/>
      <c r="Q36" s="94"/>
      <c r="R36" s="17" t="s">
        <v>25</v>
      </c>
      <c r="S36" s="17"/>
      <c r="T36" s="21" t="s">
        <v>28</v>
      </c>
      <c r="U36" s="17"/>
      <c r="V36" s="94"/>
      <c r="W36" s="17" t="s">
        <v>61</v>
      </c>
      <c r="X36" s="9"/>
      <c r="AB36" s="4" t="str">
        <f>IF(OR(L36="",Q36="",V36=""),"←直接記入してください","")</f>
        <v>←直接記入してください</v>
      </c>
    </row>
    <row r="37" spans="2:28" x14ac:dyDescent="0.2">
      <c r="D37" s="366" t="s">
        <v>26</v>
      </c>
      <c r="E37" s="366"/>
      <c r="F37" s="366"/>
      <c r="G37" s="366"/>
      <c r="H37" s="366"/>
      <c r="I37" s="417"/>
      <c r="J37" s="417"/>
      <c r="K37" s="417"/>
      <c r="L37" s="417"/>
      <c r="M37" s="417"/>
      <c r="N37" s="417"/>
      <c r="O37" s="417"/>
      <c r="P37" s="417"/>
      <c r="Q37" s="417"/>
      <c r="R37" s="417"/>
      <c r="S37" s="417"/>
      <c r="T37" s="417"/>
      <c r="U37" s="417"/>
      <c r="V37" s="417"/>
      <c r="W37" s="417"/>
      <c r="X37" s="417"/>
      <c r="AB37" s="4" t="str">
        <f>IF(I37="","←リストから選択してください（在来軸組工法、伝統構法、その他）","")</f>
        <v>←リストから選択してください（在来軸組工法、伝統構法、その他）</v>
      </c>
    </row>
    <row r="38" spans="2:28" x14ac:dyDescent="0.2">
      <c r="D38" s="386" t="s">
        <v>2</v>
      </c>
      <c r="E38" s="387"/>
      <c r="F38" s="387"/>
      <c r="G38" s="387"/>
      <c r="H38" s="388"/>
      <c r="I38" s="412" t="s">
        <v>153</v>
      </c>
      <c r="J38" s="413"/>
      <c r="K38" s="413"/>
      <c r="L38" s="413"/>
      <c r="M38" s="413"/>
      <c r="N38" s="457"/>
      <c r="O38" s="457"/>
      <c r="P38" s="457"/>
      <c r="Q38" s="457"/>
      <c r="R38" s="39" t="s">
        <v>7</v>
      </c>
      <c r="S38" s="409"/>
      <c r="T38" s="409"/>
      <c r="U38" s="39" t="s">
        <v>22</v>
      </c>
      <c r="V38" s="409"/>
      <c r="W38" s="409"/>
      <c r="X38" s="7" t="s">
        <v>6</v>
      </c>
      <c r="AB38" s="4" t="str">
        <f>IF(OR(N38="",S38="",V38=""),"←リストから選択してください（和暦年月日）","")</f>
        <v>←リストから選択してください（和暦年月日）</v>
      </c>
    </row>
    <row r="39" spans="2:28" x14ac:dyDescent="0.2">
      <c r="D39" s="391"/>
      <c r="E39" s="392"/>
      <c r="F39" s="392"/>
      <c r="G39" s="392"/>
      <c r="H39" s="393"/>
      <c r="I39" s="402" t="s">
        <v>154</v>
      </c>
      <c r="J39" s="403"/>
      <c r="K39" s="403"/>
      <c r="L39" s="403"/>
      <c r="M39" s="403"/>
      <c r="N39" s="416"/>
      <c r="O39" s="416"/>
      <c r="P39" s="416"/>
      <c r="Q39" s="416"/>
      <c r="R39" s="17" t="s">
        <v>7</v>
      </c>
      <c r="S39" s="404"/>
      <c r="T39" s="404"/>
      <c r="U39" s="17" t="s">
        <v>22</v>
      </c>
      <c r="V39" s="404"/>
      <c r="W39" s="404"/>
      <c r="X39" s="9" t="s">
        <v>6</v>
      </c>
      <c r="AB39" s="4" t="str">
        <f>IF(OR(N39="",S39="",V39=""),"←リストから選択してください（和暦年月日）","")</f>
        <v>←リストから選択してください（和暦年月日）</v>
      </c>
    </row>
    <row r="40" spans="2:28" x14ac:dyDescent="0.2">
      <c r="D40" s="383" t="s">
        <v>499</v>
      </c>
      <c r="E40" s="384"/>
      <c r="F40" s="384"/>
      <c r="G40" s="384"/>
      <c r="H40" s="384"/>
      <c r="I40" s="384"/>
      <c r="J40" s="384"/>
      <c r="K40" s="384"/>
      <c r="L40" s="384"/>
      <c r="M40" s="385"/>
      <c r="N40" s="416"/>
      <c r="O40" s="416"/>
      <c r="P40" s="416"/>
      <c r="Q40" s="416"/>
      <c r="R40" s="17" t="s">
        <v>7</v>
      </c>
      <c r="S40" s="404"/>
      <c r="T40" s="404"/>
      <c r="U40" s="17" t="s">
        <v>22</v>
      </c>
      <c r="V40" s="404"/>
      <c r="W40" s="404"/>
      <c r="X40" s="9" t="s">
        <v>6</v>
      </c>
      <c r="AB40" s="4" t="str">
        <f>IF(OR(N40="",S40="",V40=""),"←リストから選択してください（和暦年月日）","")</f>
        <v>←リストから選択してください（和暦年月日）</v>
      </c>
    </row>
    <row r="41" spans="2:28" ht="5.55" customHeight="1" x14ac:dyDescent="0.2">
      <c r="AA41" s="12"/>
    </row>
    <row r="42" spans="2:28" x14ac:dyDescent="0.2">
      <c r="B42" s="93"/>
      <c r="C42" s="1" t="s">
        <v>145</v>
      </c>
    </row>
    <row r="43" spans="2:28" x14ac:dyDescent="0.2">
      <c r="D43" s="342" t="s">
        <v>3</v>
      </c>
      <c r="E43" s="343"/>
      <c r="F43" s="343"/>
      <c r="G43" s="343"/>
      <c r="H43" s="344"/>
      <c r="I43" s="458"/>
      <c r="J43" s="435"/>
      <c r="K43" s="435"/>
      <c r="L43" s="435"/>
      <c r="M43" s="435"/>
      <c r="N43" s="435"/>
      <c r="O43" s="435"/>
      <c r="P43" s="435"/>
      <c r="Q43" s="435"/>
      <c r="R43" s="435"/>
      <c r="S43" s="435"/>
      <c r="T43" s="435"/>
      <c r="U43" s="435"/>
      <c r="V43" s="435"/>
      <c r="W43" s="435"/>
      <c r="X43" s="436"/>
      <c r="AB43" s="4" t="str">
        <f>IF(I43="","←直接記入してください","")</f>
        <v>←直接記入してください</v>
      </c>
    </row>
    <row r="44" spans="2:28" x14ac:dyDescent="0.2">
      <c r="D44" s="342" t="s">
        <v>4</v>
      </c>
      <c r="E44" s="343"/>
      <c r="F44" s="343"/>
      <c r="G44" s="343"/>
      <c r="H44" s="344"/>
      <c r="I44" s="345"/>
      <c r="J44" s="346"/>
      <c r="K44" s="346"/>
      <c r="L44" s="346"/>
      <c r="M44" s="346"/>
      <c r="N44" s="346"/>
      <c r="O44" s="346"/>
      <c r="P44" s="346"/>
      <c r="Q44" s="346"/>
      <c r="R44" s="346"/>
      <c r="S44" s="346"/>
      <c r="T44" s="346"/>
      <c r="U44" s="346"/>
      <c r="V44" s="346"/>
      <c r="W44" s="346"/>
      <c r="X44" s="347"/>
      <c r="AB44" s="4" t="str">
        <f>IF(I44="","←直接記入してください","")</f>
        <v>←直接記入してください</v>
      </c>
    </row>
    <row r="45" spans="2:28" x14ac:dyDescent="0.2">
      <c r="D45" s="342" t="s">
        <v>23</v>
      </c>
      <c r="E45" s="343"/>
      <c r="F45" s="343"/>
      <c r="G45" s="343"/>
      <c r="H45" s="344"/>
      <c r="I45" s="462"/>
      <c r="J45" s="463"/>
      <c r="K45" s="463"/>
      <c r="L45" s="463"/>
      <c r="M45" s="463"/>
      <c r="N45" s="463"/>
      <c r="O45" s="463"/>
      <c r="P45" s="463"/>
      <c r="Q45" s="463"/>
      <c r="R45" s="463"/>
      <c r="S45" s="463"/>
      <c r="T45" s="463"/>
      <c r="U45" s="463"/>
      <c r="V45" s="463"/>
      <c r="W45" s="463"/>
      <c r="X45" s="464"/>
      <c r="AB45" s="4" t="str">
        <f>IF(I45="","←直接記入してください(0857-00-000等）","")</f>
        <v>←直接記入してください(0857-00-000等）</v>
      </c>
    </row>
    <row r="46" spans="2:28" ht="3.6" customHeight="1" x14ac:dyDescent="0.2"/>
    <row r="47" spans="2:28" x14ac:dyDescent="0.2">
      <c r="B47" s="93"/>
      <c r="C47" s="1" t="s">
        <v>144</v>
      </c>
    </row>
    <row r="48" spans="2:28" x14ac:dyDescent="0.2">
      <c r="D48" s="342" t="s">
        <v>31</v>
      </c>
      <c r="E48" s="343"/>
      <c r="F48" s="343"/>
      <c r="G48" s="343"/>
      <c r="H48" s="344"/>
      <c r="I48" s="352"/>
      <c r="J48" s="353"/>
      <c r="K48" s="353"/>
      <c r="L48" s="353"/>
      <c r="M48" s="353"/>
      <c r="N48" s="354"/>
      <c r="Y48" s="22"/>
      <c r="AB48" s="4" t="str">
        <f>IF(I48="","←リストから選択してください（要・不要）","")</f>
        <v>←リストから選択してください（要・不要）</v>
      </c>
    </row>
    <row r="49" spans="2:28" x14ac:dyDescent="0.2">
      <c r="D49" s="378" t="s">
        <v>211</v>
      </c>
      <c r="E49" s="379"/>
      <c r="F49" s="379"/>
      <c r="G49" s="379"/>
      <c r="H49" s="379"/>
      <c r="I49" s="379"/>
      <c r="J49" s="379"/>
      <c r="K49" s="379"/>
      <c r="L49" s="379"/>
      <c r="M49" s="379"/>
      <c r="N49" s="380"/>
      <c r="O49" s="495"/>
      <c r="P49" s="495"/>
      <c r="Q49" s="495"/>
      <c r="R49" s="97" t="s">
        <v>7</v>
      </c>
      <c r="S49" s="361"/>
      <c r="T49" s="361"/>
      <c r="U49" s="97" t="s">
        <v>22</v>
      </c>
      <c r="V49" s="361"/>
      <c r="W49" s="361"/>
      <c r="X49" s="11" t="s">
        <v>6</v>
      </c>
      <c r="Y49" s="22"/>
      <c r="AB49" s="4" t="str">
        <f>IF(OR(O49="",S49="",V49=""),"←リストから選択してください（和暦年月日）","")</f>
        <v>←リストから選択してください（和暦年月日）</v>
      </c>
    </row>
    <row r="50" spans="2:28" ht="11.55" customHeight="1" x14ac:dyDescent="0.2">
      <c r="D50" s="23" t="str">
        <f>IF(I48="要","添付書類として、各階平面図、配置図を提出してください。",IF(I48="不要","添付書類として、各階平面図、配置図を提出してください。",""))</f>
        <v/>
      </c>
    </row>
    <row r="51" spans="2:28" ht="4.5" customHeight="1" x14ac:dyDescent="0.2">
      <c r="E51" s="13"/>
    </row>
    <row r="52" spans="2:28" x14ac:dyDescent="0.2">
      <c r="B52" s="93"/>
      <c r="C52" s="1" t="s">
        <v>143</v>
      </c>
    </row>
    <row r="53" spans="2:28" ht="3.6" customHeight="1" x14ac:dyDescent="0.2"/>
    <row r="54" spans="2:28" x14ac:dyDescent="0.2">
      <c r="B54" s="93"/>
      <c r="C54" s="1" t="s">
        <v>230</v>
      </c>
      <c r="R54" s="1" t="s">
        <v>242</v>
      </c>
      <c r="U54" s="352"/>
      <c r="V54" s="353"/>
      <c r="W54" s="353"/>
      <c r="X54" s="353"/>
      <c r="Y54" s="353"/>
      <c r="Z54" s="354"/>
      <c r="AB54" s="4" t="str">
        <f>IF(U54="","←NE-STの場合には性能区分を選択してください","")</f>
        <v>←NE-STの場合には性能区分を選択してください</v>
      </c>
    </row>
    <row r="55" spans="2:28" ht="14.55" hidden="1" customHeight="1" x14ac:dyDescent="0.2">
      <c r="AB55" s="4"/>
    </row>
    <row r="56" spans="2:28" ht="3" customHeight="1" x14ac:dyDescent="0.2">
      <c r="AB56" s="4"/>
    </row>
    <row r="57" spans="2:28" x14ac:dyDescent="0.2">
      <c r="B57" s="93"/>
      <c r="C57" s="1" t="s">
        <v>243</v>
      </c>
      <c r="R57" s="1" t="s">
        <v>245</v>
      </c>
      <c r="U57" s="352"/>
      <c r="V57" s="353"/>
      <c r="W57" s="353"/>
      <c r="X57" s="353"/>
      <c r="Y57" s="353"/>
      <c r="Z57" s="354"/>
      <c r="AB57" s="4" t="str">
        <f>IF(U57="","←再生可能エネルギー発電設備を設置する場合には設備を選択してください","")</f>
        <v>←再生可能エネルギー発電設備を設置する場合には設備を選択してください</v>
      </c>
    </row>
    <row r="58" spans="2:28" ht="16.05" hidden="1" customHeight="1" x14ac:dyDescent="0.2">
      <c r="AB58" s="4"/>
    </row>
    <row r="59" spans="2:28" ht="4.5" customHeight="1" x14ac:dyDescent="0.2">
      <c r="AB59" s="4"/>
    </row>
    <row r="60" spans="2:28" x14ac:dyDescent="0.2">
      <c r="B60" s="93"/>
      <c r="C60" s="1" t="s">
        <v>244</v>
      </c>
      <c r="R60" s="1" t="s">
        <v>246</v>
      </c>
      <c r="U60" s="465"/>
      <c r="V60" s="466"/>
      <c r="W60" s="466"/>
      <c r="X60" s="466"/>
      <c r="Y60" s="466"/>
      <c r="Z60" s="467"/>
      <c r="AB60" s="4" t="str">
        <f>IF(U60="","←ZEHの認証を取得（予定）の場合には区分を選択してください","")</f>
        <v>←ZEHの認証を取得（予定）の場合には区分を選択してください</v>
      </c>
    </row>
    <row r="61" spans="2:28" ht="10.5" hidden="1" customHeight="1" x14ac:dyDescent="0.2">
      <c r="AB61" s="4"/>
    </row>
    <row r="62" spans="2:28" ht="4.05" customHeight="1" x14ac:dyDescent="0.2">
      <c r="AB62" s="4"/>
    </row>
    <row r="63" spans="2:28" x14ac:dyDescent="0.2">
      <c r="B63" s="93"/>
      <c r="C63" s="1" t="s">
        <v>247</v>
      </c>
      <c r="U63" s="111"/>
      <c r="V63" s="111"/>
      <c r="W63" s="111"/>
      <c r="X63" s="111"/>
      <c r="Y63" s="111"/>
      <c r="Z63" s="111"/>
    </row>
    <row r="64" spans="2:28" ht="12" customHeight="1" x14ac:dyDescent="0.2">
      <c r="D64" s="13" t="s">
        <v>248</v>
      </c>
    </row>
    <row r="65" spans="2:28" ht="5.55" customHeight="1" x14ac:dyDescent="0.2"/>
    <row r="66" spans="2:28" x14ac:dyDescent="0.2">
      <c r="B66" s="93"/>
      <c r="C66" s="1" t="s">
        <v>463</v>
      </c>
    </row>
    <row r="67" spans="2:28" ht="5.55" customHeight="1" x14ac:dyDescent="0.2"/>
    <row r="68" spans="2:28" ht="13.5" customHeight="1" x14ac:dyDescent="0.2">
      <c r="B68" s="93"/>
      <c r="C68" s="1" t="s">
        <v>500</v>
      </c>
      <c r="D68" s="23"/>
    </row>
    <row r="69" spans="2:28" ht="3.6" customHeight="1" x14ac:dyDescent="0.2">
      <c r="D69" s="23"/>
    </row>
    <row r="70" spans="2:28" ht="13.5" customHeight="1" x14ac:dyDescent="0.2">
      <c r="B70" s="93"/>
      <c r="C70" s="1" t="s">
        <v>515</v>
      </c>
      <c r="D70" s="23"/>
    </row>
    <row r="71" spans="2:28" ht="4.05" customHeight="1" x14ac:dyDescent="0.2">
      <c r="D71" s="23"/>
    </row>
    <row r="72" spans="2:28" ht="13.5" customHeight="1" x14ac:dyDescent="0.2">
      <c r="B72" s="93"/>
      <c r="C72" s="1" t="s">
        <v>516</v>
      </c>
      <c r="D72" s="23"/>
    </row>
    <row r="73" spans="2:28" ht="4.05" customHeight="1" x14ac:dyDescent="0.2">
      <c r="D73" s="23"/>
    </row>
    <row r="74" spans="2:28" ht="13.5" customHeight="1" x14ac:dyDescent="0.2">
      <c r="C74" s="93"/>
      <c r="D74" s="1" t="s">
        <v>481</v>
      </c>
    </row>
    <row r="75" spans="2:28" ht="12.75" customHeight="1" x14ac:dyDescent="0.2">
      <c r="C75" s="23"/>
      <c r="D75" s="23" t="str">
        <f>IF(B72="✔",(IF(C74="✔","","地域型グリーン化事業に県産材の材料代を含めている場合、住まいる支援事業は利用できません")),"")</f>
        <v/>
      </c>
    </row>
    <row r="76" spans="2:28" x14ac:dyDescent="0.2">
      <c r="B76" s="93"/>
      <c r="C76" s="1" t="s">
        <v>225</v>
      </c>
    </row>
    <row r="77" spans="2:28" ht="27" customHeight="1" x14ac:dyDescent="0.2">
      <c r="D77" s="459" t="s">
        <v>43</v>
      </c>
      <c r="E77" s="460"/>
      <c r="F77" s="460"/>
      <c r="G77" s="460"/>
      <c r="H77" s="461"/>
      <c r="I77" s="352"/>
      <c r="J77" s="353"/>
      <c r="K77" s="353"/>
      <c r="L77" s="353"/>
      <c r="M77" s="353"/>
      <c r="N77" s="354"/>
      <c r="P77" s="355"/>
      <c r="Q77" s="355"/>
      <c r="R77" s="355"/>
      <c r="S77" s="355"/>
      <c r="T77" s="355"/>
      <c r="U77" s="355"/>
      <c r="V77" s="355"/>
      <c r="W77" s="355"/>
      <c r="X77" s="355"/>
      <c r="Y77" s="355"/>
      <c r="Z77" s="355"/>
      <c r="AA77" s="355"/>
      <c r="AB77" s="4" t="str">
        <f>IF(I77="","←リストから選択してください（有・無）","")</f>
        <v>←リストから選択してください（有・無）</v>
      </c>
    </row>
    <row r="78" spans="2:28" ht="2.1" customHeight="1" x14ac:dyDescent="0.2">
      <c r="D78" s="496"/>
      <c r="E78" s="496"/>
      <c r="F78" s="496"/>
      <c r="G78" s="496"/>
      <c r="H78" s="496"/>
      <c r="I78" s="341"/>
      <c r="J78" s="341"/>
      <c r="K78" s="341"/>
      <c r="L78" s="341"/>
      <c r="M78" s="341"/>
      <c r="N78" s="341"/>
      <c r="O78" s="341"/>
      <c r="P78" s="341"/>
      <c r="Q78" s="341"/>
      <c r="R78" s="341"/>
      <c r="S78" s="341"/>
      <c r="T78" s="341"/>
      <c r="U78" s="341"/>
      <c r="V78" s="341"/>
      <c r="W78" s="341"/>
      <c r="X78" s="341"/>
      <c r="Y78" s="22" t="str">
        <f>IF(AND($I$37="その他",I78=""),"←工法を直接入力してください","")</f>
        <v/>
      </c>
    </row>
    <row r="79" spans="2:28" x14ac:dyDescent="0.2">
      <c r="D79" s="110" t="s">
        <v>241</v>
      </c>
      <c r="E79" s="105"/>
      <c r="F79" s="105"/>
      <c r="G79" s="105"/>
      <c r="H79" s="105"/>
      <c r="I79" s="25"/>
      <c r="J79" s="25"/>
      <c r="K79" s="25"/>
      <c r="L79" s="25"/>
      <c r="M79" s="25"/>
      <c r="N79" s="25"/>
      <c r="O79" s="25"/>
      <c r="P79" s="25"/>
      <c r="Q79" s="25"/>
      <c r="R79" s="25"/>
      <c r="S79" s="25"/>
      <c r="T79" s="25"/>
      <c r="U79" s="25"/>
      <c r="V79" s="25"/>
      <c r="W79" s="25"/>
      <c r="X79" s="25"/>
      <c r="Y79" s="22"/>
    </row>
    <row r="80" spans="2:28" ht="3.75" customHeight="1" x14ac:dyDescent="0.2">
      <c r="D80" s="105"/>
      <c r="E80" s="105"/>
      <c r="F80" s="105"/>
      <c r="G80" s="105"/>
      <c r="H80" s="105"/>
      <c r="I80" s="25"/>
      <c r="J80" s="25"/>
      <c r="K80" s="25"/>
      <c r="L80" s="25"/>
      <c r="M80" s="25"/>
      <c r="N80" s="25"/>
      <c r="O80" s="25"/>
      <c r="P80" s="25"/>
      <c r="Q80" s="25"/>
      <c r="R80" s="25"/>
      <c r="S80" s="25"/>
      <c r="T80" s="25"/>
      <c r="U80" s="25"/>
      <c r="V80" s="25"/>
      <c r="W80" s="25"/>
      <c r="X80" s="25"/>
      <c r="Y80" s="22"/>
    </row>
    <row r="81" spans="1:28" ht="13.5" customHeight="1" x14ac:dyDescent="0.2">
      <c r="D81" s="459" t="s">
        <v>240</v>
      </c>
      <c r="E81" s="460"/>
      <c r="F81" s="460"/>
      <c r="G81" s="460"/>
      <c r="H81" s="460"/>
      <c r="I81" s="460"/>
      <c r="J81" s="460"/>
      <c r="K81" s="460"/>
      <c r="L81" s="460"/>
      <c r="M81" s="460"/>
      <c r="N81" s="460"/>
      <c r="O81" s="461"/>
      <c r="P81" s="342" t="s">
        <v>5</v>
      </c>
      <c r="Q81" s="343"/>
      <c r="R81" s="343"/>
      <c r="S81" s="343"/>
      <c r="T81" s="344"/>
      <c r="U81" s="342" t="s">
        <v>19</v>
      </c>
      <c r="V81" s="343"/>
      <c r="W81" s="343"/>
      <c r="X81" s="343"/>
      <c r="Y81" s="343"/>
      <c r="Z81" s="344"/>
    </row>
    <row r="82" spans="1:28" ht="13.05" x14ac:dyDescent="0.2">
      <c r="D82" s="396"/>
      <c r="E82" s="397"/>
      <c r="F82" s="397"/>
      <c r="G82" s="397"/>
      <c r="H82" s="397"/>
      <c r="I82" s="397"/>
      <c r="J82" s="397"/>
      <c r="K82" s="397"/>
      <c r="L82" s="397"/>
      <c r="M82" s="397"/>
      <c r="N82" s="397"/>
      <c r="O82" s="398"/>
      <c r="P82" s="352"/>
      <c r="Q82" s="353"/>
      <c r="R82" s="353"/>
      <c r="S82" s="353"/>
      <c r="T82" s="354"/>
      <c r="U82" s="352"/>
      <c r="V82" s="353"/>
      <c r="W82" s="353"/>
      <c r="X82" s="353"/>
      <c r="Y82" s="353"/>
      <c r="Z82" s="354"/>
    </row>
    <row r="83" spans="1:28" ht="13.05" x14ac:dyDescent="0.2">
      <c r="D83" s="396"/>
      <c r="E83" s="397"/>
      <c r="F83" s="397"/>
      <c r="G83" s="397"/>
      <c r="H83" s="397"/>
      <c r="I83" s="397"/>
      <c r="J83" s="397"/>
      <c r="K83" s="397"/>
      <c r="L83" s="397"/>
      <c r="M83" s="397"/>
      <c r="N83" s="397"/>
      <c r="O83" s="398"/>
      <c r="P83" s="352"/>
      <c r="Q83" s="353"/>
      <c r="R83" s="353"/>
      <c r="S83" s="353"/>
      <c r="T83" s="354"/>
      <c r="U83" s="352"/>
      <c r="V83" s="353"/>
      <c r="W83" s="353"/>
      <c r="X83" s="353"/>
      <c r="Y83" s="353"/>
      <c r="Z83" s="354"/>
    </row>
    <row r="84" spans="1:28" ht="13.05" x14ac:dyDescent="0.2">
      <c r="D84" s="396"/>
      <c r="E84" s="397"/>
      <c r="F84" s="397"/>
      <c r="G84" s="397"/>
      <c r="H84" s="397"/>
      <c r="I84" s="397"/>
      <c r="J84" s="397"/>
      <c r="K84" s="397"/>
      <c r="L84" s="397"/>
      <c r="M84" s="397"/>
      <c r="N84" s="397"/>
      <c r="O84" s="398"/>
      <c r="P84" s="352"/>
      <c r="Q84" s="353"/>
      <c r="R84" s="353"/>
      <c r="S84" s="353"/>
      <c r="T84" s="354"/>
      <c r="U84" s="352"/>
      <c r="V84" s="353"/>
      <c r="W84" s="353"/>
      <c r="X84" s="353"/>
      <c r="Y84" s="353"/>
      <c r="Z84" s="354"/>
    </row>
    <row r="85" spans="1:28" ht="13.05" x14ac:dyDescent="0.2">
      <c r="D85" s="396"/>
      <c r="E85" s="397"/>
      <c r="F85" s="397"/>
      <c r="G85" s="397"/>
      <c r="H85" s="397"/>
      <c r="I85" s="397"/>
      <c r="J85" s="397"/>
      <c r="K85" s="397"/>
      <c r="L85" s="397"/>
      <c r="M85" s="397"/>
      <c r="N85" s="397"/>
      <c r="O85" s="398"/>
      <c r="P85" s="352"/>
      <c r="Q85" s="353"/>
      <c r="R85" s="353"/>
      <c r="S85" s="353"/>
      <c r="T85" s="354"/>
      <c r="U85" s="352"/>
      <c r="V85" s="353"/>
      <c r="W85" s="353"/>
      <c r="X85" s="353"/>
      <c r="Y85" s="353"/>
      <c r="Z85" s="354"/>
    </row>
    <row r="86" spans="1:28" ht="13.05" x14ac:dyDescent="0.2">
      <c r="D86" s="396"/>
      <c r="E86" s="397"/>
      <c r="F86" s="397"/>
      <c r="G86" s="397"/>
      <c r="H86" s="397"/>
      <c r="I86" s="397"/>
      <c r="J86" s="397"/>
      <c r="K86" s="397"/>
      <c r="L86" s="397"/>
      <c r="M86" s="397"/>
      <c r="N86" s="397"/>
      <c r="O86" s="398"/>
      <c r="P86" s="352"/>
      <c r="Q86" s="353"/>
      <c r="R86" s="353"/>
      <c r="S86" s="353"/>
      <c r="T86" s="354"/>
      <c r="U86" s="352"/>
      <c r="V86" s="353"/>
      <c r="W86" s="353"/>
      <c r="X86" s="353"/>
      <c r="Y86" s="353"/>
      <c r="Z86" s="354"/>
    </row>
    <row r="87" spans="1:28" ht="6.75" customHeight="1" x14ac:dyDescent="0.2">
      <c r="D87" s="105"/>
      <c r="E87" s="105"/>
      <c r="F87" s="105"/>
      <c r="G87" s="105"/>
      <c r="H87" s="105"/>
      <c r="I87" s="106"/>
      <c r="J87" s="106"/>
      <c r="K87" s="106"/>
      <c r="L87" s="106"/>
      <c r="M87" s="106"/>
      <c r="N87" s="106"/>
      <c r="O87" s="106"/>
      <c r="P87" s="106"/>
      <c r="Q87" s="106"/>
      <c r="R87" s="106"/>
      <c r="S87" s="106"/>
      <c r="T87" s="106"/>
      <c r="U87" s="106"/>
      <c r="V87" s="106"/>
      <c r="W87" s="106"/>
      <c r="X87" s="106"/>
      <c r="Y87" s="22"/>
    </row>
    <row r="88" spans="1:28" ht="13.05" hidden="1" x14ac:dyDescent="0.2">
      <c r="B88" s="93"/>
      <c r="C88" s="1" t="s">
        <v>221</v>
      </c>
      <c r="E88" s="13"/>
      <c r="P88" s="24"/>
    </row>
    <row r="89" spans="1:28" x14ac:dyDescent="0.2">
      <c r="D89" s="99" t="str">
        <f>IF(B88="","",IF(B88="✔","＜実績報告時の提出書類&gt;変更後の各階平面図、配置図",""))</f>
        <v/>
      </c>
      <c r="E89" s="13"/>
      <c r="P89" s="24"/>
      <c r="AA89" s="5" t="s">
        <v>77</v>
      </c>
    </row>
    <row r="90" spans="1:28" x14ac:dyDescent="0.2">
      <c r="A90" s="1" t="s">
        <v>36</v>
      </c>
      <c r="AA90" s="5"/>
      <c r="AB90" s="4" t="s">
        <v>474</v>
      </c>
    </row>
    <row r="91" spans="1:28" x14ac:dyDescent="0.2">
      <c r="B91" s="93"/>
      <c r="C91" s="1" t="s">
        <v>156</v>
      </c>
    </row>
    <row r="92" spans="1:28" ht="7.5" customHeight="1" x14ac:dyDescent="0.2"/>
    <row r="93" spans="1:28" x14ac:dyDescent="0.2">
      <c r="B93" s="93"/>
      <c r="C93" s="1" t="s">
        <v>115</v>
      </c>
    </row>
    <row r="94" spans="1:28" x14ac:dyDescent="0.2">
      <c r="D94" s="342" t="s">
        <v>92</v>
      </c>
      <c r="E94" s="343"/>
      <c r="F94" s="343"/>
      <c r="G94" s="343"/>
      <c r="H94" s="344"/>
      <c r="I94" s="352"/>
      <c r="J94" s="353"/>
      <c r="K94" s="353"/>
      <c r="L94" s="353"/>
      <c r="M94" s="353"/>
      <c r="N94" s="353"/>
      <c r="O94" s="353"/>
      <c r="P94" s="353"/>
      <c r="Q94" s="353"/>
      <c r="R94" s="353"/>
      <c r="S94" s="353"/>
      <c r="T94" s="353"/>
      <c r="U94" s="353"/>
      <c r="V94" s="353"/>
      <c r="W94" s="353"/>
      <c r="X94" s="354"/>
      <c r="AB94" s="4" t="str">
        <f>IF(AND(B93="✔",I94=""),"←直接入力してください","")</f>
        <v/>
      </c>
    </row>
    <row r="95" spans="1:28" x14ac:dyDescent="0.2">
      <c r="B95" s="13"/>
      <c r="C95" s="13"/>
      <c r="D95" s="41" t="s">
        <v>184</v>
      </c>
      <c r="E95" s="12"/>
      <c r="F95" s="12"/>
      <c r="G95" s="12"/>
      <c r="H95" s="12"/>
      <c r="I95" s="12"/>
      <c r="J95" s="12"/>
      <c r="K95" s="12"/>
      <c r="L95" s="12"/>
      <c r="M95" s="12"/>
      <c r="N95" s="12"/>
      <c r="O95" s="12"/>
      <c r="P95" s="12"/>
      <c r="Q95" s="12"/>
      <c r="R95" s="38"/>
      <c r="S95" s="38"/>
      <c r="T95" s="38"/>
      <c r="U95" s="38"/>
      <c r="V95" s="38"/>
      <c r="W95" s="38"/>
      <c r="X95" s="38"/>
      <c r="Y95" s="38"/>
      <c r="AB95" s="4"/>
    </row>
    <row r="96" spans="1:28" x14ac:dyDescent="0.2">
      <c r="B96" s="109" t="s">
        <v>511</v>
      </c>
      <c r="C96" s="13"/>
      <c r="D96" s="13"/>
      <c r="E96" s="13"/>
      <c r="F96" s="53"/>
      <c r="G96" s="13"/>
      <c r="H96" s="13"/>
      <c r="I96" s="13"/>
      <c r="J96" s="13"/>
      <c r="L96" s="13"/>
      <c r="M96" s="13"/>
      <c r="N96" s="13"/>
      <c r="O96" s="13"/>
      <c r="P96" s="13"/>
      <c r="Q96" s="13"/>
    </row>
    <row r="97" spans="1:39" x14ac:dyDescent="0.2">
      <c r="B97" s="93"/>
      <c r="C97" s="1" t="s">
        <v>116</v>
      </c>
    </row>
    <row r="98" spans="1:39" x14ac:dyDescent="0.2">
      <c r="B98" s="472" t="str">
        <f>IF(AND(B93="✔",B97="✔"),"「プレカットを行う場合は、県内のプレカット工場で加工すること。」と「プレカットを一切使用しない。」のどちらかを✔してください。","")</f>
        <v/>
      </c>
      <c r="C98" s="472"/>
      <c r="D98" s="472"/>
      <c r="E98" s="472"/>
      <c r="F98" s="472"/>
      <c r="G98" s="472"/>
      <c r="H98" s="472"/>
      <c r="I98" s="472"/>
      <c r="J98" s="472"/>
      <c r="K98" s="472"/>
      <c r="L98" s="472"/>
      <c r="M98" s="472"/>
      <c r="N98" s="472"/>
      <c r="O98" s="472"/>
      <c r="P98" s="472"/>
      <c r="Q98" s="472"/>
      <c r="R98" s="472"/>
      <c r="S98" s="472"/>
      <c r="T98" s="472"/>
      <c r="U98" s="472"/>
      <c r="V98" s="472"/>
      <c r="W98" s="472"/>
      <c r="X98" s="472"/>
      <c r="Y98" s="472"/>
      <c r="Z98" s="472"/>
      <c r="AA98" s="472"/>
      <c r="AB98" s="3" t="str">
        <f>IF(B98="","","×")</f>
        <v/>
      </c>
    </row>
    <row r="99" spans="1:39" x14ac:dyDescent="0.2">
      <c r="B99" s="472"/>
      <c r="C99" s="472"/>
      <c r="D99" s="472"/>
      <c r="E99" s="472"/>
      <c r="F99" s="472"/>
      <c r="G99" s="472"/>
      <c r="H99" s="472"/>
      <c r="I99" s="472"/>
      <c r="J99" s="472"/>
      <c r="K99" s="472"/>
      <c r="L99" s="472"/>
      <c r="M99" s="472"/>
      <c r="N99" s="472"/>
      <c r="O99" s="472"/>
      <c r="P99" s="472"/>
      <c r="Q99" s="472"/>
      <c r="R99" s="472"/>
      <c r="S99" s="472"/>
      <c r="T99" s="472"/>
      <c r="U99" s="472"/>
      <c r="V99" s="472"/>
      <c r="W99" s="472"/>
      <c r="X99" s="472"/>
      <c r="Y99" s="472"/>
      <c r="Z99" s="472"/>
      <c r="AA99" s="472"/>
    </row>
    <row r="100" spans="1:39" x14ac:dyDescent="0.2">
      <c r="Q100" s="1" t="s">
        <v>178</v>
      </c>
      <c r="T100" s="25"/>
    </row>
    <row r="101" spans="1:39" ht="18" customHeight="1" x14ac:dyDescent="0.2">
      <c r="D101" s="342" t="s">
        <v>52</v>
      </c>
      <c r="E101" s="343"/>
      <c r="F101" s="343"/>
      <c r="G101" s="343"/>
      <c r="H101" s="343"/>
      <c r="I101" s="343"/>
      <c r="J101" s="343"/>
      <c r="K101" s="343"/>
      <c r="L101" s="343"/>
      <c r="M101" s="343"/>
      <c r="N101" s="343"/>
      <c r="O101" s="343"/>
      <c r="P101" s="344"/>
      <c r="Q101" s="342" t="s">
        <v>51</v>
      </c>
      <c r="R101" s="343"/>
      <c r="S101" s="343"/>
      <c r="T101" s="344"/>
      <c r="U101" s="482" t="str">
        <f>IF(I32="併用住宅","併用住宅の場合、住宅部分の使用量","")</f>
        <v/>
      </c>
      <c r="V101" s="483"/>
      <c r="W101" s="483"/>
      <c r="X101" s="484"/>
      <c r="Y101" s="364" t="s">
        <v>101</v>
      </c>
      <c r="Z101" s="364"/>
      <c r="AA101" s="364"/>
    </row>
    <row r="102" spans="1:39" x14ac:dyDescent="0.2">
      <c r="D102" s="492" t="s">
        <v>102</v>
      </c>
      <c r="E102" s="493"/>
      <c r="F102" s="493"/>
      <c r="G102" s="493"/>
      <c r="H102" s="493"/>
      <c r="I102" s="493"/>
      <c r="J102" s="493"/>
      <c r="K102" s="493"/>
      <c r="L102" s="493"/>
      <c r="M102" s="493"/>
      <c r="N102" s="493"/>
      <c r="O102" s="493"/>
      <c r="P102" s="494"/>
      <c r="Q102" s="356"/>
      <c r="R102" s="357"/>
      <c r="S102" s="357"/>
      <c r="T102" s="358"/>
      <c r="U102" s="482"/>
      <c r="V102" s="483"/>
      <c r="W102" s="483"/>
      <c r="X102" s="484"/>
      <c r="Y102" s="365"/>
      <c r="Z102" s="365"/>
      <c r="AA102" s="365"/>
      <c r="AE102" s="1"/>
      <c r="AF102" s="1"/>
      <c r="AG102" s="1"/>
      <c r="AH102" s="26" t="s">
        <v>58</v>
      </c>
      <c r="AI102" s="27">
        <v>10</v>
      </c>
      <c r="AJ102" s="27">
        <v>15</v>
      </c>
      <c r="AK102" s="27">
        <v>20</v>
      </c>
      <c r="AL102" s="27">
        <v>25</v>
      </c>
      <c r="AM102" s="27"/>
    </row>
    <row r="103" spans="1:39" x14ac:dyDescent="0.2">
      <c r="D103" s="28"/>
      <c r="E103" s="499" t="s">
        <v>150</v>
      </c>
      <c r="F103" s="500"/>
      <c r="G103" s="500"/>
      <c r="H103" s="500"/>
      <c r="I103" s="500"/>
      <c r="J103" s="500"/>
      <c r="K103" s="500"/>
      <c r="L103" s="500"/>
      <c r="M103" s="500"/>
      <c r="N103" s="500"/>
      <c r="O103" s="500"/>
      <c r="P103" s="501"/>
      <c r="Q103" s="356"/>
      <c r="R103" s="357"/>
      <c r="S103" s="357"/>
      <c r="T103" s="358"/>
      <c r="U103" s="437"/>
      <c r="V103" s="438"/>
      <c r="W103" s="438"/>
      <c r="X103" s="498"/>
      <c r="Y103" s="359" t="str">
        <f>IF(OR(I32="",Q102=""),"",(IF(I32="専用住宅",IF(Q103&gt;=AL102,AL103,IF(Q103&gt;=AK102,AK103,IF(Q103&gt;=AJ102,AJ103,IF(Q103&gt;=AI102,AI103,"")))),IF(I32="併用住宅",IF(U103&gt;=AL102,AL103,IF(U103&gt;=AK102,AK103,IF(U103&gt;=AJ102,AJ103,IF(U103&gt;=AI102,AI103,""))))))))</f>
        <v/>
      </c>
      <c r="Z103" s="360"/>
      <c r="AA103" s="29" t="s">
        <v>60</v>
      </c>
      <c r="AE103" s="1"/>
      <c r="AF103" s="1"/>
      <c r="AG103" s="1"/>
      <c r="AH103" s="26" t="s">
        <v>57</v>
      </c>
      <c r="AI103" s="27">
        <v>15</v>
      </c>
      <c r="AJ103" s="27">
        <v>15</v>
      </c>
      <c r="AK103" s="27">
        <v>15</v>
      </c>
      <c r="AL103" s="27">
        <v>15</v>
      </c>
      <c r="AM103" s="27"/>
    </row>
    <row r="104" spans="1:39" x14ac:dyDescent="0.2">
      <c r="D104" s="28"/>
      <c r="E104" s="30"/>
      <c r="F104" s="492" t="s">
        <v>484</v>
      </c>
      <c r="G104" s="444"/>
      <c r="H104" s="444"/>
      <c r="I104" s="444"/>
      <c r="J104" s="444"/>
      <c r="K104" s="444"/>
      <c r="L104" s="444"/>
      <c r="M104" s="444"/>
      <c r="N104" s="444"/>
      <c r="O104" s="444"/>
      <c r="P104" s="445"/>
      <c r="Q104" s="356"/>
      <c r="R104" s="357"/>
      <c r="S104" s="357"/>
      <c r="T104" s="358"/>
      <c r="U104" s="437"/>
      <c r="V104" s="438"/>
      <c r="W104" s="438"/>
      <c r="X104" s="498"/>
      <c r="Y104" s="359" t="str">
        <f>IF(I32="","",IF(I32="専用住宅",IF(OR(Q104="",Q104=0),"",INT(IF(Q104&gt;=25,MIN(25,Q104),IF(Q104&gt;=20,MIN(20,Q104),IF(Q104&gt;=15,MIN(15,Q104),IF(Q104&lt;15,MIN(10,Q104),0)))))),IF(I32="併用住宅",IF(OR(U104="",U104=0),"",INT(IF(U104&gt;=25,MIN(25,U104),IF(U104&gt;=20,MIN(20,U104),IF(U104&gt;=15,MIN(15,U104),IF(U104&lt;15,MIN(10,U104),0)))))))))</f>
        <v/>
      </c>
      <c r="Z104" s="360"/>
      <c r="AA104" s="29" t="s">
        <v>60</v>
      </c>
      <c r="AE104" s="1"/>
      <c r="AF104" s="1"/>
      <c r="AG104" s="1"/>
      <c r="AH104" s="26" t="s">
        <v>59</v>
      </c>
      <c r="AI104" s="27">
        <v>10</v>
      </c>
      <c r="AJ104" s="27">
        <v>15</v>
      </c>
      <c r="AK104" s="27">
        <v>20</v>
      </c>
      <c r="AL104" s="27">
        <v>25</v>
      </c>
      <c r="AM104" s="27"/>
    </row>
    <row r="105" spans="1:39" ht="13.05" customHeight="1" x14ac:dyDescent="0.2">
      <c r="D105" s="28"/>
      <c r="E105" s="30"/>
      <c r="F105" s="328"/>
      <c r="G105" s="473" t="s">
        <v>89</v>
      </c>
      <c r="H105" s="474"/>
      <c r="I105" s="474"/>
      <c r="J105" s="474"/>
      <c r="K105" s="474"/>
      <c r="L105" s="474"/>
      <c r="M105" s="474"/>
      <c r="N105" s="474"/>
      <c r="O105" s="474"/>
      <c r="P105" s="475"/>
      <c r="Q105" s="332"/>
      <c r="R105" s="333"/>
      <c r="S105" s="333"/>
      <c r="T105" s="334"/>
      <c r="U105" s="338"/>
      <c r="V105" s="339"/>
      <c r="W105" s="339"/>
      <c r="X105" s="339"/>
      <c r="Y105" s="329"/>
      <c r="Z105" s="329"/>
      <c r="AA105" s="102"/>
      <c r="AE105" s="1"/>
      <c r="AF105" s="1"/>
      <c r="AG105" s="1"/>
      <c r="AH105" s="26"/>
      <c r="AI105" s="27"/>
      <c r="AJ105" s="27"/>
      <c r="AK105" s="27"/>
      <c r="AL105" s="27"/>
      <c r="AM105" s="27"/>
    </row>
    <row r="106" spans="1:39" x14ac:dyDescent="0.2">
      <c r="D106" s="28"/>
      <c r="E106" s="30"/>
      <c r="F106" s="328"/>
      <c r="G106" s="476" t="s">
        <v>506</v>
      </c>
      <c r="H106" s="477"/>
      <c r="I106" s="477"/>
      <c r="J106" s="477"/>
      <c r="K106" s="477"/>
      <c r="L106" s="477"/>
      <c r="M106" s="477"/>
      <c r="N106" s="477"/>
      <c r="O106" s="477"/>
      <c r="P106" s="478"/>
      <c r="Q106" s="335"/>
      <c r="R106" s="336"/>
      <c r="S106" s="336"/>
      <c r="T106" s="337"/>
      <c r="U106" s="338"/>
      <c r="V106" s="339"/>
      <c r="W106" s="339"/>
      <c r="X106" s="339"/>
      <c r="Y106" s="329"/>
      <c r="Z106" s="329"/>
      <c r="AA106" s="102"/>
      <c r="AE106" s="1"/>
      <c r="AF106" s="1"/>
      <c r="AG106" s="1"/>
      <c r="AH106" s="26"/>
      <c r="AI106" s="27"/>
      <c r="AJ106" s="27"/>
      <c r="AK106" s="27"/>
      <c r="AL106" s="27"/>
      <c r="AM106" s="27"/>
    </row>
    <row r="107" spans="1:39" x14ac:dyDescent="0.2">
      <c r="D107" s="28"/>
      <c r="E107" s="30"/>
      <c r="F107" s="328"/>
      <c r="G107" s="412" t="s">
        <v>89</v>
      </c>
      <c r="H107" s="413"/>
      <c r="I107" s="413"/>
      <c r="J107" s="413"/>
      <c r="K107" s="413"/>
      <c r="L107" s="413"/>
      <c r="M107" s="413"/>
      <c r="N107" s="413"/>
      <c r="O107" s="413"/>
      <c r="P107" s="479"/>
      <c r="Q107" s="332"/>
      <c r="R107" s="333"/>
      <c r="S107" s="333"/>
      <c r="T107" s="334"/>
      <c r="U107" s="338"/>
      <c r="V107" s="339"/>
      <c r="W107" s="339"/>
      <c r="X107" s="339"/>
      <c r="Y107" s="329"/>
      <c r="Z107" s="329"/>
      <c r="AA107" s="102"/>
      <c r="AE107" s="1"/>
      <c r="AF107" s="1"/>
      <c r="AG107" s="1"/>
      <c r="AH107" s="26"/>
      <c r="AI107" s="27"/>
      <c r="AJ107" s="27"/>
      <c r="AK107" s="27"/>
      <c r="AL107" s="27"/>
      <c r="AM107" s="27"/>
    </row>
    <row r="108" spans="1:39" x14ac:dyDescent="0.2">
      <c r="D108" s="28"/>
      <c r="E108" s="30"/>
      <c r="F108" s="31"/>
      <c r="G108" s="402" t="s">
        <v>507</v>
      </c>
      <c r="H108" s="403"/>
      <c r="I108" s="403"/>
      <c r="J108" s="403"/>
      <c r="K108" s="403"/>
      <c r="L108" s="403"/>
      <c r="M108" s="403"/>
      <c r="N108" s="403"/>
      <c r="O108" s="403"/>
      <c r="P108" s="497"/>
      <c r="Q108" s="335"/>
      <c r="R108" s="336"/>
      <c r="S108" s="336"/>
      <c r="T108" s="337"/>
      <c r="U108" s="338"/>
      <c r="V108" s="339"/>
      <c r="W108" s="339"/>
      <c r="X108" s="339"/>
      <c r="Y108" s="359" t="str">
        <f>IF(OR(I32="",AND(Q105="",Q107="")),"",MIN(IF(AND(I32="専用住宅",Q105&gt;=1), INT(Q105)*3,IF(AND(I32="併用住宅",U105&gt;=1),INT(U105)*3))+IF(AND(I32="専用住宅",Q107&gt;=1),INT(Q107)*2,IF(AND(I32="併用住宅",U107&gt;=1),INT(U107)*2,0)),30))</f>
        <v/>
      </c>
      <c r="Z108" s="360"/>
      <c r="AA108" s="29" t="s">
        <v>0</v>
      </c>
      <c r="AE108" s="1"/>
      <c r="AF108" s="1"/>
      <c r="AG108" s="1"/>
      <c r="AH108" s="26"/>
      <c r="AI108" s="27"/>
      <c r="AJ108" s="27"/>
      <c r="AK108" s="27"/>
      <c r="AL108" s="27"/>
      <c r="AM108" s="27"/>
    </row>
    <row r="109" spans="1:39" x14ac:dyDescent="0.2">
      <c r="D109" s="28"/>
      <c r="E109" s="30"/>
      <c r="F109" s="443" t="s">
        <v>103</v>
      </c>
      <c r="G109" s="444"/>
      <c r="H109" s="444"/>
      <c r="I109" s="444"/>
      <c r="J109" s="444"/>
      <c r="K109" s="444"/>
      <c r="L109" s="444"/>
      <c r="M109" s="444"/>
      <c r="N109" s="444"/>
      <c r="O109" s="444"/>
      <c r="P109" s="445"/>
      <c r="Q109" s="356"/>
      <c r="R109" s="357"/>
      <c r="S109" s="357"/>
      <c r="T109" s="358"/>
      <c r="U109" s="437"/>
      <c r="V109" s="438"/>
      <c r="W109" s="438"/>
      <c r="X109" s="438"/>
      <c r="AE109" s="1"/>
      <c r="AF109" s="1"/>
      <c r="AG109" s="1"/>
      <c r="AH109" s="26"/>
      <c r="AI109" s="27"/>
      <c r="AJ109" s="27"/>
      <c r="AK109" s="27"/>
      <c r="AL109" s="27"/>
      <c r="AM109" s="27"/>
    </row>
    <row r="110" spans="1:39" x14ac:dyDescent="0.2">
      <c r="D110" s="8"/>
      <c r="E110" s="32"/>
      <c r="F110" s="446" t="s">
        <v>104</v>
      </c>
      <c r="G110" s="447"/>
      <c r="H110" s="447"/>
      <c r="I110" s="447"/>
      <c r="J110" s="447"/>
      <c r="K110" s="447"/>
      <c r="L110" s="447"/>
      <c r="M110" s="447"/>
      <c r="N110" s="447"/>
      <c r="O110" s="447"/>
      <c r="P110" s="448"/>
      <c r="Q110" s="440"/>
      <c r="R110" s="441"/>
      <c r="S110" s="441"/>
      <c r="T110" s="442"/>
      <c r="U110" s="439"/>
      <c r="V110" s="439"/>
      <c r="W110" s="439"/>
      <c r="X110" s="439"/>
      <c r="Y110" s="480" t="str">
        <f>IF(OR(I32="",AND(Q109="",Q110="")),"",MIN(IF(AND(I32="専用住宅",Q109&gt;=1),5,IF(AND(I32="併用住宅",U109&gt;=1),5,0))+IF(AND(I32="専用住宅",Q110&gt;=1),INT(Q110)*0.3,IF(AND(I32="併用住宅",U110&gt;=1),INT(U110)*0.3,0)),20))</f>
        <v/>
      </c>
      <c r="Z110" s="481"/>
      <c r="AA110" s="29" t="s">
        <v>60</v>
      </c>
      <c r="AE110" s="1"/>
      <c r="AF110" s="1"/>
      <c r="AG110" s="1"/>
      <c r="AH110" s="26"/>
      <c r="AI110" s="27"/>
      <c r="AJ110" s="27"/>
      <c r="AK110" s="27"/>
      <c r="AL110" s="27"/>
      <c r="AM110" s="27"/>
    </row>
    <row r="111" spans="1:39" x14ac:dyDescent="0.2">
      <c r="E111" s="13"/>
      <c r="X111" s="33" t="s">
        <v>76</v>
      </c>
      <c r="Y111" s="470" t="str">
        <f>IF(Y103="","",IF(AND(B21="✔",B24="✔",B42="✔",B47="✔",B52="✔",D75="",B76="✔",B91="✔",OR(B93="✔",B97="✔"),B98=""),SUM(Y103:Z110),0))</f>
        <v/>
      </c>
      <c r="Z111" s="471"/>
      <c r="AA111" s="29" t="s">
        <v>0</v>
      </c>
      <c r="AB111" s="4" t="str">
        <f>IF(AND(Y111=0),"←合計金額が算出されない場合は、前のページにチェック漏れ等がありますので御確認ください。","")</f>
        <v/>
      </c>
    </row>
    <row r="112" spans="1:39" x14ac:dyDescent="0.2">
      <c r="A112" s="14" t="s">
        <v>157</v>
      </c>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x14ac:dyDescent="0.2">
      <c r="A113" s="14"/>
      <c r="B113" s="43" t="s">
        <v>503</v>
      </c>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x14ac:dyDescent="0.2">
      <c r="A114" s="14" t="s">
        <v>485</v>
      </c>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x14ac:dyDescent="0.2">
      <c r="A115" s="14" t="s">
        <v>177</v>
      </c>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27" x14ac:dyDescent="0.2">
      <c r="A116" s="14" t="s">
        <v>158</v>
      </c>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x14ac:dyDescent="0.2">
      <c r="A117" s="14"/>
      <c r="B117" s="43" t="s">
        <v>504</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x14ac:dyDescent="0.2">
      <c r="A118" s="14"/>
      <c r="B118" s="43" t="s">
        <v>505</v>
      </c>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27" ht="13.05" customHeight="1" x14ac:dyDescent="0.2">
      <c r="A119" s="340" t="s">
        <v>508</v>
      </c>
      <c r="B119" s="340"/>
      <c r="C119" s="340"/>
      <c r="D119" s="340"/>
      <c r="E119" s="340"/>
      <c r="F119" s="340"/>
      <c r="G119" s="340"/>
      <c r="H119" s="340"/>
      <c r="I119" s="340"/>
      <c r="J119" s="340"/>
      <c r="K119" s="340"/>
      <c r="L119" s="340"/>
      <c r="M119" s="340"/>
      <c r="N119" s="340"/>
      <c r="O119" s="340"/>
      <c r="P119" s="340"/>
      <c r="Q119" s="340"/>
      <c r="R119" s="340"/>
      <c r="S119" s="340"/>
      <c r="T119" s="340"/>
      <c r="U119" s="340"/>
      <c r="V119" s="340"/>
      <c r="W119" s="340"/>
      <c r="X119" s="340"/>
      <c r="Y119" s="340"/>
      <c r="Z119" s="340"/>
      <c r="AA119" s="340"/>
    </row>
    <row r="120" spans="1:27" x14ac:dyDescent="0.2">
      <c r="A120" s="340"/>
      <c r="B120" s="340"/>
      <c r="C120" s="340"/>
      <c r="D120" s="340"/>
      <c r="E120" s="340"/>
      <c r="F120" s="340"/>
      <c r="G120" s="340"/>
      <c r="H120" s="340"/>
      <c r="I120" s="340"/>
      <c r="J120" s="340"/>
      <c r="K120" s="340"/>
      <c r="L120" s="340"/>
      <c r="M120" s="340"/>
      <c r="N120" s="340"/>
      <c r="O120" s="340"/>
      <c r="P120" s="340"/>
      <c r="Q120" s="340"/>
      <c r="R120" s="340"/>
      <c r="S120" s="340"/>
      <c r="T120" s="340"/>
      <c r="U120" s="340"/>
      <c r="V120" s="340"/>
      <c r="W120" s="340"/>
      <c r="X120" s="340"/>
      <c r="Y120" s="340"/>
      <c r="Z120" s="340"/>
      <c r="AA120" s="340"/>
    </row>
    <row r="121" spans="1:27" x14ac:dyDescent="0.2">
      <c r="A121" s="14"/>
      <c r="B121" s="43" t="s">
        <v>179</v>
      </c>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x14ac:dyDescent="0.2">
      <c r="A122" s="14" t="s">
        <v>159</v>
      </c>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x14ac:dyDescent="0.2">
      <c r="A123" s="14"/>
      <c r="B123" s="43" t="s">
        <v>121</v>
      </c>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x14ac:dyDescent="0.2">
      <c r="A124" s="14" t="s">
        <v>502</v>
      </c>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1:27" x14ac:dyDescent="0.2">
      <c r="A125" s="14"/>
      <c r="B125" s="43" t="s">
        <v>147</v>
      </c>
      <c r="C125" s="14"/>
      <c r="D125" s="14"/>
      <c r="E125" s="14"/>
      <c r="F125" s="14"/>
      <c r="G125" s="14"/>
      <c r="H125" s="14"/>
      <c r="I125" s="14"/>
      <c r="J125" s="14"/>
      <c r="K125" s="14"/>
      <c r="L125" s="14"/>
      <c r="M125" s="14"/>
      <c r="N125" s="14"/>
    </row>
    <row r="126" spans="1:27" x14ac:dyDescent="0.2">
      <c r="A126" s="14"/>
      <c r="C126" s="14"/>
      <c r="D126" s="14"/>
      <c r="E126" s="14"/>
      <c r="F126" s="14"/>
      <c r="G126" s="14"/>
      <c r="H126" s="52" t="s">
        <v>512</v>
      </c>
      <c r="I126" s="14"/>
      <c r="J126" s="14"/>
      <c r="K126" s="14"/>
      <c r="L126" s="14"/>
      <c r="M126" s="14"/>
      <c r="N126" s="14"/>
    </row>
    <row r="127" spans="1:27" x14ac:dyDescent="0.2">
      <c r="A127" s="14"/>
      <c r="B127" s="52"/>
      <c r="C127" s="14"/>
      <c r="D127" s="14"/>
      <c r="E127" s="14"/>
      <c r="F127" s="14"/>
      <c r="G127" s="14"/>
      <c r="H127" s="24" t="s">
        <v>513</v>
      </c>
      <c r="I127" s="14"/>
      <c r="J127" s="14"/>
      <c r="K127" s="14"/>
      <c r="L127" s="14"/>
      <c r="M127" s="14"/>
      <c r="N127" s="14"/>
    </row>
    <row r="128" spans="1:27" x14ac:dyDescent="0.2">
      <c r="A128" s="14" t="s">
        <v>501</v>
      </c>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1:30" s="1" customFormat="1" ht="4.5" customHeight="1" x14ac:dyDescent="0.2"/>
    <row r="130" spans="1:30" x14ac:dyDescent="0.2">
      <c r="A130" s="1" t="s">
        <v>208</v>
      </c>
      <c r="Y130" s="364" t="s">
        <v>101</v>
      </c>
      <c r="Z130" s="364"/>
      <c r="AA130" s="364"/>
    </row>
    <row r="131" spans="1:30" ht="14.25" customHeight="1" x14ac:dyDescent="0.2">
      <c r="B131" s="1" t="s">
        <v>56</v>
      </c>
      <c r="Y131" s="365"/>
      <c r="Z131" s="365"/>
      <c r="AA131" s="365"/>
    </row>
    <row r="132" spans="1:30" x14ac:dyDescent="0.2">
      <c r="B132" s="1" t="s">
        <v>517</v>
      </c>
      <c r="Y132" s="362" t="str">
        <f>IF(AND(Y111&lt;&gt;"",Y111&gt;=15,OR(B134="✔",P134="✔")),IF(B70="✔",0,10),"")</f>
        <v/>
      </c>
      <c r="Z132" s="363"/>
      <c r="AA132" s="29" t="s">
        <v>0</v>
      </c>
      <c r="AD132" s="3" t="s">
        <v>82</v>
      </c>
    </row>
    <row r="133" spans="1:30" ht="5.0999999999999996" customHeight="1" x14ac:dyDescent="0.2"/>
    <row r="134" spans="1:30" x14ac:dyDescent="0.2">
      <c r="B134" s="93"/>
      <c r="C134" s="1" t="s">
        <v>54</v>
      </c>
      <c r="P134" s="93"/>
      <c r="Q134" s="1" t="s">
        <v>218</v>
      </c>
    </row>
    <row r="135" spans="1:30" ht="13.5" customHeight="1" x14ac:dyDescent="0.2">
      <c r="C135" s="1" t="s">
        <v>55</v>
      </c>
      <c r="Q135" s="340"/>
      <c r="R135" s="340"/>
      <c r="S135" s="340"/>
      <c r="T135" s="340"/>
      <c r="U135" s="340"/>
      <c r="V135" s="340"/>
      <c r="W135" s="340"/>
      <c r="X135" s="340"/>
      <c r="Y135" s="340"/>
      <c r="Z135" s="340"/>
      <c r="AA135" s="340"/>
    </row>
    <row r="136" spans="1:30" ht="2.25" customHeight="1" x14ac:dyDescent="0.2">
      <c r="Q136" s="340"/>
      <c r="R136" s="340"/>
      <c r="S136" s="340"/>
      <c r="T136" s="340"/>
      <c r="U136" s="340"/>
      <c r="V136" s="340"/>
      <c r="W136" s="340"/>
      <c r="X136" s="340"/>
      <c r="Y136" s="340"/>
      <c r="Z136" s="340"/>
      <c r="AA136" s="340"/>
    </row>
    <row r="137" spans="1:30" x14ac:dyDescent="0.2">
      <c r="C137" s="13" t="s">
        <v>49</v>
      </c>
      <c r="Q137" s="13" t="s">
        <v>49</v>
      </c>
    </row>
    <row r="138" spans="1:30" x14ac:dyDescent="0.2">
      <c r="C138" s="350" t="s">
        <v>53</v>
      </c>
      <c r="D138" s="351"/>
      <c r="E138" s="351"/>
      <c r="F138" s="351"/>
      <c r="G138" s="351"/>
      <c r="H138" s="351"/>
      <c r="I138" s="351"/>
      <c r="J138" s="351"/>
      <c r="K138" s="351"/>
      <c r="L138" s="351"/>
      <c r="M138" s="351"/>
      <c r="N138" s="351"/>
      <c r="O138" s="60"/>
      <c r="P138" s="60"/>
      <c r="Q138" s="350" t="s">
        <v>50</v>
      </c>
      <c r="R138" s="350"/>
      <c r="S138" s="350"/>
      <c r="T138" s="350"/>
      <c r="U138" s="350"/>
      <c r="V138" s="350"/>
      <c r="W138" s="350"/>
      <c r="X138" s="350"/>
      <c r="Y138" s="350"/>
      <c r="Z138" s="350"/>
      <c r="AA138" s="350"/>
    </row>
    <row r="139" spans="1:30" ht="1.5" customHeight="1" x14ac:dyDescent="0.2">
      <c r="C139" s="351"/>
      <c r="D139" s="351"/>
      <c r="E139" s="351"/>
      <c r="F139" s="351"/>
      <c r="G139" s="351"/>
      <c r="H139" s="351"/>
      <c r="I139" s="351"/>
      <c r="J139" s="351"/>
      <c r="K139" s="351"/>
      <c r="L139" s="351"/>
      <c r="M139" s="351"/>
      <c r="N139" s="351"/>
      <c r="O139" s="60"/>
      <c r="P139" s="60"/>
      <c r="Q139" s="350"/>
      <c r="R139" s="350"/>
      <c r="S139" s="350"/>
      <c r="T139" s="350"/>
      <c r="U139" s="350"/>
      <c r="V139" s="350"/>
      <c r="W139" s="350"/>
      <c r="X139" s="350"/>
      <c r="Y139" s="350"/>
      <c r="Z139" s="350"/>
      <c r="AA139" s="350"/>
    </row>
    <row r="140" spans="1:30" x14ac:dyDescent="0.2">
      <c r="C140" s="43" t="s">
        <v>117</v>
      </c>
      <c r="D140" s="44"/>
      <c r="E140" s="44"/>
      <c r="F140" s="44"/>
      <c r="G140" s="44"/>
      <c r="H140" s="44"/>
      <c r="I140" s="44"/>
      <c r="J140" s="44"/>
      <c r="K140" s="44"/>
      <c r="L140" s="44"/>
      <c r="M140" s="44"/>
      <c r="N140" s="44"/>
      <c r="Q140" s="43" t="s">
        <v>117</v>
      </c>
      <c r="R140" s="44"/>
      <c r="S140" s="44"/>
      <c r="T140" s="44"/>
      <c r="U140" s="44"/>
      <c r="V140" s="44"/>
      <c r="W140" s="44"/>
      <c r="X140" s="44"/>
      <c r="Y140" s="44"/>
      <c r="Z140" s="44"/>
      <c r="AA140" s="44"/>
    </row>
    <row r="141" spans="1:30" ht="26.1" customHeight="1" x14ac:dyDescent="0.2">
      <c r="C141" s="469" t="s">
        <v>212</v>
      </c>
      <c r="D141" s="469"/>
      <c r="E141" s="469"/>
      <c r="F141" s="469"/>
      <c r="G141" s="469"/>
      <c r="H141" s="469"/>
      <c r="I141" s="469"/>
      <c r="J141" s="469"/>
      <c r="K141" s="469"/>
      <c r="L141" s="469"/>
      <c r="M141" s="469"/>
      <c r="N141" s="469"/>
      <c r="Q141" s="469" t="s">
        <v>212</v>
      </c>
      <c r="R141" s="469"/>
      <c r="S141" s="469"/>
      <c r="T141" s="469"/>
      <c r="U141" s="469"/>
      <c r="V141" s="469"/>
      <c r="W141" s="469"/>
      <c r="X141" s="469"/>
      <c r="Y141" s="469"/>
      <c r="Z141" s="469"/>
      <c r="AA141" s="469"/>
    </row>
    <row r="142" spans="1:30" ht="12.6" customHeight="1" x14ac:dyDescent="0.2">
      <c r="D142" s="35"/>
      <c r="E142" s="35"/>
      <c r="F142" s="35"/>
      <c r="G142" s="35"/>
      <c r="H142" s="35"/>
      <c r="I142" s="35"/>
      <c r="J142" s="35"/>
      <c r="K142" s="35"/>
      <c r="L142" s="35"/>
      <c r="M142" s="35"/>
      <c r="N142" s="35"/>
      <c r="Q142" s="49" t="s">
        <v>222</v>
      </c>
      <c r="R142" s="36"/>
      <c r="S142" s="36"/>
      <c r="T142" s="36"/>
      <c r="U142" s="36"/>
      <c r="V142" s="36"/>
      <c r="W142" s="36"/>
      <c r="X142" s="36"/>
      <c r="Y142" s="36"/>
      <c r="Z142" s="36"/>
      <c r="AA142" s="36"/>
    </row>
    <row r="143" spans="1:30" x14ac:dyDescent="0.2">
      <c r="C143" s="351" t="s">
        <v>83</v>
      </c>
      <c r="D143" s="351"/>
      <c r="E143" s="351"/>
      <c r="F143" s="351"/>
      <c r="G143" s="351"/>
      <c r="H143" s="351"/>
      <c r="I143" s="351"/>
      <c r="J143" s="351"/>
      <c r="K143" s="351"/>
      <c r="L143" s="351"/>
      <c r="M143" s="351"/>
      <c r="N143" s="351"/>
      <c r="O143" s="351"/>
      <c r="P143" s="351"/>
      <c r="Q143" s="351"/>
      <c r="R143" s="351"/>
      <c r="S143" s="351"/>
      <c r="T143" s="351"/>
      <c r="U143" s="351"/>
      <c r="V143" s="351"/>
      <c r="W143" s="351"/>
      <c r="X143" s="351"/>
      <c r="Y143" s="351"/>
      <c r="Z143" s="351"/>
      <c r="AA143" s="36"/>
    </row>
    <row r="144" spans="1:30" ht="12" customHeight="1" x14ac:dyDescent="0.2">
      <c r="C144" s="351"/>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6"/>
    </row>
    <row r="145" spans="1:30" x14ac:dyDescent="0.2">
      <c r="A145" s="1" t="s">
        <v>209</v>
      </c>
      <c r="Y145" s="364" t="s">
        <v>101</v>
      </c>
      <c r="Z145" s="364"/>
      <c r="AA145" s="364"/>
    </row>
    <row r="146" spans="1:30" ht="13.5" customHeight="1" x14ac:dyDescent="0.2">
      <c r="B146" s="1" t="s">
        <v>226</v>
      </c>
      <c r="Y146" s="364"/>
      <c r="Z146" s="364"/>
      <c r="AA146" s="364"/>
    </row>
    <row r="147" spans="1:30" x14ac:dyDescent="0.2">
      <c r="B147" s="101" t="s">
        <v>227</v>
      </c>
      <c r="Y147" s="362" t="str">
        <f>IF(AND(Y111&gt;=15,B151="✔",B153="✔",B155="✔",B157="✔"),10,IF(AND(Y111&gt;=15,B151="✔",B153="✔",B159="✔"),10,IF(AND(B153="✔",B161="✔",B151=""),10,"")))</f>
        <v/>
      </c>
      <c r="Z147" s="363"/>
      <c r="AA147" s="29" t="s">
        <v>0</v>
      </c>
    </row>
    <row r="148" spans="1:30" x14ac:dyDescent="0.2">
      <c r="B148" s="101" t="s">
        <v>228</v>
      </c>
      <c r="Y148" s="38"/>
      <c r="Z148" s="38"/>
      <c r="AA148" s="102"/>
    </row>
    <row r="149" spans="1:30" x14ac:dyDescent="0.2">
      <c r="B149" s="101" t="s">
        <v>229</v>
      </c>
      <c r="Y149" s="38"/>
      <c r="Z149" s="38"/>
      <c r="AA149" s="102"/>
    </row>
    <row r="150" spans="1:30" ht="5.0999999999999996" customHeight="1" x14ac:dyDescent="0.2"/>
    <row r="151" spans="1:30" x14ac:dyDescent="0.2">
      <c r="B151" s="93"/>
      <c r="C151" s="1" t="s">
        <v>520</v>
      </c>
      <c r="AD151" s="3" t="s">
        <v>82</v>
      </c>
    </row>
    <row r="152" spans="1:30" ht="7.05" customHeight="1" x14ac:dyDescent="0.2"/>
    <row r="153" spans="1:30" x14ac:dyDescent="0.2">
      <c r="B153" s="93"/>
      <c r="C153" s="1" t="s">
        <v>521</v>
      </c>
    </row>
    <row r="154" spans="1:30" x14ac:dyDescent="0.2">
      <c r="C154" s="13" t="s">
        <v>202</v>
      </c>
    </row>
    <row r="155" spans="1:30" x14ac:dyDescent="0.2">
      <c r="B155" s="93"/>
      <c r="C155" s="1" t="s">
        <v>522</v>
      </c>
    </row>
    <row r="156" spans="1:30" x14ac:dyDescent="0.2">
      <c r="C156" s="13" t="s">
        <v>148</v>
      </c>
    </row>
    <row r="157" spans="1:30" x14ac:dyDescent="0.2">
      <c r="B157" s="93"/>
      <c r="C157" s="1" t="s">
        <v>523</v>
      </c>
    </row>
    <row r="158" spans="1:30" ht="7.05" customHeight="1" x14ac:dyDescent="0.2"/>
    <row r="159" spans="1:30" x14ac:dyDescent="0.2">
      <c r="B159" s="93"/>
      <c r="C159" s="1" t="s">
        <v>524</v>
      </c>
    </row>
    <row r="160" spans="1:30" ht="6" customHeight="1" x14ac:dyDescent="0.2"/>
    <row r="161" spans="1:28" x14ac:dyDescent="0.2">
      <c r="B161" s="93"/>
      <c r="C161" s="1" t="s">
        <v>525</v>
      </c>
    </row>
    <row r="162" spans="1:28" x14ac:dyDescent="0.2">
      <c r="B162" s="468" t="s">
        <v>162</v>
      </c>
      <c r="C162" s="468"/>
      <c r="D162" s="468"/>
      <c r="E162" s="468"/>
      <c r="F162" s="468"/>
      <c r="G162" s="468"/>
      <c r="H162" s="366" t="s">
        <v>166</v>
      </c>
      <c r="I162" s="366"/>
      <c r="J162" s="366"/>
      <c r="K162" s="366"/>
      <c r="L162" s="366"/>
      <c r="M162" s="366"/>
      <c r="N162" s="366"/>
      <c r="O162" s="371"/>
      <c r="P162" s="371"/>
      <c r="Q162" s="371"/>
      <c r="R162" s="371"/>
      <c r="S162" s="371"/>
      <c r="T162" s="371"/>
      <c r="U162" s="371"/>
      <c r="V162" s="371"/>
      <c r="W162" s="371"/>
      <c r="X162" s="371"/>
      <c r="Y162" s="371"/>
      <c r="Z162" s="371"/>
      <c r="AB162" s="4" t="str">
        <f>IF(AND(O162="",Y147=10),"→申請者の申請時住所の小学校区を記載してください。","")</f>
        <v/>
      </c>
    </row>
    <row r="163" spans="1:28" x14ac:dyDescent="0.2">
      <c r="B163" s="468"/>
      <c r="C163" s="468"/>
      <c r="D163" s="468"/>
      <c r="E163" s="468"/>
      <c r="F163" s="468"/>
      <c r="G163" s="468"/>
      <c r="H163" s="366" t="s">
        <v>163</v>
      </c>
      <c r="I163" s="366"/>
      <c r="J163" s="366"/>
      <c r="K163" s="366"/>
      <c r="L163" s="366"/>
      <c r="M163" s="366"/>
      <c r="N163" s="366"/>
      <c r="O163" s="371"/>
      <c r="P163" s="371"/>
      <c r="Q163" s="371"/>
      <c r="R163" s="371"/>
      <c r="S163" s="371"/>
      <c r="T163" s="371"/>
      <c r="U163" s="371"/>
      <c r="V163" s="371"/>
      <c r="W163" s="371"/>
      <c r="X163" s="371"/>
      <c r="Y163" s="371"/>
      <c r="Z163" s="371"/>
      <c r="AB163" s="4" t="str">
        <f>IF(AND(O163="",Y147=10),"→申請者の住宅建設地の小学校区を記載してください。","")</f>
        <v/>
      </c>
    </row>
    <row r="164" spans="1:28" x14ac:dyDescent="0.2">
      <c r="B164" s="372" t="s">
        <v>220</v>
      </c>
      <c r="C164" s="372"/>
      <c r="D164" s="372"/>
      <c r="E164" s="372"/>
      <c r="F164" s="372"/>
      <c r="G164" s="372"/>
      <c r="H164" s="344" t="s">
        <v>164</v>
      </c>
      <c r="I164" s="366"/>
      <c r="J164" s="366"/>
      <c r="K164" s="366"/>
      <c r="L164" s="366"/>
      <c r="M164" s="366"/>
      <c r="N164" s="366"/>
      <c r="O164" s="371"/>
      <c r="P164" s="371"/>
      <c r="Q164" s="371"/>
      <c r="R164" s="371"/>
      <c r="S164" s="371"/>
      <c r="T164" s="371"/>
      <c r="U164" s="371"/>
      <c r="V164" s="371"/>
      <c r="W164" s="371"/>
      <c r="X164" s="371"/>
      <c r="Y164" s="371"/>
      <c r="Z164" s="371"/>
      <c r="AB164" s="4" t="str">
        <f>IF(AND(O164="",Y147=10),"→同居、近居対象の親族世帯の住所を記載してください。","")</f>
        <v/>
      </c>
    </row>
    <row r="165" spans="1:28" x14ac:dyDescent="0.2">
      <c r="B165" s="372"/>
      <c r="C165" s="372"/>
      <c r="D165" s="372"/>
      <c r="E165" s="372"/>
      <c r="F165" s="372"/>
      <c r="G165" s="372"/>
      <c r="H165" s="344" t="s">
        <v>165</v>
      </c>
      <c r="I165" s="366"/>
      <c r="J165" s="366"/>
      <c r="K165" s="366"/>
      <c r="L165" s="366"/>
      <c r="M165" s="366"/>
      <c r="N165" s="366"/>
      <c r="O165" s="371"/>
      <c r="P165" s="371"/>
      <c r="Q165" s="371"/>
      <c r="R165" s="371"/>
      <c r="S165" s="371"/>
      <c r="T165" s="371"/>
      <c r="U165" s="371"/>
      <c r="V165" s="371"/>
      <c r="W165" s="371"/>
      <c r="X165" s="371"/>
      <c r="Y165" s="371"/>
      <c r="Z165" s="371"/>
      <c r="AB165" s="4" t="str">
        <f>IF(AND(O165="",Y147=10),"→同居、近居対象の親族世帯の小学校区を記載してください。","")</f>
        <v/>
      </c>
    </row>
    <row r="166" spans="1:28" x14ac:dyDescent="0.2">
      <c r="B166" s="372"/>
      <c r="C166" s="372"/>
      <c r="D166" s="372"/>
      <c r="E166" s="372"/>
      <c r="F166" s="372"/>
      <c r="G166" s="372"/>
      <c r="H166" s="366" t="s">
        <v>224</v>
      </c>
      <c r="I166" s="366"/>
      <c r="J166" s="366"/>
      <c r="K166" s="366"/>
      <c r="L166" s="366"/>
      <c r="M166" s="366"/>
      <c r="N166" s="366"/>
      <c r="O166" s="371"/>
      <c r="P166" s="371"/>
      <c r="Q166" s="371"/>
      <c r="R166" s="371"/>
      <c r="S166" s="371"/>
      <c r="T166" s="371"/>
      <c r="U166" s="371"/>
      <c r="V166" s="371"/>
      <c r="W166" s="371"/>
      <c r="X166" s="371"/>
      <c r="Y166" s="371"/>
      <c r="Z166" s="371"/>
      <c r="AB166" s="4" t="str">
        <f>IF(AND(O166="",Y147=10),"→選択してください。","")</f>
        <v/>
      </c>
    </row>
    <row r="167" spans="1:28" x14ac:dyDescent="0.2">
      <c r="C167" s="41" t="s">
        <v>117</v>
      </c>
      <c r="D167" s="34"/>
      <c r="E167" s="34"/>
      <c r="F167" s="34"/>
      <c r="G167" s="34"/>
      <c r="H167" s="34"/>
      <c r="I167" s="34"/>
      <c r="J167" s="34"/>
      <c r="K167" s="34"/>
      <c r="L167" s="34"/>
      <c r="M167" s="34"/>
      <c r="N167" s="34"/>
    </row>
    <row r="168" spans="1:28" ht="13.5" customHeight="1" x14ac:dyDescent="0.2">
      <c r="C168" s="45" t="s">
        <v>93</v>
      </c>
      <c r="D168" s="36"/>
      <c r="E168" s="36"/>
      <c r="F168" s="36"/>
      <c r="G168" s="36"/>
      <c r="H168" s="36"/>
      <c r="I168" s="36"/>
      <c r="J168" s="36"/>
      <c r="K168" s="36"/>
      <c r="L168" s="36"/>
      <c r="M168" s="36"/>
      <c r="N168" s="36"/>
    </row>
    <row r="169" spans="1:28" ht="13.5" customHeight="1" x14ac:dyDescent="0.2">
      <c r="C169" s="45" t="s">
        <v>223</v>
      </c>
      <c r="D169" s="36"/>
      <c r="E169" s="36"/>
      <c r="F169" s="36"/>
      <c r="G169" s="36"/>
      <c r="H169" s="36"/>
      <c r="I169" s="36"/>
      <c r="J169" s="36"/>
      <c r="K169" s="36"/>
      <c r="L169" s="36"/>
      <c r="M169" s="36"/>
      <c r="N169" s="36"/>
    </row>
    <row r="170" spans="1:28" x14ac:dyDescent="0.2">
      <c r="AA170" s="5" t="s">
        <v>77</v>
      </c>
    </row>
    <row r="171" spans="1:28" x14ac:dyDescent="0.2">
      <c r="A171" s="1" t="s">
        <v>210</v>
      </c>
      <c r="Y171" s="364" t="s">
        <v>101</v>
      </c>
      <c r="Z171" s="364"/>
      <c r="AA171" s="364"/>
    </row>
    <row r="172" spans="1:28" ht="12.75" customHeight="1" x14ac:dyDescent="0.2">
      <c r="B172" s="348" t="s">
        <v>180</v>
      </c>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400"/>
      <c r="Y172" s="364"/>
      <c r="Z172" s="364"/>
      <c r="AA172" s="364"/>
    </row>
    <row r="173" spans="1:28" x14ac:dyDescent="0.2">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400"/>
      <c r="Y173" s="362" t="str">
        <f>IF(AND(Y111&lt;&gt;"",Y111&gt;=15,B177="✔",I37&lt;&gt;"その他",SUM(F182,F187,F194,F202,F210,F220,F227)&gt;=4),20,"")</f>
        <v/>
      </c>
      <c r="Z173" s="363"/>
      <c r="AA173" s="29" t="s">
        <v>0</v>
      </c>
    </row>
    <row r="174" spans="1:28" x14ac:dyDescent="0.2">
      <c r="B174" s="37"/>
      <c r="C174" s="373" t="s">
        <v>192</v>
      </c>
      <c r="D174" s="373"/>
      <c r="E174" s="373"/>
      <c r="F174" s="373"/>
      <c r="G174" s="373"/>
      <c r="H174" s="373"/>
      <c r="I174" s="373"/>
      <c r="J174" s="373"/>
      <c r="K174" s="373"/>
      <c r="L174" s="373"/>
      <c r="M174" s="373"/>
      <c r="N174" s="373"/>
      <c r="O174" s="373"/>
      <c r="P174" s="373"/>
      <c r="Q174" s="373"/>
      <c r="R174" s="373"/>
      <c r="S174" s="373"/>
      <c r="T174" s="373"/>
      <c r="U174" s="373"/>
      <c r="V174" s="373"/>
      <c r="W174" s="373"/>
      <c r="X174" s="373"/>
      <c r="Y174" s="373"/>
      <c r="Z174" s="373"/>
      <c r="AA174" s="373"/>
    </row>
    <row r="175" spans="1:28" ht="13.5" customHeight="1" x14ac:dyDescent="0.2">
      <c r="B175" s="37"/>
      <c r="C175" s="373"/>
      <c r="D175" s="373"/>
      <c r="E175" s="373"/>
      <c r="F175" s="373"/>
      <c r="G175" s="373"/>
      <c r="H175" s="373"/>
      <c r="I175" s="373"/>
      <c r="J175" s="373"/>
      <c r="K175" s="373"/>
      <c r="L175" s="373"/>
      <c r="M175" s="373"/>
      <c r="N175" s="373"/>
      <c r="O175" s="373"/>
      <c r="P175" s="373"/>
      <c r="Q175" s="373"/>
      <c r="R175" s="373"/>
      <c r="S175" s="373"/>
      <c r="T175" s="373"/>
      <c r="U175" s="373"/>
      <c r="V175" s="373"/>
      <c r="W175" s="373"/>
      <c r="X175" s="373"/>
      <c r="Y175" s="373"/>
      <c r="Z175" s="373"/>
      <c r="AA175" s="373"/>
    </row>
    <row r="176" spans="1:28" ht="7.05" customHeight="1" x14ac:dyDescent="0.2"/>
    <row r="177" spans="2:30" x14ac:dyDescent="0.2">
      <c r="B177" s="93"/>
      <c r="C177" s="1" t="s">
        <v>21</v>
      </c>
      <c r="H177" s="1" t="s">
        <v>204</v>
      </c>
      <c r="AD177" s="3" t="s">
        <v>82</v>
      </c>
    </row>
    <row r="178" spans="2:30" x14ac:dyDescent="0.2">
      <c r="B178" s="22" t="str">
        <f>IF(AND(I37="その他",B177="✔"),"工法が異なります","")</f>
        <v/>
      </c>
      <c r="H178" s="1" t="s">
        <v>203</v>
      </c>
    </row>
    <row r="179" spans="2:30" ht="7.05" customHeight="1" x14ac:dyDescent="0.2"/>
    <row r="180" spans="2:30" ht="13.5" customHeight="1" x14ac:dyDescent="0.2">
      <c r="B180" s="93"/>
      <c r="C180" s="1" t="s">
        <v>64</v>
      </c>
      <c r="H180" s="348" t="s">
        <v>185</v>
      </c>
      <c r="I180" s="348"/>
      <c r="J180" s="348"/>
      <c r="K180" s="348"/>
      <c r="L180" s="348"/>
      <c r="M180" s="348"/>
      <c r="N180" s="348"/>
      <c r="O180" s="348"/>
      <c r="P180" s="348"/>
      <c r="Q180" s="348"/>
      <c r="R180" s="348"/>
      <c r="S180" s="348"/>
      <c r="T180" s="348"/>
      <c r="U180" s="348"/>
      <c r="V180" s="348"/>
      <c r="W180" s="348"/>
      <c r="X180" s="348"/>
      <c r="Y180" s="348"/>
      <c r="Z180" s="348"/>
      <c r="AA180" s="348"/>
      <c r="AC180" s="3">
        <f>IF(AND(B93="",B97="✔",B180="✔"),4,0)</f>
        <v>0</v>
      </c>
    </row>
    <row r="181" spans="2:30" x14ac:dyDescent="0.2">
      <c r="C181" s="1" t="s">
        <v>97</v>
      </c>
      <c r="H181" s="348"/>
      <c r="I181" s="348"/>
      <c r="J181" s="348"/>
      <c r="K181" s="348"/>
      <c r="L181" s="348"/>
      <c r="M181" s="348"/>
      <c r="N181" s="348"/>
      <c r="O181" s="348"/>
      <c r="P181" s="348"/>
      <c r="Q181" s="348"/>
      <c r="R181" s="348"/>
      <c r="S181" s="348"/>
      <c r="T181" s="348"/>
      <c r="U181" s="348"/>
      <c r="V181" s="348"/>
      <c r="W181" s="348"/>
      <c r="X181" s="348"/>
      <c r="Y181" s="348"/>
      <c r="Z181" s="348"/>
      <c r="AA181" s="348"/>
    </row>
    <row r="182" spans="2:30" x14ac:dyDescent="0.2">
      <c r="C182" s="378" t="s">
        <v>170</v>
      </c>
      <c r="D182" s="379"/>
      <c r="E182" s="380"/>
      <c r="F182" s="50" t="str">
        <f>IF(AC180=0,"",AC180)</f>
        <v/>
      </c>
      <c r="H182" s="348"/>
      <c r="I182" s="348"/>
      <c r="J182" s="348"/>
      <c r="K182" s="348"/>
      <c r="L182" s="348"/>
      <c r="M182" s="348"/>
      <c r="N182" s="348"/>
      <c r="O182" s="348"/>
      <c r="P182" s="348"/>
      <c r="Q182" s="348"/>
      <c r="R182" s="348"/>
      <c r="S182" s="348"/>
      <c r="T182" s="348"/>
      <c r="U182" s="348"/>
      <c r="V182" s="348"/>
      <c r="W182" s="348"/>
      <c r="X182" s="348"/>
      <c r="Y182" s="348"/>
      <c r="Z182" s="348"/>
      <c r="AA182" s="348"/>
    </row>
    <row r="183" spans="2:30" x14ac:dyDescent="0.2">
      <c r="C183" s="377" t="s">
        <v>190</v>
      </c>
      <c r="D183" s="377"/>
      <c r="E183" s="377"/>
      <c r="F183" s="377"/>
      <c r="G183" s="377"/>
      <c r="H183" s="377"/>
      <c r="I183" s="377"/>
      <c r="J183" s="377"/>
      <c r="K183" s="377"/>
      <c r="L183" s="377"/>
      <c r="M183" s="377"/>
      <c r="N183" s="377"/>
      <c r="O183" s="377"/>
      <c r="P183" s="377"/>
      <c r="Q183" s="377"/>
      <c r="R183" s="377"/>
      <c r="S183" s="377"/>
      <c r="T183" s="377"/>
      <c r="U183" s="377"/>
      <c r="V183" s="377"/>
      <c r="W183" s="377"/>
      <c r="X183" s="377"/>
      <c r="Y183" s="377"/>
      <c r="Z183" s="377"/>
      <c r="AA183" s="377"/>
    </row>
    <row r="184" spans="2:30" x14ac:dyDescent="0.2">
      <c r="H184" s="37"/>
      <c r="I184" s="37"/>
      <c r="J184" s="37"/>
      <c r="K184" s="37"/>
      <c r="L184" s="37"/>
      <c r="M184" s="37"/>
      <c r="N184" s="37"/>
      <c r="O184" s="37"/>
      <c r="P184" s="37"/>
      <c r="Q184" s="37"/>
      <c r="R184" s="37"/>
      <c r="S184" s="37"/>
      <c r="T184" s="37"/>
      <c r="U184" s="37"/>
      <c r="V184" s="37"/>
      <c r="W184" s="37"/>
      <c r="X184" s="37"/>
      <c r="Y184" s="37"/>
      <c r="Z184" s="37"/>
      <c r="AA184" s="37"/>
    </row>
    <row r="185" spans="2:30" x14ac:dyDescent="0.2">
      <c r="B185" s="93"/>
      <c r="C185" s="1" t="s">
        <v>65</v>
      </c>
      <c r="H185" s="1" t="s">
        <v>187</v>
      </c>
      <c r="AC185" s="3">
        <f>IF(AND(B185="✔",N189&gt;=40,OR(N188="ささら子下見板",N188="押縁下見板",N188="南京下見板")),2,0)</f>
        <v>0</v>
      </c>
    </row>
    <row r="186" spans="2:30" x14ac:dyDescent="0.2">
      <c r="C186" s="1" t="s">
        <v>98</v>
      </c>
      <c r="H186" s="341" t="s">
        <v>68</v>
      </c>
      <c r="I186" s="341"/>
      <c r="J186" s="341"/>
      <c r="K186" s="341"/>
      <c r="L186" s="341"/>
      <c r="M186" s="341"/>
      <c r="N186" s="341"/>
      <c r="O186" s="341"/>
      <c r="P186" s="341" t="s">
        <v>62</v>
      </c>
      <c r="Q186" s="341"/>
      <c r="R186" s="341"/>
      <c r="S186" s="341"/>
      <c r="T186" s="341"/>
      <c r="U186" s="341"/>
      <c r="V186" s="341"/>
      <c r="W186" s="341"/>
      <c r="X186" s="341"/>
      <c r="Y186" s="341"/>
      <c r="Z186" s="341"/>
      <c r="AA186" s="341"/>
    </row>
    <row r="187" spans="2:30" x14ac:dyDescent="0.2">
      <c r="C187" s="342" t="s">
        <v>170</v>
      </c>
      <c r="D187" s="343"/>
      <c r="E187" s="344"/>
      <c r="F187" s="50" t="str">
        <f>IF(AC185=0,"",AC185)</f>
        <v/>
      </c>
      <c r="H187" s="341" t="s">
        <v>69</v>
      </c>
      <c r="I187" s="341"/>
      <c r="J187" s="341"/>
      <c r="K187" s="341"/>
      <c r="L187" s="341"/>
      <c r="M187" s="341"/>
      <c r="N187" s="341"/>
      <c r="O187" s="341"/>
      <c r="P187" s="341" t="s">
        <v>63</v>
      </c>
      <c r="Q187" s="341"/>
      <c r="R187" s="341"/>
      <c r="S187" s="341"/>
      <c r="T187" s="341"/>
      <c r="U187" s="341"/>
      <c r="V187" s="341"/>
      <c r="W187" s="341"/>
      <c r="X187" s="341"/>
      <c r="Y187" s="341"/>
      <c r="Z187" s="341"/>
      <c r="AA187" s="341"/>
    </row>
    <row r="188" spans="2:30" x14ac:dyDescent="0.2">
      <c r="H188" s="1" t="s">
        <v>111</v>
      </c>
      <c r="N188" s="352"/>
      <c r="O188" s="353"/>
      <c r="P188" s="353"/>
      <c r="Q188" s="353"/>
      <c r="R188" s="353"/>
      <c r="S188" s="354"/>
      <c r="AB188" s="4" t="str">
        <f>IF(AND(B185="✔",N188=""),"←リストから選択してください（ささら子下見板、押縁下見板、南京下見板）","")</f>
        <v/>
      </c>
    </row>
    <row r="189" spans="2:30" x14ac:dyDescent="0.2">
      <c r="H189" s="13" t="s">
        <v>112</v>
      </c>
      <c r="N189" s="367"/>
      <c r="O189" s="368"/>
      <c r="P189" s="369"/>
      <c r="AB189" s="4" t="str">
        <f>IF(AND(B185="✔",N189=""),"←施工面積を入力してください。","")</f>
        <v/>
      </c>
    </row>
    <row r="190" spans="2:30" x14ac:dyDescent="0.2">
      <c r="C190" s="370" t="s">
        <v>191</v>
      </c>
      <c r="D190" s="370"/>
      <c r="E190" s="370"/>
      <c r="F190" s="370"/>
      <c r="G190" s="370"/>
      <c r="H190" s="370"/>
      <c r="I190" s="370"/>
      <c r="J190" s="370"/>
      <c r="K190" s="370"/>
      <c r="L190" s="370"/>
      <c r="M190" s="370"/>
      <c r="N190" s="370"/>
      <c r="O190" s="370"/>
      <c r="P190" s="370"/>
      <c r="Q190" s="370"/>
      <c r="R190" s="370"/>
      <c r="S190" s="370"/>
      <c r="T190" s="370"/>
      <c r="U190" s="370"/>
      <c r="V190" s="370"/>
      <c r="W190" s="370"/>
      <c r="X190" s="370"/>
      <c r="Y190" s="370"/>
      <c r="Z190" s="370"/>
      <c r="AA190" s="370"/>
    </row>
    <row r="191" spans="2:30" ht="8.1" customHeight="1" x14ac:dyDescent="0.2"/>
    <row r="192" spans="2:30" x14ac:dyDescent="0.2">
      <c r="B192" s="93"/>
      <c r="C192" s="1" t="s">
        <v>66</v>
      </c>
      <c r="H192" s="54" t="s">
        <v>198</v>
      </c>
      <c r="AC192" s="3">
        <f>IF(AND(B192="✔",N196&gt;=40),2,IF(AND(B192="✔",N196+N197&gt;=40),1,0))</f>
        <v>0</v>
      </c>
    </row>
    <row r="193" spans="2:29" x14ac:dyDescent="0.2">
      <c r="C193" s="1" t="s">
        <v>167</v>
      </c>
      <c r="H193" s="54" t="s">
        <v>199</v>
      </c>
    </row>
    <row r="194" spans="2:29" x14ac:dyDescent="0.2">
      <c r="C194" s="378" t="s">
        <v>170</v>
      </c>
      <c r="D194" s="379"/>
      <c r="E194" s="380"/>
      <c r="F194" s="50" t="str">
        <f>IF(AC192=0,"",AC192)</f>
        <v/>
      </c>
      <c r="H194" s="1" t="s">
        <v>200</v>
      </c>
    </row>
    <row r="195" spans="2:29" x14ac:dyDescent="0.2">
      <c r="H195" s="23" t="s">
        <v>193</v>
      </c>
      <c r="AB195" s="22" t="str">
        <f>IF(AND(N196&gt;0,R196=""),"←こて塗り仕上げの材料を選択してください。",IF(AND(R196="その他のこて塗り",V196=""),"←こて塗りの材料を記載してください。",""))</f>
        <v/>
      </c>
    </row>
    <row r="196" spans="2:29" x14ac:dyDescent="0.2">
      <c r="B196" s="13" t="s">
        <v>189</v>
      </c>
      <c r="N196" s="352"/>
      <c r="O196" s="353"/>
      <c r="P196" s="354"/>
      <c r="Q196" s="1" t="s">
        <v>169</v>
      </c>
      <c r="R196" s="399" t="s">
        <v>498</v>
      </c>
      <c r="S196" s="399"/>
      <c r="T196" s="399"/>
      <c r="U196" s="399"/>
      <c r="V196" s="389"/>
      <c r="W196" s="381"/>
      <c r="X196" s="381"/>
      <c r="Y196" s="381"/>
      <c r="Z196" s="381"/>
      <c r="AB196" s="4" t="str">
        <f>IF(AND(B192="✔",N196=""),"←こて塗り（珪藻土及びじゅらく以外）の面積を入力してください。","")</f>
        <v/>
      </c>
      <c r="AC196" s="22"/>
    </row>
    <row r="197" spans="2:29" x14ac:dyDescent="0.2">
      <c r="B197" s="13" t="s">
        <v>168</v>
      </c>
      <c r="N197" s="352"/>
      <c r="O197" s="353"/>
      <c r="P197" s="354"/>
      <c r="Q197" s="1" t="s">
        <v>169</v>
      </c>
      <c r="R197" s="399" t="s">
        <v>498</v>
      </c>
      <c r="S197" s="399"/>
      <c r="T197" s="399"/>
      <c r="U197" s="399"/>
      <c r="V197" s="389"/>
      <c r="W197" s="381"/>
      <c r="X197" s="381"/>
      <c r="Y197" s="381"/>
      <c r="Z197" s="381"/>
      <c r="AB197" s="4" t="str">
        <f>IF(AND(B192="✔",N197=""),"←こて塗り（珪藻土及びじゅらく）の面積を入力してください。","")</f>
        <v/>
      </c>
      <c r="AC197" s="22"/>
    </row>
    <row r="198" spans="2:29" x14ac:dyDescent="0.2">
      <c r="C198" s="42" t="s">
        <v>194</v>
      </c>
      <c r="AB198" s="22" t="str">
        <f>IF(AND(N197&gt;0,R197=""),"こて塗り仕上げの材料を選択してください。",IF(AND(R197="その他のこて塗り",V197=""),"←こて塗りの材料を記載してください。",""))</f>
        <v/>
      </c>
    </row>
    <row r="199" spans="2:29" ht="8.1" customHeight="1" x14ac:dyDescent="0.2"/>
    <row r="200" spans="2:29" x14ac:dyDescent="0.2">
      <c r="B200" s="93"/>
      <c r="C200" s="1" t="s">
        <v>94</v>
      </c>
      <c r="H200" s="348" t="s">
        <v>95</v>
      </c>
      <c r="I200" s="348"/>
      <c r="J200" s="348"/>
      <c r="K200" s="348"/>
      <c r="L200" s="348"/>
      <c r="M200" s="348"/>
      <c r="N200" s="348"/>
      <c r="O200" s="348"/>
      <c r="P200" s="348"/>
      <c r="Q200" s="348"/>
      <c r="R200" s="348"/>
      <c r="S200" s="348"/>
      <c r="T200" s="348"/>
      <c r="U200" s="348"/>
      <c r="V200" s="348"/>
      <c r="W200" s="348"/>
      <c r="X200" s="348"/>
      <c r="Y200" s="348"/>
      <c r="Z200" s="348"/>
      <c r="AA200" s="348"/>
      <c r="AC200" s="3">
        <f>IF(AND(B200="✔",OR(N203="和瓦",N203="平板瓦",N203="S瓦")),2,0)</f>
        <v>0</v>
      </c>
    </row>
    <row r="201" spans="2:29" x14ac:dyDescent="0.2">
      <c r="C201" s="1" t="s">
        <v>98</v>
      </c>
      <c r="H201" s="348"/>
      <c r="I201" s="348"/>
      <c r="J201" s="348"/>
      <c r="K201" s="348"/>
      <c r="L201" s="348"/>
      <c r="M201" s="348"/>
      <c r="N201" s="348"/>
      <c r="O201" s="348"/>
      <c r="P201" s="348"/>
      <c r="Q201" s="348"/>
      <c r="R201" s="348"/>
      <c r="S201" s="348"/>
      <c r="T201" s="348"/>
      <c r="U201" s="348"/>
      <c r="V201" s="348"/>
      <c r="W201" s="348"/>
      <c r="X201" s="348"/>
      <c r="Y201" s="348"/>
      <c r="Z201" s="348"/>
      <c r="AA201" s="348"/>
    </row>
    <row r="202" spans="2:29" x14ac:dyDescent="0.2">
      <c r="C202" s="378" t="s">
        <v>170</v>
      </c>
      <c r="D202" s="379"/>
      <c r="E202" s="380"/>
      <c r="F202" s="50" t="str">
        <f>IF(AC200=0,"",AC200)</f>
        <v/>
      </c>
      <c r="H202" s="22" t="s">
        <v>100</v>
      </c>
      <c r="I202" s="37"/>
      <c r="J202" s="37"/>
      <c r="K202" s="37"/>
      <c r="L202" s="37"/>
      <c r="M202" s="37"/>
      <c r="N202" s="37"/>
      <c r="O202" s="37"/>
      <c r="P202" s="37"/>
      <c r="Q202" s="37"/>
      <c r="R202" s="37"/>
      <c r="S202" s="37"/>
      <c r="T202" s="37"/>
      <c r="U202" s="37"/>
      <c r="V202" s="37"/>
      <c r="W202" s="37"/>
      <c r="X202" s="37"/>
      <c r="Y202" s="37"/>
      <c r="Z202" s="37"/>
      <c r="AA202" s="37"/>
    </row>
    <row r="203" spans="2:29" x14ac:dyDescent="0.2">
      <c r="I203" s="381" t="s">
        <v>105</v>
      </c>
      <c r="J203" s="381"/>
      <c r="K203" s="381"/>
      <c r="L203" s="381"/>
      <c r="M203" s="37"/>
      <c r="N203" s="396" t="s">
        <v>498</v>
      </c>
      <c r="O203" s="397"/>
      <c r="P203" s="398"/>
      <c r="Q203" s="37"/>
      <c r="R203" s="37"/>
      <c r="S203" s="37"/>
      <c r="T203" s="37"/>
      <c r="U203" s="37"/>
      <c r="V203" s="37"/>
      <c r="W203" s="37"/>
      <c r="X203" s="37"/>
      <c r="Y203" s="37"/>
      <c r="Z203" s="37"/>
      <c r="AA203" s="37"/>
      <c r="AB203" s="4" t="str">
        <f>IF(AND(B200="✔",N203=""),"←リストから選択してください（和瓦、平板瓦、S瓦）","")</f>
        <v/>
      </c>
    </row>
    <row r="204" spans="2:29" x14ac:dyDescent="0.2">
      <c r="C204" s="373" t="s">
        <v>213</v>
      </c>
      <c r="D204" s="373"/>
      <c r="E204" s="373"/>
      <c r="F204" s="373"/>
      <c r="G204" s="373"/>
      <c r="H204" s="373"/>
      <c r="I204" s="373"/>
      <c r="J204" s="373"/>
      <c r="K204" s="373"/>
      <c r="L204" s="373"/>
      <c r="M204" s="373"/>
      <c r="N204" s="373"/>
      <c r="O204" s="373"/>
      <c r="P204" s="373"/>
      <c r="Q204" s="373"/>
      <c r="R204" s="373"/>
      <c r="S204" s="373"/>
      <c r="T204" s="373"/>
      <c r="U204" s="373"/>
      <c r="V204" s="373"/>
      <c r="W204" s="373"/>
      <c r="X204" s="373"/>
      <c r="Y204" s="373"/>
      <c r="Z204" s="373"/>
      <c r="AA204" s="373"/>
    </row>
    <row r="205" spans="2:29" x14ac:dyDescent="0.2">
      <c r="C205" s="373"/>
      <c r="D205" s="373"/>
      <c r="E205" s="373"/>
      <c r="F205" s="373"/>
      <c r="G205" s="373"/>
      <c r="H205" s="373"/>
      <c r="I205" s="373"/>
      <c r="J205" s="373"/>
      <c r="K205" s="373"/>
      <c r="L205" s="373"/>
      <c r="M205" s="373"/>
      <c r="N205" s="373"/>
      <c r="O205" s="373"/>
      <c r="P205" s="373"/>
      <c r="Q205" s="373"/>
      <c r="R205" s="373"/>
      <c r="S205" s="373"/>
      <c r="T205" s="373"/>
      <c r="U205" s="373"/>
      <c r="V205" s="373"/>
      <c r="W205" s="373"/>
      <c r="X205" s="373"/>
      <c r="Y205" s="373"/>
      <c r="Z205" s="373"/>
      <c r="AA205" s="373"/>
    </row>
    <row r="206" spans="2:29" x14ac:dyDescent="0.2">
      <c r="C206" s="373"/>
      <c r="D206" s="373"/>
      <c r="E206" s="373"/>
      <c r="F206" s="373"/>
      <c r="G206" s="373"/>
      <c r="H206" s="373"/>
      <c r="I206" s="373"/>
      <c r="J206" s="373"/>
      <c r="K206" s="373"/>
      <c r="L206" s="373"/>
      <c r="M206" s="373"/>
      <c r="N206" s="373"/>
      <c r="O206" s="373"/>
      <c r="P206" s="373"/>
      <c r="Q206" s="373"/>
      <c r="R206" s="373"/>
      <c r="S206" s="373"/>
      <c r="T206" s="373"/>
      <c r="U206" s="373"/>
      <c r="V206" s="373"/>
      <c r="W206" s="373"/>
      <c r="X206" s="373"/>
      <c r="Y206" s="373"/>
      <c r="Z206" s="373"/>
      <c r="AA206" s="373"/>
    </row>
    <row r="207" spans="2:29" ht="6" customHeight="1" x14ac:dyDescent="0.2"/>
    <row r="208" spans="2:29" x14ac:dyDescent="0.2">
      <c r="B208" s="93"/>
      <c r="C208" s="1" t="s">
        <v>67</v>
      </c>
      <c r="H208" s="348" t="s">
        <v>188</v>
      </c>
      <c r="I208" s="348"/>
      <c r="J208" s="348"/>
      <c r="K208" s="348"/>
      <c r="L208" s="348"/>
      <c r="M208" s="348"/>
      <c r="N208" s="348"/>
      <c r="O208" s="348"/>
      <c r="P208" s="348"/>
      <c r="Q208" s="348"/>
      <c r="R208" s="348"/>
      <c r="S208" s="348"/>
      <c r="T208" s="348"/>
      <c r="U208" s="348"/>
      <c r="V208" s="348"/>
      <c r="W208" s="348"/>
      <c r="X208" s="348"/>
      <c r="Y208" s="348"/>
      <c r="Z208" s="348"/>
      <c r="AA208" s="348"/>
      <c r="AC208" s="3">
        <f>IF(AND(B208="✔",N213&gt;=10),2,IF(AND(B208="✔",N213&gt;=5),1,0))</f>
        <v>0</v>
      </c>
    </row>
    <row r="209" spans="2:29" x14ac:dyDescent="0.2">
      <c r="C209" s="1" t="s">
        <v>99</v>
      </c>
      <c r="H209" s="348"/>
      <c r="I209" s="348"/>
      <c r="J209" s="348"/>
      <c r="K209" s="348"/>
      <c r="L209" s="348"/>
      <c r="M209" s="348"/>
      <c r="N209" s="348"/>
      <c r="O209" s="348"/>
      <c r="P209" s="348"/>
      <c r="Q209" s="348"/>
      <c r="R209" s="348"/>
      <c r="S209" s="348"/>
      <c r="T209" s="348"/>
      <c r="U209" s="348"/>
      <c r="V209" s="348"/>
      <c r="W209" s="348"/>
      <c r="X209" s="348"/>
      <c r="Y209" s="348"/>
      <c r="Z209" s="348"/>
      <c r="AA209" s="348"/>
    </row>
    <row r="210" spans="2:29" x14ac:dyDescent="0.2">
      <c r="C210" s="378" t="s">
        <v>170</v>
      </c>
      <c r="D210" s="379"/>
      <c r="E210" s="380"/>
      <c r="F210" s="50" t="str">
        <f>IF(AC208=0,"",AC208)</f>
        <v/>
      </c>
      <c r="H210" s="348"/>
      <c r="I210" s="348"/>
      <c r="J210" s="348"/>
      <c r="K210" s="348"/>
      <c r="L210" s="348"/>
      <c r="M210" s="348"/>
      <c r="N210" s="348"/>
      <c r="O210" s="348"/>
      <c r="P210" s="348"/>
      <c r="Q210" s="348"/>
      <c r="R210" s="348"/>
      <c r="S210" s="348"/>
      <c r="T210" s="348"/>
      <c r="U210" s="348"/>
      <c r="V210" s="348"/>
      <c r="W210" s="348"/>
      <c r="X210" s="348"/>
      <c r="Y210" s="348"/>
      <c r="Z210" s="348"/>
      <c r="AA210" s="348"/>
    </row>
    <row r="211" spans="2:29" ht="13.5" customHeight="1" x14ac:dyDescent="0.2">
      <c r="H211" s="341"/>
      <c r="I211" s="341"/>
      <c r="J211" s="341"/>
      <c r="K211" s="341"/>
      <c r="L211" s="341"/>
      <c r="M211" s="341"/>
      <c r="N211" s="341"/>
      <c r="O211" s="341"/>
      <c r="P211" s="348"/>
      <c r="Q211" s="348"/>
      <c r="R211" s="348"/>
      <c r="S211" s="348"/>
      <c r="T211" s="348"/>
      <c r="U211" s="348"/>
      <c r="V211" s="348"/>
      <c r="W211" s="348"/>
      <c r="X211" s="348"/>
      <c r="Y211" s="348"/>
      <c r="Z211" s="348"/>
      <c r="AA211" s="348"/>
    </row>
    <row r="212" spans="2:29" x14ac:dyDescent="0.2">
      <c r="H212" s="341"/>
      <c r="I212" s="341"/>
      <c r="J212" s="341"/>
      <c r="K212" s="341"/>
      <c r="L212" s="341"/>
      <c r="M212" s="341"/>
      <c r="N212" s="341"/>
      <c r="O212" s="341"/>
      <c r="P212" s="341"/>
      <c r="Q212" s="341"/>
      <c r="R212" s="341"/>
      <c r="S212" s="341"/>
      <c r="T212" s="341"/>
      <c r="U212" s="341"/>
      <c r="V212" s="341"/>
      <c r="W212" s="341"/>
      <c r="X212" s="341"/>
      <c r="Y212" s="341"/>
      <c r="Z212" s="341"/>
      <c r="AA212" s="341"/>
    </row>
    <row r="213" spans="2:29" x14ac:dyDescent="0.2">
      <c r="G213" s="1" t="s">
        <v>106</v>
      </c>
      <c r="N213" s="352"/>
      <c r="O213" s="353"/>
      <c r="P213" s="354"/>
      <c r="Q213" s="1" t="s">
        <v>96</v>
      </c>
      <c r="AB213" s="4" t="str">
        <f>IF(AND(B208="✔",N213=""),"←見付面積を入力してください。","")</f>
        <v/>
      </c>
    </row>
    <row r="214" spans="2:29" x14ac:dyDescent="0.2">
      <c r="C214" s="373" t="s">
        <v>195</v>
      </c>
      <c r="D214" s="373"/>
      <c r="E214" s="373"/>
      <c r="F214" s="373"/>
      <c r="G214" s="373"/>
      <c r="H214" s="373"/>
      <c r="I214" s="373"/>
      <c r="J214" s="373"/>
      <c r="K214" s="373"/>
      <c r="L214" s="373"/>
      <c r="M214" s="373"/>
      <c r="N214" s="373"/>
      <c r="O214" s="373"/>
      <c r="P214" s="373"/>
      <c r="Q214" s="373"/>
      <c r="R214" s="373"/>
      <c r="S214" s="373"/>
      <c r="T214" s="373"/>
      <c r="U214" s="373"/>
      <c r="V214" s="373"/>
      <c r="W214" s="373"/>
      <c r="X214" s="373"/>
      <c r="Y214" s="373"/>
      <c r="Z214" s="373"/>
      <c r="AA214" s="373"/>
    </row>
    <row r="215" spans="2:29" x14ac:dyDescent="0.2">
      <c r="C215" s="373"/>
      <c r="D215" s="373"/>
      <c r="E215" s="373"/>
      <c r="F215" s="373"/>
      <c r="G215" s="373"/>
      <c r="H215" s="373"/>
      <c r="I215" s="373"/>
      <c r="J215" s="373"/>
      <c r="K215" s="373"/>
      <c r="L215" s="373"/>
      <c r="M215" s="373"/>
      <c r="N215" s="373"/>
      <c r="O215" s="373"/>
      <c r="P215" s="373"/>
      <c r="Q215" s="373"/>
      <c r="R215" s="373"/>
      <c r="S215" s="373"/>
      <c r="T215" s="373"/>
      <c r="U215" s="373"/>
      <c r="V215" s="373"/>
      <c r="W215" s="373"/>
      <c r="X215" s="373"/>
      <c r="Y215" s="373"/>
      <c r="Z215" s="373"/>
      <c r="AA215" s="373"/>
    </row>
    <row r="216" spans="2:29" x14ac:dyDescent="0.2">
      <c r="C216" s="373"/>
      <c r="D216" s="373"/>
      <c r="E216" s="373"/>
      <c r="F216" s="373"/>
      <c r="G216" s="373"/>
      <c r="H216" s="373"/>
      <c r="I216" s="373"/>
      <c r="J216" s="373"/>
      <c r="K216" s="373"/>
      <c r="L216" s="373"/>
      <c r="M216" s="373"/>
      <c r="N216" s="373"/>
      <c r="O216" s="373"/>
      <c r="P216" s="373"/>
      <c r="Q216" s="373"/>
      <c r="R216" s="373"/>
      <c r="S216" s="373"/>
      <c r="T216" s="373"/>
      <c r="U216" s="373"/>
      <c r="V216" s="373"/>
      <c r="W216" s="373"/>
      <c r="X216" s="373"/>
      <c r="Y216" s="373"/>
      <c r="Z216" s="373"/>
      <c r="AA216" s="373"/>
    </row>
    <row r="217" spans="2:29" ht="8.1" customHeight="1" x14ac:dyDescent="0.2">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row>
    <row r="218" spans="2:29" x14ac:dyDescent="0.2">
      <c r="B218" s="93"/>
      <c r="C218" s="1" t="s">
        <v>107</v>
      </c>
      <c r="H218" s="348" t="s">
        <v>186</v>
      </c>
      <c r="I218" s="348"/>
      <c r="J218" s="348"/>
      <c r="K218" s="348"/>
      <c r="L218" s="348"/>
      <c r="M218" s="348"/>
      <c r="N218" s="348"/>
      <c r="O218" s="348"/>
      <c r="P218" s="348"/>
      <c r="Q218" s="348"/>
      <c r="R218" s="348"/>
      <c r="S218" s="348"/>
      <c r="T218" s="348"/>
      <c r="U218" s="348"/>
      <c r="V218" s="348"/>
      <c r="W218" s="348"/>
      <c r="X218" s="348"/>
      <c r="Y218" s="348"/>
      <c r="Z218" s="348"/>
      <c r="AA218" s="348"/>
      <c r="AC218" s="3">
        <f>IF(AND(B218="✔",N220&gt;=6),1,0)</f>
        <v>0</v>
      </c>
    </row>
    <row r="219" spans="2:29" x14ac:dyDescent="0.2">
      <c r="C219" s="1" t="s">
        <v>108</v>
      </c>
      <c r="H219" s="348"/>
      <c r="I219" s="348"/>
      <c r="J219" s="348"/>
      <c r="K219" s="348"/>
      <c r="L219" s="348"/>
      <c r="M219" s="348"/>
      <c r="N219" s="348"/>
      <c r="O219" s="348"/>
      <c r="P219" s="348"/>
      <c r="Q219" s="348"/>
      <c r="R219" s="348"/>
      <c r="S219" s="348"/>
      <c r="T219" s="348"/>
      <c r="U219" s="348"/>
      <c r="V219" s="348"/>
      <c r="W219" s="348"/>
      <c r="X219" s="348"/>
      <c r="Y219" s="348"/>
      <c r="Z219" s="348"/>
      <c r="AA219" s="348"/>
    </row>
    <row r="220" spans="2:29" x14ac:dyDescent="0.2">
      <c r="C220" s="378" t="s">
        <v>170</v>
      </c>
      <c r="D220" s="379"/>
      <c r="E220" s="380"/>
      <c r="F220" s="50" t="str">
        <f>IF(AC218=0,"",AC218)</f>
        <v/>
      </c>
      <c r="I220" s="1" t="s">
        <v>109</v>
      </c>
      <c r="N220" s="352"/>
      <c r="O220" s="353"/>
      <c r="P220" s="354"/>
      <c r="Q220" s="1" t="s">
        <v>110</v>
      </c>
      <c r="AB220" s="4" t="str">
        <f>IF(AND(B218="✔",N220=""),"←畳の数量を入力してください。","")</f>
        <v/>
      </c>
    </row>
    <row r="221" spans="2:29" x14ac:dyDescent="0.2">
      <c r="C221" s="373" t="s">
        <v>196</v>
      </c>
      <c r="D221" s="373"/>
      <c r="E221" s="373"/>
      <c r="F221" s="373"/>
      <c r="G221" s="373"/>
      <c r="H221" s="373"/>
      <c r="I221" s="373"/>
      <c r="J221" s="373"/>
      <c r="K221" s="373"/>
      <c r="L221" s="373"/>
      <c r="M221" s="373"/>
      <c r="N221" s="373"/>
      <c r="O221" s="373"/>
      <c r="P221" s="373"/>
      <c r="Q221" s="373"/>
      <c r="R221" s="373"/>
      <c r="S221" s="373"/>
      <c r="T221" s="373"/>
      <c r="U221" s="373"/>
      <c r="V221" s="373"/>
      <c r="W221" s="373"/>
      <c r="X221" s="373"/>
      <c r="Y221" s="373"/>
      <c r="Z221" s="373"/>
      <c r="AA221" s="373"/>
    </row>
    <row r="222" spans="2:29" x14ac:dyDescent="0.2">
      <c r="C222" s="373"/>
      <c r="D222" s="373"/>
      <c r="E222" s="373"/>
      <c r="F222" s="373"/>
      <c r="G222" s="373"/>
      <c r="H222" s="373"/>
      <c r="I222" s="373"/>
      <c r="J222" s="373"/>
      <c r="K222" s="373"/>
      <c r="L222" s="373"/>
      <c r="M222" s="373"/>
      <c r="N222" s="373"/>
      <c r="O222" s="373"/>
      <c r="P222" s="373"/>
      <c r="Q222" s="373"/>
      <c r="R222" s="373"/>
      <c r="S222" s="373"/>
      <c r="T222" s="373"/>
      <c r="U222" s="373"/>
      <c r="V222" s="373"/>
      <c r="W222" s="373"/>
      <c r="X222" s="373"/>
      <c r="Y222" s="373"/>
      <c r="Z222" s="373"/>
      <c r="AA222" s="373"/>
    </row>
    <row r="223" spans="2:29" x14ac:dyDescent="0.2">
      <c r="C223" s="373"/>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row>
    <row r="225" spans="2:29" ht="13.5" customHeight="1" x14ac:dyDescent="0.2">
      <c r="B225" s="93"/>
      <c r="C225" s="375" t="s">
        <v>183</v>
      </c>
      <c r="D225" s="376"/>
      <c r="E225" s="376"/>
      <c r="F225" s="376"/>
      <c r="G225" s="376"/>
      <c r="H225" s="382" t="s">
        <v>519</v>
      </c>
      <c r="I225" s="382"/>
      <c r="J225" s="382"/>
      <c r="K225" s="382"/>
      <c r="L225" s="382"/>
      <c r="M225" s="382"/>
      <c r="N225" s="382"/>
      <c r="O225" s="382"/>
      <c r="P225" s="382"/>
      <c r="Q225" s="382"/>
      <c r="R225" s="382"/>
      <c r="S225" s="382"/>
      <c r="T225" s="382"/>
      <c r="U225" s="382"/>
      <c r="V225" s="382"/>
      <c r="W225" s="382"/>
      <c r="X225" s="382"/>
      <c r="Y225" s="382"/>
      <c r="Z225" s="382"/>
      <c r="AA225" s="382"/>
      <c r="AC225" s="3">
        <f>IF(AND(B225="✔",N231&gt;=20),2,IF(AND(B225="✔",N231&gt;=10),1,0))</f>
        <v>0</v>
      </c>
    </row>
    <row r="226" spans="2:29" ht="13.5" customHeight="1" x14ac:dyDescent="0.2">
      <c r="C226" s="1" t="s">
        <v>99</v>
      </c>
      <c r="H226" s="382"/>
      <c r="I226" s="382"/>
      <c r="J226" s="382"/>
      <c r="K226" s="382"/>
      <c r="L226" s="382"/>
      <c r="M226" s="382"/>
      <c r="N226" s="382"/>
      <c r="O226" s="382"/>
      <c r="P226" s="382"/>
      <c r="Q226" s="382"/>
      <c r="R226" s="382"/>
      <c r="S226" s="382"/>
      <c r="T226" s="382"/>
      <c r="U226" s="382"/>
      <c r="V226" s="382"/>
      <c r="W226" s="382"/>
      <c r="X226" s="382"/>
      <c r="Y226" s="382"/>
      <c r="Z226" s="382"/>
      <c r="AA226" s="382"/>
    </row>
    <row r="227" spans="2:29" x14ac:dyDescent="0.2">
      <c r="C227" s="378" t="s">
        <v>170</v>
      </c>
      <c r="D227" s="379"/>
      <c r="E227" s="380"/>
      <c r="F227" s="50" t="str">
        <f>IF(AC225=0,"",AC225)</f>
        <v/>
      </c>
      <c r="H227" s="382"/>
      <c r="I227" s="382"/>
      <c r="J227" s="382"/>
      <c r="K227" s="382"/>
      <c r="L227" s="382"/>
      <c r="M227" s="382"/>
      <c r="N227" s="382"/>
      <c r="O227" s="382"/>
      <c r="P227" s="382"/>
      <c r="Q227" s="382"/>
      <c r="R227" s="382"/>
      <c r="S227" s="382"/>
      <c r="T227" s="382"/>
      <c r="U227" s="382"/>
      <c r="V227" s="382"/>
      <c r="W227" s="382"/>
      <c r="X227" s="382"/>
      <c r="Y227" s="382"/>
      <c r="Z227" s="382"/>
      <c r="AA227" s="382"/>
    </row>
    <row r="228" spans="2:29" x14ac:dyDescent="0.2">
      <c r="D228" s="37"/>
      <c r="E228" s="37"/>
      <c r="F228" s="37"/>
      <c r="H228" s="382"/>
      <c r="I228" s="382"/>
      <c r="J228" s="382"/>
      <c r="K228" s="382"/>
      <c r="L228" s="382"/>
      <c r="M228" s="382"/>
      <c r="N228" s="382"/>
      <c r="O228" s="382"/>
      <c r="P228" s="382"/>
      <c r="Q228" s="382"/>
      <c r="R228" s="382"/>
      <c r="S228" s="382"/>
      <c r="T228" s="382"/>
      <c r="U228" s="382"/>
      <c r="V228" s="382"/>
      <c r="W228" s="382"/>
      <c r="X228" s="382"/>
      <c r="Y228" s="382"/>
      <c r="Z228" s="382"/>
      <c r="AA228" s="382"/>
    </row>
    <row r="229" spans="2:29" ht="13.5" customHeight="1" x14ac:dyDescent="0.2">
      <c r="H229" s="382"/>
      <c r="I229" s="382"/>
      <c r="J229" s="382"/>
      <c r="K229" s="382"/>
      <c r="L229" s="382"/>
      <c r="M229" s="382"/>
      <c r="N229" s="382"/>
      <c r="O229" s="382"/>
      <c r="P229" s="382"/>
      <c r="Q229" s="382"/>
      <c r="R229" s="382"/>
      <c r="S229" s="382"/>
      <c r="T229" s="382"/>
      <c r="U229" s="382"/>
      <c r="V229" s="382"/>
      <c r="W229" s="382"/>
      <c r="X229" s="382"/>
      <c r="Y229" s="382"/>
      <c r="Z229" s="382"/>
      <c r="AA229" s="382"/>
    </row>
    <row r="230" spans="2:29" x14ac:dyDescent="0.2">
      <c r="C230" s="348" t="s">
        <v>182</v>
      </c>
      <c r="D230" s="348"/>
      <c r="E230" s="348"/>
      <c r="F230" s="348"/>
      <c r="G230" s="348"/>
      <c r="H230" s="348"/>
      <c r="I230" s="348"/>
      <c r="J230" s="348"/>
      <c r="K230" s="348"/>
      <c r="L230" s="348"/>
    </row>
    <row r="231" spans="2:29" x14ac:dyDescent="0.2">
      <c r="C231" s="348"/>
      <c r="D231" s="348"/>
      <c r="E231" s="348"/>
      <c r="F231" s="348"/>
      <c r="G231" s="348"/>
      <c r="H231" s="348"/>
      <c r="I231" s="348"/>
      <c r="J231" s="348"/>
      <c r="K231" s="348"/>
      <c r="L231" s="348"/>
      <c r="N231" s="352"/>
      <c r="O231" s="353"/>
      <c r="P231" s="354"/>
      <c r="Q231" s="1" t="s">
        <v>96</v>
      </c>
      <c r="AB231" s="4" t="str">
        <f>IF(AND(B225="✔",N231=""),"←小屋組又は床組みの県産材構造現し見上げ面積を入力してください。","")</f>
        <v/>
      </c>
    </row>
    <row r="232" spans="2:29" ht="42" customHeight="1" x14ac:dyDescent="0.2">
      <c r="C232" s="373" t="s">
        <v>518</v>
      </c>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row>
    <row r="233" spans="2:29" x14ac:dyDescent="0.2">
      <c r="B233" s="401" t="s">
        <v>171</v>
      </c>
      <c r="C233" s="401"/>
      <c r="D233" s="401"/>
      <c r="E233" s="401"/>
      <c r="F233" s="51" t="str">
        <f>IF(SUM(F182,F187,F194,F202,F210,F220,F227)=0,"",SUM(F182,F187,F194,F202,F210,F220,F227))</f>
        <v/>
      </c>
      <c r="G233" s="47"/>
      <c r="H233" s="47"/>
      <c r="I233" s="47"/>
      <c r="J233" s="47"/>
      <c r="K233" s="47"/>
      <c r="L233" s="47"/>
      <c r="M233" s="47"/>
      <c r="N233" s="47"/>
      <c r="O233" s="47"/>
      <c r="P233" s="47"/>
      <c r="Q233" s="47"/>
      <c r="R233" s="47"/>
      <c r="S233" s="47"/>
      <c r="T233" s="47"/>
      <c r="U233" s="47"/>
      <c r="V233" s="47"/>
      <c r="W233" s="47"/>
      <c r="X233" s="47"/>
      <c r="Y233" s="47"/>
      <c r="Z233" s="47"/>
      <c r="AA233" s="47"/>
    </row>
    <row r="234" spans="2:29" x14ac:dyDescent="0.2">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5" t="s">
        <v>77</v>
      </c>
    </row>
    <row r="235" spans="2:29" x14ac:dyDescent="0.2">
      <c r="K235" s="349" t="str">
        <f>IFERROR(IF(T239="","",T239+T240),T239)</f>
        <v/>
      </c>
      <c r="L235" s="349"/>
      <c r="M235" s="349"/>
      <c r="AB235" s="100">
        <f>SUM(Y103,Y104,Y108,Y110,Y132,Y147,Y173)</f>
        <v>0</v>
      </c>
    </row>
    <row r="236" spans="2:29" x14ac:dyDescent="0.2">
      <c r="C236" s="1" t="s">
        <v>207</v>
      </c>
      <c r="K236" s="349"/>
      <c r="L236" s="349"/>
      <c r="M236" s="349"/>
      <c r="N236" s="1" t="s">
        <v>70</v>
      </c>
    </row>
    <row r="238" spans="2:29" x14ac:dyDescent="0.2">
      <c r="D238" s="1" t="s">
        <v>250</v>
      </c>
    </row>
    <row r="239" spans="2:29" ht="27" customHeight="1" x14ac:dyDescent="0.2">
      <c r="D239" s="487" t="s">
        <v>251</v>
      </c>
      <c r="E239" s="488"/>
      <c r="F239" s="488"/>
      <c r="G239" s="488"/>
      <c r="H239" s="488"/>
      <c r="I239" s="488"/>
      <c r="J239" s="488"/>
      <c r="K239" s="488"/>
      <c r="L239" s="488"/>
      <c r="M239" s="488"/>
      <c r="N239" s="488"/>
      <c r="O239" s="488"/>
      <c r="P239" s="488"/>
      <c r="Q239" s="488"/>
      <c r="R239" s="488"/>
      <c r="S239" s="489"/>
      <c r="T239" s="485" t="str">
        <f>IF(Y111="","",MIN(SUM(Y111,Y132,Y147,Y173),100))</f>
        <v/>
      </c>
      <c r="U239" s="486"/>
      <c r="V239" s="486"/>
      <c r="W239" s="10" t="s">
        <v>253</v>
      </c>
      <c r="X239" s="11"/>
    </row>
    <row r="240" spans="2:29" ht="28.5" customHeight="1" x14ac:dyDescent="0.2">
      <c r="D240" s="490" t="s">
        <v>252</v>
      </c>
      <c r="E240" s="491"/>
      <c r="F240" s="491"/>
      <c r="G240" s="491"/>
      <c r="H240" s="491"/>
      <c r="I240" s="491"/>
      <c r="J240" s="491"/>
      <c r="K240" s="491"/>
      <c r="L240" s="491"/>
      <c r="M240" s="491"/>
      <c r="N240" s="491"/>
      <c r="O240" s="491"/>
      <c r="P240" s="491"/>
      <c r="Q240" s="491"/>
      <c r="R240" s="491"/>
      <c r="S240" s="491"/>
      <c r="T240" s="485" t="str">
        <f>IF(B91="",IF(B66="","",AB240),AB240)</f>
        <v/>
      </c>
      <c r="U240" s="486"/>
      <c r="V240" s="486"/>
      <c r="W240" s="10" t="s">
        <v>253</v>
      </c>
      <c r="X240" s="11"/>
      <c r="AB240" s="3" t="str">
        <f>IF(U54="","",IF(AND(B60="",B63=""),"",IF(AND(B60="✔",B63="✔"),"error",IF(U54="T-G1",10,IF(U54="T-G2",30,IF(U54="T-G3",50,0)))+IF(B68="",IF(B57="",0,(IF(U60="『ZEH』",50,IF(U60="Nearly ZEH",50,0))))))))</f>
        <v/>
      </c>
    </row>
    <row r="243" spans="1:3" x14ac:dyDescent="0.2">
      <c r="A243" s="13" t="s">
        <v>84</v>
      </c>
    </row>
    <row r="245" spans="1:3" x14ac:dyDescent="0.2">
      <c r="C245" s="1" t="s">
        <v>74</v>
      </c>
    </row>
    <row r="246" spans="1:3" x14ac:dyDescent="0.2">
      <c r="C246" s="22" t="s">
        <v>113</v>
      </c>
    </row>
    <row r="248" spans="1:3" x14ac:dyDescent="0.2">
      <c r="C248" s="1" t="s">
        <v>491</v>
      </c>
    </row>
    <row r="249" spans="1:3" x14ac:dyDescent="0.2">
      <c r="C249" s="1" t="s">
        <v>492</v>
      </c>
    </row>
    <row r="250" spans="1:3" ht="13.05" hidden="1" x14ac:dyDescent="0.2">
      <c r="C250" s="1" t="str">
        <f>IF(I70="有","他に利用する補助金一覧表（様式第６号別紙）","")</f>
        <v/>
      </c>
    </row>
    <row r="251" spans="1:3" x14ac:dyDescent="0.2">
      <c r="C251" s="1" t="s">
        <v>219</v>
      </c>
    </row>
    <row r="262" spans="1:28" x14ac:dyDescent="0.2">
      <c r="A262" s="348" t="s">
        <v>477</v>
      </c>
      <c r="B262" s="348"/>
      <c r="C262" s="348"/>
      <c r="D262" s="348"/>
      <c r="E262" s="348"/>
      <c r="F262" s="348"/>
      <c r="G262" s="348"/>
      <c r="H262" s="348"/>
      <c r="I262" s="348"/>
      <c r="J262" s="348"/>
      <c r="K262" s="348"/>
      <c r="L262" s="348"/>
      <c r="M262" s="348"/>
      <c r="N262" s="348"/>
      <c r="O262" s="348"/>
      <c r="P262" s="348"/>
      <c r="Q262" s="348"/>
      <c r="R262" s="348"/>
      <c r="S262" s="348"/>
      <c r="T262" s="348"/>
      <c r="U262" s="348"/>
      <c r="V262" s="348"/>
      <c r="W262" s="348"/>
      <c r="X262" s="348"/>
      <c r="Y262" s="348"/>
      <c r="Z262" s="348"/>
      <c r="AA262" s="348"/>
    </row>
    <row r="263" spans="1:28" x14ac:dyDescent="0.2">
      <c r="A263" s="348"/>
      <c r="B263" s="348"/>
      <c r="C263" s="348"/>
      <c r="D263" s="348"/>
      <c r="E263" s="348"/>
      <c r="F263" s="348"/>
      <c r="G263" s="348"/>
      <c r="H263" s="348"/>
      <c r="I263" s="348"/>
      <c r="J263" s="348"/>
      <c r="K263" s="348"/>
      <c r="L263" s="348"/>
      <c r="M263" s="348"/>
      <c r="N263" s="348"/>
      <c r="O263" s="348"/>
      <c r="P263" s="348"/>
      <c r="Q263" s="348"/>
      <c r="R263" s="348"/>
      <c r="S263" s="348"/>
      <c r="T263" s="348"/>
      <c r="U263" s="348"/>
      <c r="V263" s="348"/>
      <c r="W263" s="348"/>
      <c r="X263" s="348"/>
      <c r="Y263" s="348"/>
      <c r="Z263" s="348"/>
      <c r="AA263" s="348"/>
    </row>
    <row r="265" spans="1:28" ht="17.25" customHeight="1" x14ac:dyDescent="0.2">
      <c r="J265" s="374" t="s">
        <v>205</v>
      </c>
      <c r="K265" s="371"/>
      <c r="L265" s="371"/>
      <c r="M265" s="371"/>
      <c r="N265" s="371"/>
      <c r="O265" s="371"/>
      <c r="P265" s="371"/>
      <c r="Q265" s="371"/>
      <c r="R265" s="371"/>
      <c r="S265" s="371"/>
      <c r="T265" s="371"/>
      <c r="U265" s="371"/>
      <c r="V265" s="371"/>
      <c r="W265" s="371"/>
      <c r="X265" s="371"/>
      <c r="Y265" s="371"/>
      <c r="Z265" s="371"/>
      <c r="AA265" s="371"/>
      <c r="AB265" s="4" t="str">
        <f>IF(P265="","←工事監理者氏名（工事監理者が不要な場合は工事施工者氏名を選択し、当該内容）を入力してください。","")</f>
        <v>←工事監理者氏名（工事監理者が不要な場合は工事施工者氏名を選択し、当該内容）を入力してください。</v>
      </c>
    </row>
    <row r="266" spans="1:28" ht="17.25" customHeight="1" x14ac:dyDescent="0.2">
      <c r="J266" s="366" t="s">
        <v>172</v>
      </c>
      <c r="K266" s="366"/>
      <c r="L266" s="366"/>
      <c r="M266" s="366"/>
      <c r="N266" s="366"/>
      <c r="O266" s="366"/>
      <c r="P266" s="371"/>
      <c r="Q266" s="371"/>
      <c r="R266" s="371"/>
      <c r="S266" s="371"/>
      <c r="T266" s="371"/>
      <c r="U266" s="371"/>
      <c r="V266" s="371"/>
      <c r="W266" s="371"/>
      <c r="X266" s="371"/>
      <c r="Y266" s="371"/>
      <c r="Z266" s="371"/>
      <c r="AA266" s="371"/>
      <c r="AB266" s="4" t="str">
        <f>IF(P266="","←建築士事務所名を入力してください。","")</f>
        <v>←建築士事務所名を入力してください。</v>
      </c>
    </row>
    <row r="267" spans="1:28" ht="17.25" customHeight="1" x14ac:dyDescent="0.2">
      <c r="J267" s="386" t="s">
        <v>173</v>
      </c>
      <c r="K267" s="387"/>
      <c r="L267" s="387"/>
      <c r="M267" s="387"/>
      <c r="N267" s="387"/>
      <c r="O267" s="388"/>
      <c r="P267" s="342" t="s">
        <v>52</v>
      </c>
      <c r="Q267" s="343"/>
      <c r="R267" s="343"/>
      <c r="S267" s="343"/>
      <c r="T267" s="353"/>
      <c r="U267" s="353"/>
      <c r="V267" s="353"/>
      <c r="W267" s="353"/>
      <c r="X267" s="353"/>
      <c r="Y267" s="353"/>
      <c r="Z267" s="353"/>
      <c r="AA267" s="354"/>
      <c r="AB267" s="4" t="str">
        <f>IF(T267="","←建築士事務所の登録区分を選択（１級、２級、木造）してください。","")</f>
        <v>←建築士事務所の登録区分を選択（１級、２級、木造）してください。</v>
      </c>
    </row>
    <row r="268" spans="1:28" ht="17.25" customHeight="1" x14ac:dyDescent="0.2">
      <c r="J268" s="389"/>
      <c r="K268" s="381"/>
      <c r="L268" s="381"/>
      <c r="M268" s="381"/>
      <c r="N268" s="381"/>
      <c r="O268" s="390"/>
      <c r="P268" s="342" t="s">
        <v>175</v>
      </c>
      <c r="Q268" s="343"/>
      <c r="R268" s="343"/>
      <c r="S268" s="343"/>
      <c r="T268" s="353"/>
      <c r="U268" s="353"/>
      <c r="V268" s="353"/>
      <c r="W268" s="353"/>
      <c r="X268" s="353"/>
      <c r="Y268" s="353"/>
      <c r="Z268" s="343" t="s">
        <v>176</v>
      </c>
      <c r="AA268" s="344"/>
      <c r="AB268" s="4" t="str">
        <f>IF(T268="","←建築士事務所の登録を受けた都道府県名入力してください。","")</f>
        <v>←建築士事務所の登録を受けた都道府県名入力してください。</v>
      </c>
    </row>
    <row r="269" spans="1:28" ht="17.25" customHeight="1" x14ac:dyDescent="0.2">
      <c r="J269" s="391"/>
      <c r="K269" s="392"/>
      <c r="L269" s="392"/>
      <c r="M269" s="392"/>
      <c r="N269" s="392"/>
      <c r="O269" s="393"/>
      <c r="P269" s="342" t="s">
        <v>174</v>
      </c>
      <c r="Q269" s="343"/>
      <c r="R269" s="343"/>
      <c r="S269" s="343"/>
      <c r="T269" s="394"/>
      <c r="U269" s="394"/>
      <c r="V269" s="394"/>
      <c r="W269" s="394"/>
      <c r="X269" s="394"/>
      <c r="Y269" s="394"/>
      <c r="Z269" s="394"/>
      <c r="AA269" s="395"/>
      <c r="AB269" s="4" t="str">
        <f>IF(T269="","←建築士事務所の登録番号を入力してください。","")</f>
        <v>←建築士事務所の登録番号を入力してください。</v>
      </c>
    </row>
    <row r="270" spans="1:28" x14ac:dyDescent="0.2">
      <c r="A270" s="1" t="s">
        <v>197</v>
      </c>
    </row>
    <row r="271" spans="1:28" ht="31.5" customHeight="1" x14ac:dyDescent="0.2">
      <c r="A271" s="348" t="s">
        <v>206</v>
      </c>
      <c r="B271" s="348"/>
      <c r="C271" s="348"/>
      <c r="D271" s="348"/>
      <c r="E271" s="348"/>
      <c r="F271" s="348"/>
      <c r="G271" s="348"/>
      <c r="H271" s="348"/>
      <c r="I271" s="348"/>
      <c r="J271" s="348"/>
      <c r="K271" s="348"/>
      <c r="L271" s="348"/>
      <c r="M271" s="348"/>
      <c r="N271" s="348"/>
      <c r="O271" s="348"/>
      <c r="P271" s="348"/>
      <c r="Q271" s="348"/>
      <c r="R271" s="348"/>
      <c r="S271" s="348"/>
      <c r="T271" s="348"/>
      <c r="U271" s="348"/>
      <c r="V271" s="348"/>
      <c r="W271" s="348"/>
      <c r="X271" s="348"/>
      <c r="Y271" s="348"/>
      <c r="Z271" s="348"/>
      <c r="AA271" s="348"/>
    </row>
  </sheetData>
  <sheetProtection algorithmName="SHA-512" hashValue="FfAZD9wp6ftTU51d69l9eq3pNV6wCpwZypKtBUnIq62YtmAr8jA1+7DIensX6B99dkC0izGairsLMbVKyjGJCg==" saltValue="NTU/UuE9OlSfEngahCFCAg==" spinCount="100000" sheet="1" selectLockedCells="1"/>
  <mergeCells count="216">
    <mergeCell ref="N40:Q40"/>
    <mergeCell ref="S40:T40"/>
    <mergeCell ref="V40:W40"/>
    <mergeCell ref="T239:V239"/>
    <mergeCell ref="T240:V240"/>
    <mergeCell ref="D239:S239"/>
    <mergeCell ref="D240:S240"/>
    <mergeCell ref="Y104:Z104"/>
    <mergeCell ref="D48:H48"/>
    <mergeCell ref="D77:H77"/>
    <mergeCell ref="D102:P102"/>
    <mergeCell ref="O49:Q49"/>
    <mergeCell ref="D78:H78"/>
    <mergeCell ref="I78:X78"/>
    <mergeCell ref="D84:O84"/>
    <mergeCell ref="Q109:T109"/>
    <mergeCell ref="G108:P108"/>
    <mergeCell ref="Q104:T104"/>
    <mergeCell ref="Q101:T101"/>
    <mergeCell ref="U104:X104"/>
    <mergeCell ref="E103:P103"/>
    <mergeCell ref="F104:P104"/>
    <mergeCell ref="U103:X103"/>
    <mergeCell ref="P84:T84"/>
    <mergeCell ref="U84:Z84"/>
    <mergeCell ref="D85:O85"/>
    <mergeCell ref="P85:T85"/>
    <mergeCell ref="B162:G163"/>
    <mergeCell ref="C141:N141"/>
    <mergeCell ref="Q141:AA141"/>
    <mergeCell ref="H162:N162"/>
    <mergeCell ref="O162:Z162"/>
    <mergeCell ref="I44:X44"/>
    <mergeCell ref="Y147:Z147"/>
    <mergeCell ref="Y145:AA146"/>
    <mergeCell ref="C143:Z144"/>
    <mergeCell ref="O163:Z163"/>
    <mergeCell ref="Y111:Z111"/>
    <mergeCell ref="Y108:Z108"/>
    <mergeCell ref="B98:AA99"/>
    <mergeCell ref="U83:Z83"/>
    <mergeCell ref="G105:P105"/>
    <mergeCell ref="G106:P106"/>
    <mergeCell ref="G107:P107"/>
    <mergeCell ref="Y110:Z110"/>
    <mergeCell ref="Q135:AA136"/>
    <mergeCell ref="U101:X102"/>
    <mergeCell ref="Y101:AA102"/>
    <mergeCell ref="I43:X43"/>
    <mergeCell ref="D44:H44"/>
    <mergeCell ref="D45:H45"/>
    <mergeCell ref="U81:Z81"/>
    <mergeCell ref="P81:T81"/>
    <mergeCell ref="D81:O81"/>
    <mergeCell ref="D82:O82"/>
    <mergeCell ref="P82:T82"/>
    <mergeCell ref="U82:Z82"/>
    <mergeCell ref="D43:H43"/>
    <mergeCell ref="I45:X45"/>
    <mergeCell ref="U54:Z54"/>
    <mergeCell ref="U57:Z57"/>
    <mergeCell ref="U60:Z60"/>
    <mergeCell ref="D49:N49"/>
    <mergeCell ref="A3:AA3"/>
    <mergeCell ref="U109:X109"/>
    <mergeCell ref="U110:X110"/>
    <mergeCell ref="Q110:T110"/>
    <mergeCell ref="F109:P109"/>
    <mergeCell ref="F110:P110"/>
    <mergeCell ref="D94:H94"/>
    <mergeCell ref="I94:X94"/>
    <mergeCell ref="I30:X30"/>
    <mergeCell ref="D29:H30"/>
    <mergeCell ref="I29:L29"/>
    <mergeCell ref="M29:X29"/>
    <mergeCell ref="I32:N32"/>
    <mergeCell ref="M33:Q34"/>
    <mergeCell ref="D33:H34"/>
    <mergeCell ref="I33:K34"/>
    <mergeCell ref="N38:Q38"/>
    <mergeCell ref="D38:H39"/>
    <mergeCell ref="U85:Z85"/>
    <mergeCell ref="D86:O86"/>
    <mergeCell ref="P86:T86"/>
    <mergeCell ref="U86:Z86"/>
    <mergeCell ref="D83:O83"/>
    <mergeCell ref="P83:T83"/>
    <mergeCell ref="A5:AA6"/>
    <mergeCell ref="D35:H35"/>
    <mergeCell ref="D37:H37"/>
    <mergeCell ref="I37:X37"/>
    <mergeCell ref="D32:H32"/>
    <mergeCell ref="V33:W33"/>
    <mergeCell ref="V34:W34"/>
    <mergeCell ref="R33:U33"/>
    <mergeCell ref="R34:U34"/>
    <mergeCell ref="H8:I8"/>
    <mergeCell ref="K8:L8"/>
    <mergeCell ref="N12:Z12"/>
    <mergeCell ref="N14:Z14"/>
    <mergeCell ref="N11:Z11"/>
    <mergeCell ref="I36:K36"/>
    <mergeCell ref="E8:F8"/>
    <mergeCell ref="C8:D8"/>
    <mergeCell ref="J12:M12"/>
    <mergeCell ref="J13:M13"/>
    <mergeCell ref="J14:M14"/>
    <mergeCell ref="N13:Z13"/>
    <mergeCell ref="O10:Z10"/>
    <mergeCell ref="O32:R32"/>
    <mergeCell ref="A17:AA17"/>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D40:M40"/>
    <mergeCell ref="J267:O269"/>
    <mergeCell ref="T268:Y268"/>
    <mergeCell ref="Z268:AA268"/>
    <mergeCell ref="P269:S269"/>
    <mergeCell ref="T269:AA269"/>
    <mergeCell ref="C174:AA175"/>
    <mergeCell ref="Y171:AA172"/>
    <mergeCell ref="Y173:Z173"/>
    <mergeCell ref="N196:P196"/>
    <mergeCell ref="N197:P197"/>
    <mergeCell ref="N203:P203"/>
    <mergeCell ref="R196:U196"/>
    <mergeCell ref="R197:U197"/>
    <mergeCell ref="V196:Z196"/>
    <mergeCell ref="V197:Z197"/>
    <mergeCell ref="P268:S268"/>
    <mergeCell ref="C227:E227"/>
    <mergeCell ref="N213:P213"/>
    <mergeCell ref="H218:AA219"/>
    <mergeCell ref="N231:P231"/>
    <mergeCell ref="B172:X173"/>
    <mergeCell ref="C182:E182"/>
    <mergeCell ref="B233:E233"/>
    <mergeCell ref="A271:AA271"/>
    <mergeCell ref="P267:S267"/>
    <mergeCell ref="J265:O265"/>
    <mergeCell ref="P265:AA265"/>
    <mergeCell ref="J266:O266"/>
    <mergeCell ref="P266:AA266"/>
    <mergeCell ref="C225:G225"/>
    <mergeCell ref="C183:AA183"/>
    <mergeCell ref="C187:E187"/>
    <mergeCell ref="C194:E194"/>
    <mergeCell ref="C202:E202"/>
    <mergeCell ref="C210:E210"/>
    <mergeCell ref="C220:E220"/>
    <mergeCell ref="C214:AA216"/>
    <mergeCell ref="C221:AA223"/>
    <mergeCell ref="C232:AA232"/>
    <mergeCell ref="I203:L203"/>
    <mergeCell ref="H225:AA229"/>
    <mergeCell ref="C230:L231"/>
    <mergeCell ref="T267:AA267"/>
    <mergeCell ref="P211:AA211"/>
    <mergeCell ref="H212:O212"/>
    <mergeCell ref="P212:AA212"/>
    <mergeCell ref="H208:AA210"/>
    <mergeCell ref="N220:P220"/>
    <mergeCell ref="Y132:Z132"/>
    <mergeCell ref="Y130:AA131"/>
    <mergeCell ref="H163:N163"/>
    <mergeCell ref="H200:AA201"/>
    <mergeCell ref="N189:P189"/>
    <mergeCell ref="N188:S188"/>
    <mergeCell ref="C190:AA190"/>
    <mergeCell ref="H164:N164"/>
    <mergeCell ref="O164:Z164"/>
    <mergeCell ref="H165:N165"/>
    <mergeCell ref="O165:Z165"/>
    <mergeCell ref="B164:G166"/>
    <mergeCell ref="H166:N166"/>
    <mergeCell ref="O166:Z166"/>
    <mergeCell ref="P187:AA187"/>
    <mergeCell ref="C204:AA206"/>
    <mergeCell ref="H211:O211"/>
    <mergeCell ref="P186:AA186"/>
    <mergeCell ref="Q105:T106"/>
    <mergeCell ref="Q107:T108"/>
    <mergeCell ref="U105:X106"/>
    <mergeCell ref="U107:X108"/>
    <mergeCell ref="A119:AA120"/>
    <mergeCell ref="A4:AA4"/>
    <mergeCell ref="D31:H31"/>
    <mergeCell ref="I31:X31"/>
    <mergeCell ref="A262:AA263"/>
    <mergeCell ref="K235:M236"/>
    <mergeCell ref="H180:AA182"/>
    <mergeCell ref="H186:O186"/>
    <mergeCell ref="H187:O187"/>
    <mergeCell ref="C138:N139"/>
    <mergeCell ref="I77:N77"/>
    <mergeCell ref="P77:AA77"/>
    <mergeCell ref="I48:N48"/>
    <mergeCell ref="D101:P101"/>
    <mergeCell ref="Q102:T102"/>
    <mergeCell ref="Q103:T103"/>
    <mergeCell ref="Y103:Z103"/>
    <mergeCell ref="S49:T49"/>
    <mergeCell ref="V49:W49"/>
    <mergeCell ref="Q138:AA139"/>
  </mergeCells>
  <phoneticPr fontId="1"/>
  <conditionalFormatting sqref="B21">
    <cfRule type="containsBlanks" dxfId="87" priority="213">
      <formula>LEN(TRIM(B21))=0</formula>
    </cfRule>
  </conditionalFormatting>
  <conditionalFormatting sqref="B24">
    <cfRule type="containsBlanks" dxfId="86" priority="214">
      <formula>LEN(TRIM(B24))=0</formula>
    </cfRule>
  </conditionalFormatting>
  <conditionalFormatting sqref="B42">
    <cfRule type="containsBlanks" dxfId="85" priority="215">
      <formula>LEN(TRIM(B42))=0</formula>
    </cfRule>
  </conditionalFormatting>
  <conditionalFormatting sqref="B47">
    <cfRule type="containsBlanks" dxfId="84" priority="216">
      <formula>LEN(TRIM(B47))=0</formula>
    </cfRule>
  </conditionalFormatting>
  <conditionalFormatting sqref="B52">
    <cfRule type="containsBlanks" dxfId="83" priority="217">
      <formula>LEN(TRIM(B52))=0</formula>
    </cfRule>
  </conditionalFormatting>
  <conditionalFormatting sqref="B54">
    <cfRule type="containsBlanks" dxfId="82" priority="37">
      <formula>LEN(TRIM(B54))=0</formula>
    </cfRule>
  </conditionalFormatting>
  <conditionalFormatting sqref="B57">
    <cfRule type="containsBlanks" dxfId="81" priority="28">
      <formula>LEN(TRIM(B57))=0</formula>
    </cfRule>
  </conditionalFormatting>
  <conditionalFormatting sqref="B60">
    <cfRule type="containsBlanks" dxfId="80" priority="27">
      <formula>LEN(TRIM(B60))=0</formula>
    </cfRule>
  </conditionalFormatting>
  <conditionalFormatting sqref="B63">
    <cfRule type="containsBlanks" dxfId="79" priority="22">
      <formula>LEN(TRIM(B63))=0</formula>
    </cfRule>
  </conditionalFormatting>
  <conditionalFormatting sqref="B66">
    <cfRule type="containsBlanks" dxfId="78" priority="20">
      <formula>LEN(TRIM(B66))=0</formula>
    </cfRule>
  </conditionalFormatting>
  <conditionalFormatting sqref="B68">
    <cfRule type="containsBlanks" dxfId="77" priority="39">
      <formula>LEN(TRIM(B68))=0</formula>
    </cfRule>
  </conditionalFormatting>
  <conditionalFormatting sqref="B70">
    <cfRule type="containsBlanks" dxfId="76" priority="29">
      <formula>LEN(TRIM(B70))=0</formula>
    </cfRule>
  </conditionalFormatting>
  <conditionalFormatting sqref="B72">
    <cfRule type="containsBlanks" dxfId="75" priority="18">
      <formula>LEN(TRIM(B72))=0</formula>
    </cfRule>
  </conditionalFormatting>
  <conditionalFormatting sqref="B76">
    <cfRule type="containsBlanks" dxfId="74" priority="218">
      <formula>LEN(TRIM(B76))=0</formula>
    </cfRule>
  </conditionalFormatting>
  <conditionalFormatting sqref="B88">
    <cfRule type="containsBlanks" dxfId="73" priority="41">
      <formula>LEN(TRIM(B88))=0</formula>
    </cfRule>
  </conditionalFormatting>
  <conditionalFormatting sqref="B91">
    <cfRule type="containsBlanks" dxfId="72" priority="219">
      <formula>LEN(TRIM(B91))=0</formula>
    </cfRule>
  </conditionalFormatting>
  <conditionalFormatting sqref="B93">
    <cfRule type="containsBlanks" dxfId="71" priority="220">
      <formula>LEN(TRIM(B93))=0</formula>
    </cfRule>
  </conditionalFormatting>
  <conditionalFormatting sqref="B97">
    <cfRule type="containsBlanks" dxfId="70" priority="212">
      <formula>LEN(TRIM(B97))=0</formula>
    </cfRule>
  </conditionalFormatting>
  <conditionalFormatting sqref="B134">
    <cfRule type="containsBlanks" dxfId="69" priority="188">
      <formula>LEN(TRIM(B134))=0</formula>
    </cfRule>
  </conditionalFormatting>
  <conditionalFormatting sqref="B151">
    <cfRule type="containsBlanks" dxfId="68" priority="190">
      <formula>LEN(TRIM(B151))=0</formula>
    </cfRule>
  </conditionalFormatting>
  <conditionalFormatting sqref="B153">
    <cfRule type="containsBlanks" dxfId="67" priority="191">
      <formula>LEN(TRIM(B153))=0</formula>
    </cfRule>
  </conditionalFormatting>
  <conditionalFormatting sqref="B155">
    <cfRule type="containsBlanks" dxfId="66" priority="192">
      <formula>LEN(TRIM(B155))=0</formula>
    </cfRule>
  </conditionalFormatting>
  <conditionalFormatting sqref="B157">
    <cfRule type="containsBlanks" dxfId="65" priority="193">
      <formula>LEN(TRIM(B157))=0</formula>
    </cfRule>
  </conditionalFormatting>
  <conditionalFormatting sqref="B159">
    <cfRule type="containsBlanks" dxfId="64" priority="194">
      <formula>LEN(TRIM(B159))=0</formula>
    </cfRule>
  </conditionalFormatting>
  <conditionalFormatting sqref="B161">
    <cfRule type="containsBlanks" dxfId="63" priority="38">
      <formula>LEN(TRIM(B161))=0</formula>
    </cfRule>
  </conditionalFormatting>
  <conditionalFormatting sqref="B177">
    <cfRule type="containsBlanks" dxfId="62" priority="195">
      <formula>LEN(TRIM(B177))=0</formula>
    </cfRule>
  </conditionalFormatting>
  <conditionalFormatting sqref="B180">
    <cfRule type="containsBlanks" dxfId="61" priority="196">
      <formula>LEN(TRIM(B180))=0</formula>
    </cfRule>
  </conditionalFormatting>
  <conditionalFormatting sqref="B185">
    <cfRule type="containsBlanks" dxfId="60" priority="197">
      <formula>LEN(TRIM(B185))=0</formula>
    </cfRule>
  </conditionalFormatting>
  <conditionalFormatting sqref="B192">
    <cfRule type="containsBlanks" dxfId="59" priority="198">
      <formula>LEN(TRIM(B192))=0</formula>
    </cfRule>
  </conditionalFormatting>
  <conditionalFormatting sqref="B200">
    <cfRule type="containsBlanks" dxfId="58" priority="204">
      <formula>LEN(TRIM(B200))=0</formula>
    </cfRule>
  </conditionalFormatting>
  <conditionalFormatting sqref="B208">
    <cfRule type="containsBlanks" dxfId="57" priority="210">
      <formula>LEN(TRIM(B208))=0</formula>
    </cfRule>
  </conditionalFormatting>
  <conditionalFormatting sqref="B218">
    <cfRule type="containsBlanks" dxfId="56" priority="208">
      <formula>LEN(TRIM(B218))=0</formula>
    </cfRule>
  </conditionalFormatting>
  <conditionalFormatting sqref="B225">
    <cfRule type="containsBlanks" dxfId="55" priority="202">
      <formula>LEN(TRIM(B225))=0</formula>
    </cfRule>
  </conditionalFormatting>
  <conditionalFormatting sqref="C8 E8">
    <cfRule type="containsBlanks" dxfId="54" priority="100">
      <formula>LEN(TRIM(C8))=0</formula>
    </cfRule>
  </conditionalFormatting>
  <conditionalFormatting sqref="C74">
    <cfRule type="containsBlanks" dxfId="53" priority="17">
      <formula>LEN(TRIM(C74))=0</formula>
    </cfRule>
  </conditionalFormatting>
  <conditionalFormatting sqref="D82:Z86">
    <cfRule type="cellIs" dxfId="52" priority="30" operator="equal">
      <formula>""</formula>
    </cfRule>
  </conditionalFormatting>
  <conditionalFormatting sqref="H8">
    <cfRule type="containsBlanks" dxfId="51" priority="102">
      <formula>LEN(TRIM(H8))=0</formula>
    </cfRule>
  </conditionalFormatting>
  <conditionalFormatting sqref="I35">
    <cfRule type="containsBlanks" dxfId="50" priority="45">
      <formula>LEN(TRIM(I35))=0</formula>
    </cfRule>
  </conditionalFormatting>
  <conditionalFormatting sqref="I48:N48">
    <cfRule type="containsBlanks" dxfId="49" priority="92">
      <formula>LEN(TRIM(I48))=0</formula>
    </cfRule>
  </conditionalFormatting>
  <conditionalFormatting sqref="I77:N77">
    <cfRule type="containsBlanks" dxfId="48" priority="171">
      <formula>LEN(TRIM(I77))=0</formula>
    </cfRule>
  </conditionalFormatting>
  <conditionalFormatting sqref="I78:X80 I87:X87">
    <cfRule type="expression" dxfId="47" priority="42">
      <formula>AND($I$37="その他",#REF!="")</formula>
    </cfRule>
  </conditionalFormatting>
  <conditionalFormatting sqref="I94:X94">
    <cfRule type="containsBlanks" dxfId="46" priority="60">
      <formula>LEN(TRIM(I94))=0</formula>
    </cfRule>
  </conditionalFormatting>
  <conditionalFormatting sqref="K8">
    <cfRule type="containsBlanks" dxfId="45" priority="101">
      <formula>LEN(TRIM(K8))=0</formula>
    </cfRule>
  </conditionalFormatting>
  <conditionalFormatting sqref="L36 Q36">
    <cfRule type="containsBlanks" dxfId="44" priority="180">
      <formula>LEN(TRIM(L36))=0</formula>
    </cfRule>
  </conditionalFormatting>
  <conditionalFormatting sqref="N189:P189">
    <cfRule type="containsBlanks" dxfId="43" priority="200">
      <formula>LEN(TRIM(N189))=0</formula>
    </cfRule>
  </conditionalFormatting>
  <conditionalFormatting sqref="N196:P197">
    <cfRule type="containsBlanks" dxfId="42" priority="201">
      <formula>LEN(TRIM(N196))=0</formula>
    </cfRule>
  </conditionalFormatting>
  <conditionalFormatting sqref="N203:P203">
    <cfRule type="containsBlanks" dxfId="41" priority="205">
      <formula>LEN(TRIM(N203))=0</formula>
    </cfRule>
  </conditionalFormatting>
  <conditionalFormatting sqref="N213:P213">
    <cfRule type="containsBlanks" dxfId="40" priority="206">
      <formula>LEN(TRIM(N213))=0</formula>
    </cfRule>
  </conditionalFormatting>
  <conditionalFormatting sqref="N220:P220">
    <cfRule type="containsBlanks" dxfId="39" priority="207">
      <formula>LEN(TRIM(N220))=0</formula>
    </cfRule>
  </conditionalFormatting>
  <conditionalFormatting sqref="N231:P231">
    <cfRule type="containsBlanks" dxfId="38" priority="209">
      <formula>LEN(TRIM(N231))=0</formula>
    </cfRule>
  </conditionalFormatting>
  <conditionalFormatting sqref="N38:Q40">
    <cfRule type="containsBlanks" dxfId="37" priority="15">
      <formula>LEN(TRIM(N38))=0</formula>
    </cfRule>
  </conditionalFormatting>
  <conditionalFormatting sqref="N188:S188">
    <cfRule type="containsBlanks" dxfId="36" priority="199">
      <formula>LEN(TRIM(N188))=0</formula>
    </cfRule>
  </conditionalFormatting>
  <conditionalFormatting sqref="O10:Z10 N11:Z12 N13 N14:Z14 M29 I30:I33 I37:X37 I43:X45 O49">
    <cfRule type="containsBlanks" dxfId="35" priority="186">
      <formula>LEN(TRIM(I10))=0</formula>
    </cfRule>
  </conditionalFormatting>
  <conditionalFormatting sqref="O162:Z166">
    <cfRule type="containsBlanks" dxfId="34" priority="85">
      <formula>LEN(TRIM(O162))=0</formula>
    </cfRule>
  </conditionalFormatting>
  <conditionalFormatting sqref="P81:P82 P84:P86">
    <cfRule type="expression" dxfId="33" priority="34">
      <formula>AND($I$37="その他",#REF!="")</formula>
    </cfRule>
  </conditionalFormatting>
  <conditionalFormatting sqref="P83">
    <cfRule type="expression" dxfId="32" priority="31">
      <formula>AND($I$37="その他",#REF!="")</formula>
    </cfRule>
  </conditionalFormatting>
  <conditionalFormatting sqref="P134">
    <cfRule type="containsBlanks" dxfId="31" priority="189">
      <formula>LEN(TRIM(P134))=0</formula>
    </cfRule>
  </conditionalFormatting>
  <conditionalFormatting sqref="P265:AA266">
    <cfRule type="containsBlanks" dxfId="30" priority="62">
      <formula>LEN(TRIM(P265))=0</formula>
    </cfRule>
  </conditionalFormatting>
  <conditionalFormatting sqref="Q102:Q105 Q107 Q109:Q110">
    <cfRule type="containsBlanks" dxfId="29" priority="169">
      <formula>LEN(TRIM(Q102))=0</formula>
    </cfRule>
  </conditionalFormatting>
  <conditionalFormatting sqref="R196:U197">
    <cfRule type="containsBlanks" dxfId="28" priority="203">
      <formula>LEN(TRIM(R196))=0</formula>
    </cfRule>
  </conditionalFormatting>
  <conditionalFormatting sqref="S32">
    <cfRule type="containsBlanks" dxfId="27" priority="110">
      <formula>LEN(TRIM(S32))=0</formula>
    </cfRule>
  </conditionalFormatting>
  <conditionalFormatting sqref="S38:S40 V38:V40">
    <cfRule type="containsBlanks" dxfId="26" priority="16">
      <formula>LEN(TRIM(S38))=0</formula>
    </cfRule>
  </conditionalFormatting>
  <conditionalFormatting sqref="S49 V49">
    <cfRule type="containsBlanks" dxfId="25" priority="44">
      <formula>LEN(TRIM(S49))=0</formula>
    </cfRule>
  </conditionalFormatting>
  <conditionalFormatting sqref="T267:AA267 T268 Z268 T269:AA269">
    <cfRule type="containsBlanks" dxfId="24" priority="61">
      <formula>LEN(TRIM(T267))=0</formula>
    </cfRule>
  </conditionalFormatting>
  <conditionalFormatting sqref="U81:U82 U84:U86">
    <cfRule type="expression" dxfId="23" priority="35">
      <formula>AND($I$37="その他",#REF!="")</formula>
    </cfRule>
  </conditionalFormatting>
  <conditionalFormatting sqref="U83">
    <cfRule type="expression" dxfId="22" priority="32">
      <formula>AND($I$37="その他",#REF!="")</formula>
    </cfRule>
  </conditionalFormatting>
  <conditionalFormatting sqref="U101:X110">
    <cfRule type="expression" dxfId="21" priority="2">
      <formula>$I$32="併用住宅"</formula>
    </cfRule>
  </conditionalFormatting>
  <conditionalFormatting sqref="U103:X103">
    <cfRule type="expression" dxfId="20" priority="10">
      <formula>AND($I$32="併用住宅",$U$103="")</formula>
    </cfRule>
  </conditionalFormatting>
  <conditionalFormatting sqref="U104:X104">
    <cfRule type="expression" dxfId="19" priority="8">
      <formula>AND($I$32="併用住宅",$U$104="")</formula>
    </cfRule>
  </conditionalFormatting>
  <conditionalFormatting sqref="U105:X106">
    <cfRule type="expression" dxfId="18" priority="5">
      <formula>AND($I$32="併用住宅",$U$105="")</formula>
    </cfRule>
  </conditionalFormatting>
  <conditionalFormatting sqref="U107:X108">
    <cfRule type="expression" dxfId="17" priority="1">
      <formula>AND($I$32="併用住宅",$U$107="")</formula>
    </cfRule>
  </conditionalFormatting>
  <conditionalFormatting sqref="U109:X109">
    <cfRule type="expression" dxfId="16" priority="12">
      <formula>AND($I$32="併用住宅",$U$109="")</formula>
    </cfRule>
  </conditionalFormatting>
  <conditionalFormatting sqref="U110:X110">
    <cfRule type="expression" dxfId="15" priority="3">
      <formula>AND($I$32="併用住宅",$U$110="")</formula>
    </cfRule>
  </conditionalFormatting>
  <conditionalFormatting sqref="U54:Z54">
    <cfRule type="cellIs" dxfId="14" priority="23" operator="equal">
      <formula>""</formula>
    </cfRule>
  </conditionalFormatting>
  <conditionalFormatting sqref="U57:Z57">
    <cfRule type="cellIs" dxfId="13" priority="24" operator="equal">
      <formula>""</formula>
    </cfRule>
  </conditionalFormatting>
  <conditionalFormatting sqref="U60:Z60">
    <cfRule type="cellIs" dxfId="12" priority="25" operator="equal">
      <formula>""</formula>
    </cfRule>
  </conditionalFormatting>
  <conditionalFormatting sqref="V35:V36">
    <cfRule type="containsBlanks" dxfId="11" priority="105">
      <formula>LEN(TRIM(V35))=0</formula>
    </cfRule>
  </conditionalFormatting>
  <conditionalFormatting sqref="V33:W33">
    <cfRule type="expression" dxfId="10" priority="174">
      <formula>AND($I$32="併用住宅",$V$33="")</formula>
    </cfRule>
  </conditionalFormatting>
  <conditionalFormatting sqref="V34:W34">
    <cfRule type="expression" dxfId="9" priority="173">
      <formula>AND($I$32="併用住宅",$V$34="")</formula>
    </cfRule>
  </conditionalFormatting>
  <conditionalFormatting sqref="V196:Z196">
    <cfRule type="expression" dxfId="8" priority="55">
      <formula>"$R$158=""その他のこて塗り"""</formula>
    </cfRule>
    <cfRule type="expression" dxfId="7" priority="54">
      <formula>AND($R$196="その他のこて塗り",$V$196="")</formula>
    </cfRule>
  </conditionalFormatting>
  <conditionalFormatting sqref="V197:Z197">
    <cfRule type="expression" dxfId="6" priority="53">
      <formula>AND($R$197="その他のこて塗り",$V$197="")</formula>
    </cfRule>
  </conditionalFormatting>
  <dataValidations count="35">
    <dataValidation type="whole" operator="greaterThanOrEqual" allowBlank="1" showInputMessage="1" showErrorMessage="1" error="1か所以上が必須です。" sqref="V36 Q36 L36" xr:uid="{00000000-0002-0000-0000-000000000000}">
      <formula1>1</formula1>
    </dataValidation>
    <dataValidation type="list" allowBlank="1" showInputMessage="1" showErrorMessage="1" sqref="I77:N77" xr:uid="{00000000-0002-0000-0000-000001000000}">
      <formula1>"有,無,"</formula1>
    </dataValidation>
    <dataValidation type="list" allowBlank="1" showInputMessage="1" showErrorMessage="1" sqref="I32" xr:uid="{00000000-0002-0000-0000-000002000000}">
      <formula1>"専用住宅,併用住宅"</formula1>
    </dataValidation>
    <dataValidation type="list" allowBlank="1" showInputMessage="1" showErrorMessage="1" sqref="I37:X37"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2:T102"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3:T103" xr:uid="{00000000-0002-0000-0000-000005000000}">
      <formula1>10</formula1>
      <formula2>Q102</formula2>
    </dataValidation>
    <dataValidation type="list" showInputMessage="1" showErrorMessage="1" sqref="N203:P203" xr:uid="{00000000-0002-0000-0000-000006000000}">
      <formula1>"　,和瓦,平板瓦,S瓦,"</formula1>
    </dataValidation>
    <dataValidation type="list" allowBlank="1" showInputMessage="1" showErrorMessage="1" sqref="N188:S188" xr:uid="{00000000-0002-0000-0000-000007000000}">
      <formula1>"ささら子下見板,押縁下見板,南京下見板,"</formula1>
    </dataValidation>
    <dataValidation type="list" allowBlank="1" showInputMessage="1" showErrorMessage="1" sqref="M29:X29"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49:T49 S38:T40" xr:uid="{00000000-0002-0000-0000-000009000000}">
      <formula1>"1,2,3,4,5,6,7,8,9,10,11,12,"</formula1>
    </dataValidation>
    <dataValidation type="list" allowBlank="1" showInputMessage="1" showErrorMessage="1" sqref="V35:W35"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N38:Q39" xr:uid="{00000000-0002-0000-0000-00000C000000}">
      <formula1>"5,6,7,8,9,10,"</formula1>
    </dataValidation>
    <dataValidation type="list" allowBlank="1" showInputMessage="1" showErrorMessage="1" sqref="I48:N48" xr:uid="{00000000-0002-0000-0000-00000D000000}">
      <formula1>"要,不要,"</formula1>
    </dataValidation>
    <dataValidation type="list" allowBlank="1" showInputMessage="1" showErrorMessage="1" sqref="V49:W49 V38:W40" xr:uid="{00000000-0002-0000-0000-00000E000000}">
      <formula1>"1,2,3,4,5,6,7,8,9,10,11,12,13,14,15,16,17,18,19,20,21,22,23,24,25,26,27,28,29,30,31,"</formula1>
    </dataValidation>
    <dataValidation type="list" allowBlank="1" showInputMessage="1" showErrorMessage="1" sqref="B21 B24 B42 B47 B52 B91 B76 B93 B63 B134 P134 B151 B153 B155 B157 B161 B177 B180 B185 B192 B200 B208 B218 B225 B88 B159 B68 B54 B66 B57 B60 B97 B72 B70 C74" xr:uid="{00000000-0002-0000-0000-00000F000000}">
      <formula1>"✔,"</formula1>
    </dataValidation>
    <dataValidation type="list" allowBlank="1" showInputMessage="1" showErrorMessage="1" sqref="T267:AA267" xr:uid="{00000000-0002-0000-0000-000010000000}">
      <formula1>"一級建築士事務所,二級建築士事務所,木造建築士事務所"</formula1>
    </dataValidation>
    <dataValidation type="list" allowBlank="1" showInputMessage="1" showErrorMessage="1" sqref="J265:O265" xr:uid="{00000000-0002-0000-0000-000011000000}">
      <formula1>"工事監理者氏名,工事施工者氏名"</formula1>
    </dataValidation>
    <dataValidation type="whole" allowBlank="1" showInputMessage="1" showErrorMessage="1" error="県産材の使用材積以下の整数値（小数点以下切捨て）を入力してください。_x000a_" sqref="Q109:T109" xr:uid="{00000000-0002-0000-0000-000012000000}">
      <formula1>0</formula1>
      <formula2>Q103</formula2>
    </dataValidation>
    <dataValidation type="whole" allowBlank="1" showInputMessage="1" showErrorMessage="1" error="整数値（小数点以下切捨て）を入力してください。" sqref="Q110:T110" xr:uid="{00000000-0002-0000-0000-000013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9:X109 U103:X103" xr:uid="{00000000-0002-0000-0000-000014000000}">
      <formula1>0</formula1>
      <formula2>MIN(Q103,U97)</formula2>
    </dataValidation>
    <dataValidation type="whole" allowBlank="1" showInputMessage="1" showErrorMessage="1" errorTitle="エラー" error="併用住宅全体の県産内外装材、県産木塀の見付面積以下の整数値（小数点以下切捨て）を入力してください。" sqref="U110:X110" xr:uid="{00000000-0002-0000-0000-000015000000}">
      <formula1>0</formula1>
      <formula2>Q110</formula2>
    </dataValidation>
    <dataValidation type="list" showInputMessage="1" showErrorMessage="1" sqref="R196:U196" xr:uid="{00000000-0002-0000-0000-000016000000}">
      <formula1>"　,モルタル塗,漆喰塗,土壁塗,そとん壁,その他のこて塗り"</formula1>
    </dataValidation>
    <dataValidation type="list" showInputMessage="1" showErrorMessage="1" sqref="R197:U197" xr:uid="{00000000-0002-0000-0000-000017000000}">
      <formula1>"　,珪藻土塗,じゅらく塗,その他のこて塗り"</formula1>
    </dataValidation>
    <dataValidation type="list" allowBlank="1" showInputMessage="1" showErrorMessage="1" sqref="O166:Z166" xr:uid="{00000000-0002-0000-0000-000018000000}">
      <formula1>"申請者と同じ,申請者と異なる"</formula1>
    </dataValidation>
    <dataValidation type="list" allowBlank="1" showInputMessage="1" showErrorMessage="1" sqref="U54:Z54" xr:uid="{00000000-0002-0000-0000-000019000000}">
      <formula1>"T-G1,T-G2,T-G3"</formula1>
    </dataValidation>
    <dataValidation type="list" allowBlank="1" showInputMessage="1" showErrorMessage="1" sqref="U57:Z57" xr:uid="{00000000-0002-0000-0000-00001A000000}">
      <formula1>"太陽光発電（自家設置）,太陽光発電（リース）,太陽光発電（PPA）,太陽熱利用設備,バイオマス利用設備,地中熱利用設備,その他"</formula1>
    </dataValidation>
    <dataValidation type="list" allowBlank="1" showInputMessage="1" showErrorMessage="1" sqref="U60:Z60" xr:uid="{00000000-0002-0000-0000-00001B000000}">
      <formula1>"『ZEH』,Nearly ZEH,ZEH Oriented（補助対象外）"</formula1>
    </dataValidation>
    <dataValidation type="list" allowBlank="1" showInputMessage="1" showErrorMessage="1" sqref="O49:Q49 N40:Q40" xr:uid="{00000000-0002-0000-0000-00001C000000}">
      <formula1>"2,3,4,5,6,7,8,9,10,"</formula1>
    </dataValidation>
    <dataValidation type="whole" showInputMessage="1" showErrorMessage="1" errorTitle="エラー" error="県産材の使用材積以下の整数値（小数点以下切捨て）を入力してください。_x000a_" sqref="Q104:T106" xr:uid="{00000000-0002-0000-0000-00001D000000}">
      <formula1>0</formula1>
      <formula2>Q103</formula2>
    </dataValidation>
    <dataValidation type="whole" showInputMessage="1" showErrorMessage="1" errorTitle="エラー" error="県産材の使用材積以下の整数値（小数点以下切捨て）を入力してください。_x000a_" sqref="Q107:T108" xr:uid="{00000000-0002-0000-0000-00001E000000}">
      <formula1>0</formula1>
      <formula2>Q104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6" xr:uid="{00000000-0002-0000-0000-00001F000000}">
      <formula1>0</formula1>
      <formula2>MIN(U104,Q105)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7:X108" xr:uid="{00000000-0002-0000-0000-000020000000}">
      <formula1>0</formula1>
      <formula2>MIN(U104,Q107)</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4" xr:uid="{00000000-0002-0000-0000-000021000000}">
      <formula1>0</formula1>
      <formula2>MIN(Q104,U103)</formula2>
    </dataValidation>
    <dataValidation type="list" allowBlank="1" showInputMessage="1" showErrorMessage="1" sqref="E8:F8" xr:uid="{00000000-0002-0000-0000-000022000000}">
      <formula1>"6,7,8,9,10,"</formula1>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89" max="26" man="1"/>
    <brk id="170" max="26" man="1"/>
    <brk id="234"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161</v>
      </c>
    </row>
    <row r="5" spans="1:6" ht="14.4" x14ac:dyDescent="0.2">
      <c r="A5" s="502" t="s">
        <v>149</v>
      </c>
      <c r="B5" s="502"/>
      <c r="C5" s="502"/>
      <c r="D5" s="502"/>
      <c r="E5" s="502"/>
    </row>
    <row r="7" spans="1:6" ht="38.25" customHeight="1" x14ac:dyDescent="0.2">
      <c r="C7" s="5" t="s">
        <v>39</v>
      </c>
      <c r="D7" s="348" t="str">
        <f>IF('【様式第2号】事業計画書兼チェックシート（新築）'!N11="","",'【様式第2号】事業計画書兼チェックシート（新築）'!N11)</f>
        <v/>
      </c>
      <c r="E7" s="348"/>
    </row>
    <row r="8" spans="1:6" x14ac:dyDescent="0.2">
      <c r="C8" s="5" t="s">
        <v>40</v>
      </c>
      <c r="D8" s="341" t="str">
        <f>IF('【様式第2号】事業計画書兼チェックシート（新築）'!N12="","",'【様式第2号】事業計画書兼チェックシート（新築）'!N12)</f>
        <v/>
      </c>
      <c r="E8" s="341"/>
    </row>
    <row r="10" spans="1:6" x14ac:dyDescent="0.2">
      <c r="A10" s="1" t="s">
        <v>34</v>
      </c>
    </row>
    <row r="11" spans="1:6" x14ac:dyDescent="0.2">
      <c r="A11" s="1" t="s">
        <v>35</v>
      </c>
    </row>
    <row r="13" spans="1:6" x14ac:dyDescent="0.2">
      <c r="B13" s="56" t="s">
        <v>33</v>
      </c>
      <c r="C13" s="56" t="s">
        <v>5</v>
      </c>
      <c r="D13" s="56" t="s">
        <v>38</v>
      </c>
    </row>
    <row r="14" spans="1:6" ht="28.05" customHeight="1" x14ac:dyDescent="0.2">
      <c r="A14" s="38" t="s">
        <v>37</v>
      </c>
      <c r="B14" s="56" t="s">
        <v>231</v>
      </c>
      <c r="C14" s="104" t="s">
        <v>232</v>
      </c>
      <c r="D14" s="103" t="s">
        <v>233</v>
      </c>
    </row>
    <row r="15" spans="1:6" ht="29.55" customHeight="1" x14ac:dyDescent="0.2">
      <c r="A15" s="38" t="s">
        <v>37</v>
      </c>
      <c r="B15" s="58" t="s">
        <v>234</v>
      </c>
      <c r="C15" s="58" t="s">
        <v>235</v>
      </c>
      <c r="D15" s="58" t="s">
        <v>236</v>
      </c>
      <c r="F15" s="98"/>
    </row>
    <row r="16" spans="1:6" ht="13.05" x14ac:dyDescent="0.2">
      <c r="B16" s="57"/>
      <c r="C16" s="57"/>
      <c r="D16" s="57"/>
    </row>
    <row r="17" spans="1:7" x14ac:dyDescent="0.2">
      <c r="B17" s="55" t="s">
        <v>33</v>
      </c>
      <c r="C17" s="56" t="s">
        <v>5</v>
      </c>
      <c r="D17" s="56" t="s">
        <v>19</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214</v>
      </c>
    </row>
    <row r="22" spans="1:7" ht="36" customHeight="1" x14ac:dyDescent="0.2">
      <c r="B22" s="95"/>
      <c r="C22" s="95"/>
      <c r="D22" s="96"/>
      <c r="G22" s="1" t="s">
        <v>215</v>
      </c>
    </row>
    <row r="23" spans="1:7" ht="36" customHeight="1" x14ac:dyDescent="0.2">
      <c r="B23" s="95"/>
      <c r="C23" s="95"/>
      <c r="D23" s="96"/>
      <c r="G23" s="1" t="s">
        <v>216</v>
      </c>
    </row>
    <row r="24" spans="1:7" ht="36" customHeight="1" x14ac:dyDescent="0.2">
      <c r="B24" s="95"/>
      <c r="C24" s="95"/>
      <c r="D24" s="96"/>
      <c r="G24" s="1" t="s">
        <v>217</v>
      </c>
    </row>
    <row r="26" spans="1:7" x14ac:dyDescent="0.2">
      <c r="A26" s="1" t="s">
        <v>46</v>
      </c>
    </row>
    <row r="27" spans="1:7" x14ac:dyDescent="0.2">
      <c r="A27" s="59" t="s">
        <v>45</v>
      </c>
      <c r="B27" s="503" t="s">
        <v>44</v>
      </c>
      <c r="C27" s="503"/>
      <c r="D27" s="503"/>
      <c r="E27" s="503"/>
    </row>
    <row r="28" spans="1:7" x14ac:dyDescent="0.2">
      <c r="A28" s="60"/>
      <c r="B28" s="503"/>
      <c r="C28" s="503"/>
      <c r="D28" s="503"/>
      <c r="E28" s="503"/>
    </row>
    <row r="29" spans="1:7" x14ac:dyDescent="0.2">
      <c r="A29" s="59" t="s">
        <v>47</v>
      </c>
      <c r="B29" s="503" t="s">
        <v>48</v>
      </c>
      <c r="C29" s="503"/>
      <c r="D29" s="503"/>
      <c r="E29" s="503"/>
    </row>
    <row r="30" spans="1:7" x14ac:dyDescent="0.2">
      <c r="A30" s="59"/>
      <c r="B30" s="503"/>
      <c r="C30" s="503"/>
      <c r="D30" s="503"/>
      <c r="E30" s="503"/>
    </row>
    <row r="31" spans="1:7" x14ac:dyDescent="0.2">
      <c r="A31" s="59"/>
      <c r="B31" s="503"/>
      <c r="C31" s="503"/>
      <c r="D31" s="503"/>
      <c r="E31" s="503"/>
    </row>
    <row r="32" spans="1:7" x14ac:dyDescent="0.2">
      <c r="A32" s="60"/>
      <c r="B32" s="503"/>
      <c r="C32" s="503"/>
      <c r="D32" s="503"/>
      <c r="E32" s="503"/>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2"/>
  <sheetViews>
    <sheetView view="pageBreakPreview" topLeftCell="A8" zoomScaleNormal="100" zoomScaleSheetLayoutView="100" workbookViewId="0">
      <selection activeCell="J38" sqref="J38"/>
    </sheetView>
  </sheetViews>
  <sheetFormatPr defaultColWidth="3.109375" defaultRowHeight="18" customHeight="1" x14ac:dyDescent="0.2"/>
  <cols>
    <col min="1" max="26" width="3.109375" style="61"/>
    <col min="27" max="27" width="3.109375" style="62"/>
    <col min="28" max="16384" width="3.109375" style="61"/>
  </cols>
  <sheetData>
    <row r="1" spans="1:27" ht="18" customHeight="1" x14ac:dyDescent="0.2">
      <c r="A1" s="61" t="s">
        <v>151</v>
      </c>
    </row>
    <row r="2" spans="1:27" ht="18" customHeight="1" x14ac:dyDescent="0.2">
      <c r="A2" s="505" t="s">
        <v>497</v>
      </c>
      <c r="B2" s="505"/>
      <c r="C2" s="505"/>
      <c r="D2" s="505"/>
      <c r="E2" s="505"/>
      <c r="F2" s="505"/>
      <c r="G2" s="505"/>
      <c r="H2" s="505"/>
      <c r="I2" s="505"/>
      <c r="J2" s="505"/>
      <c r="K2" s="505"/>
      <c r="L2" s="505"/>
      <c r="M2" s="505"/>
      <c r="N2" s="505"/>
      <c r="O2" s="505"/>
      <c r="P2" s="505"/>
      <c r="Q2" s="505"/>
      <c r="R2" s="505"/>
      <c r="S2" s="505"/>
      <c r="T2" s="505"/>
      <c r="U2" s="505"/>
      <c r="V2" s="505"/>
      <c r="W2" s="505"/>
      <c r="X2" s="505"/>
      <c r="Y2" s="505"/>
      <c r="Z2" s="505"/>
    </row>
    <row r="3" spans="1:27" ht="18" customHeight="1" x14ac:dyDescent="0.2">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row>
    <row r="4" spans="1:27" ht="18" customHeight="1" x14ac:dyDescent="0.2">
      <c r="A4" s="107"/>
      <c r="B4" s="107"/>
      <c r="C4" s="107"/>
      <c r="D4" s="107"/>
      <c r="E4" s="107"/>
      <c r="F4" s="107"/>
      <c r="G4" s="107"/>
      <c r="H4" s="107"/>
      <c r="I4" s="107"/>
      <c r="J4" s="107"/>
      <c r="K4" s="107"/>
      <c r="L4" s="107"/>
      <c r="M4" s="107"/>
      <c r="N4" s="107"/>
      <c r="O4" s="108" t="s">
        <v>238</v>
      </c>
      <c r="P4" s="108"/>
      <c r="Q4" s="506" t="str">
        <f>IF('【様式第2号】事業計画書兼チェックシート（新築）'!E8="","",'【様式第2号】事業計画書兼チェックシート（新築）'!E8)</f>
        <v/>
      </c>
      <c r="R4" s="506"/>
      <c r="S4" s="107" t="s">
        <v>7</v>
      </c>
      <c r="T4" s="506" t="str">
        <f>IF('【様式第2号】事業計画書兼チェックシート（新築）'!H8="","",'【様式第2号】事業計画書兼チェックシート（新築）'!H8)</f>
        <v/>
      </c>
      <c r="U4" s="506"/>
      <c r="V4" s="107" t="s">
        <v>237</v>
      </c>
      <c r="W4" s="506" t="str">
        <f>IF('【様式第2号】事業計画書兼チェックシート（新築）'!K8="","",'【様式第2号】事業計画書兼チェックシート（新築）'!K8)</f>
        <v/>
      </c>
      <c r="X4" s="506"/>
      <c r="Y4" s="107" t="s">
        <v>6</v>
      </c>
      <c r="Z4" s="107"/>
      <c r="AA4" s="62" t="s">
        <v>239</v>
      </c>
    </row>
    <row r="5" spans="1:27" ht="18" hidden="1" customHeight="1" x14ac:dyDescent="0.2"/>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04" t="str">
        <f>IF('【様式第2号】事業計画書兼チェックシート（新築）'!O10="","",'【様式第2号】事業計画書兼チェックシート（新築）'!O10)</f>
        <v/>
      </c>
      <c r="Q9" s="504"/>
      <c r="R9" s="504"/>
      <c r="S9" s="504"/>
      <c r="T9" s="504"/>
      <c r="U9" s="504"/>
      <c r="V9" s="504"/>
      <c r="W9" s="504"/>
      <c r="X9" s="504"/>
    </row>
    <row r="10" spans="1:27" ht="50.25" customHeight="1" x14ac:dyDescent="0.2">
      <c r="O10" s="507" t="str">
        <f>IF('【様式第2号】事業計画書兼チェックシート（新築）'!N11="","",'【様式第2号】事業計画書兼チェックシート（新築）'!N11)</f>
        <v/>
      </c>
      <c r="P10" s="507"/>
      <c r="Q10" s="507"/>
      <c r="R10" s="507"/>
      <c r="S10" s="507"/>
      <c r="T10" s="507"/>
      <c r="U10" s="507"/>
      <c r="V10" s="507"/>
      <c r="W10" s="507"/>
      <c r="X10" s="507"/>
    </row>
    <row r="11" spans="1:27" ht="18" customHeight="1" x14ac:dyDescent="0.2">
      <c r="A11" s="82"/>
      <c r="B11" s="82"/>
      <c r="C11" s="82"/>
      <c r="D11" s="82"/>
      <c r="E11" s="82"/>
      <c r="F11" s="82"/>
      <c r="G11" s="82"/>
      <c r="H11" s="82"/>
      <c r="I11" s="82"/>
      <c r="J11" s="82" t="s">
        <v>487</v>
      </c>
      <c r="K11" s="82"/>
      <c r="L11" s="82"/>
      <c r="M11" s="82"/>
      <c r="N11" s="82"/>
      <c r="O11" s="508" t="str">
        <f>IF('【様式第2号】事業計画書兼チェックシート（新築）'!N12="","",'【様式第2号】事業計画書兼チェックシート（新築）'!N12)</f>
        <v/>
      </c>
      <c r="P11" s="508"/>
      <c r="Q11" s="508"/>
      <c r="R11" s="508"/>
      <c r="S11" s="508"/>
      <c r="T11" s="508"/>
      <c r="U11" s="508"/>
      <c r="V11" s="508"/>
      <c r="W11" s="508"/>
      <c r="X11" s="508"/>
      <c r="Y11" s="508"/>
      <c r="Z11" s="508"/>
    </row>
    <row r="12" spans="1:27" ht="18" customHeight="1" x14ac:dyDescent="0.2">
      <c r="A12" s="82"/>
      <c r="B12" s="82"/>
      <c r="C12" s="82"/>
      <c r="D12" s="82"/>
      <c r="E12" s="82"/>
      <c r="F12" s="82"/>
      <c r="G12" s="82"/>
      <c r="H12" s="82"/>
      <c r="I12" s="82"/>
      <c r="J12" s="82" t="s">
        <v>488</v>
      </c>
      <c r="K12" s="82"/>
      <c r="L12" s="82"/>
      <c r="M12" s="82"/>
      <c r="N12" s="82"/>
      <c r="O12" s="508" t="str">
        <f>IF('【様式第2号】事業計画書兼チェックシート（新築）'!N13="","",'【様式第2号】事業計画書兼チェックシート（新築）'!N13)</f>
        <v/>
      </c>
      <c r="P12" s="508"/>
      <c r="Q12" s="508"/>
      <c r="R12" s="508"/>
      <c r="S12" s="508"/>
      <c r="T12" s="508"/>
      <c r="U12" s="508"/>
      <c r="V12" s="508"/>
      <c r="W12" s="508"/>
      <c r="X12" s="508"/>
      <c r="Y12" s="82"/>
      <c r="Z12" s="82"/>
      <c r="AA12" s="62" t="s">
        <v>71</v>
      </c>
    </row>
    <row r="13" spans="1:27" ht="18" customHeight="1" x14ac:dyDescent="0.2">
      <c r="J13" s="504" t="s">
        <v>8</v>
      </c>
      <c r="K13" s="504"/>
      <c r="L13" s="504"/>
      <c r="M13" s="504"/>
      <c r="O13" s="508" t="str">
        <f>IF('【様式第2号】事業計画書兼チェックシート（新築）'!N14="","",'【様式第2号】事業計画書兼チェックシート（新築）'!N14)</f>
        <v/>
      </c>
      <c r="P13" s="508"/>
      <c r="Q13" s="508"/>
      <c r="R13" s="508"/>
      <c r="S13" s="508"/>
      <c r="T13" s="508"/>
      <c r="U13" s="508"/>
      <c r="V13" s="508"/>
      <c r="W13" s="508"/>
      <c r="X13" s="508"/>
    </row>
    <row r="14" spans="1:27" ht="18" hidden="1" customHeight="1" x14ac:dyDescent="0.2"/>
    <row r="16" spans="1:27" ht="13.05" x14ac:dyDescent="0.2"/>
    <row r="17" spans="1:27" ht="31.5" customHeight="1" x14ac:dyDescent="0.2">
      <c r="A17" s="507" t="s">
        <v>496</v>
      </c>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row>
    <row r="19" spans="1:27" ht="18" customHeight="1" x14ac:dyDescent="0.2">
      <c r="A19" s="505" t="s">
        <v>12</v>
      </c>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row>
    <row r="20" spans="1:27" ht="18" hidden="1" customHeight="1" x14ac:dyDescent="0.2"/>
    <row r="21" spans="1:27" ht="18" customHeight="1" x14ac:dyDescent="0.2">
      <c r="B21" s="64" t="s">
        <v>13</v>
      </c>
      <c r="C21" s="65"/>
      <c r="D21" s="65"/>
      <c r="E21" s="65"/>
      <c r="F21" s="65"/>
      <c r="G21" s="66"/>
      <c r="H21" s="510" t="s">
        <v>249</v>
      </c>
      <c r="I21" s="511"/>
      <c r="J21" s="511"/>
      <c r="K21" s="511"/>
      <c r="L21" s="511"/>
      <c r="M21" s="511"/>
      <c r="N21" s="511"/>
      <c r="O21" s="511"/>
      <c r="P21" s="511"/>
      <c r="Q21" s="511"/>
      <c r="R21" s="511"/>
      <c r="S21" s="511"/>
      <c r="T21" s="511"/>
      <c r="U21" s="511"/>
      <c r="V21" s="511"/>
      <c r="W21" s="511"/>
      <c r="X21" s="511"/>
      <c r="Y21" s="512"/>
    </row>
    <row r="22" spans="1:27" ht="18" customHeight="1" x14ac:dyDescent="0.2">
      <c r="B22" s="64" t="s">
        <v>15</v>
      </c>
      <c r="C22" s="65"/>
      <c r="D22" s="65"/>
      <c r="E22" s="65"/>
      <c r="F22" s="65"/>
      <c r="G22" s="66"/>
      <c r="H22" s="67"/>
      <c r="I22" s="68"/>
      <c r="J22" s="68"/>
      <c r="K22" s="68"/>
      <c r="L22" s="322" t="s">
        <v>20</v>
      </c>
      <c r="M22" s="509" t="str">
        <f>IF('【様式第2号】事業計画書兼チェックシート（新築）'!T240="","",'【様式第2号】事業計画書兼チェックシート（新築）'!T240*10000)</f>
        <v/>
      </c>
      <c r="N22" s="509"/>
      <c r="O22" s="509"/>
      <c r="P22" s="509"/>
      <c r="Q22" s="509"/>
      <c r="R22" s="509"/>
      <c r="S22" s="68" t="s">
        <v>16</v>
      </c>
      <c r="T22" s="68"/>
      <c r="U22" s="68"/>
      <c r="V22" s="68"/>
      <c r="W22" s="68"/>
      <c r="X22" s="68"/>
      <c r="Y22" s="69"/>
      <c r="AA22" s="62" t="s">
        <v>72</v>
      </c>
    </row>
    <row r="23" spans="1:27" ht="18" customHeight="1" x14ac:dyDescent="0.2">
      <c r="B23" s="64" t="s">
        <v>17</v>
      </c>
      <c r="C23" s="65"/>
      <c r="D23" s="65"/>
      <c r="E23" s="65"/>
      <c r="F23" s="65"/>
      <c r="G23" s="66"/>
      <c r="H23" s="70"/>
      <c r="I23" s="71"/>
      <c r="J23" s="71"/>
      <c r="K23" s="71"/>
      <c r="L23" s="72" t="s">
        <v>20</v>
      </c>
      <c r="M23" s="509" t="str">
        <f>IF('【様式第2号】事業計画書兼チェックシート（新築）'!T240="","",'【様式第2号】事業計画書兼チェックシート（新築）'!T240*10000)</f>
        <v/>
      </c>
      <c r="N23" s="509"/>
      <c r="O23" s="509"/>
      <c r="P23" s="509"/>
      <c r="Q23" s="509"/>
      <c r="R23" s="509"/>
      <c r="S23" s="68" t="s">
        <v>16</v>
      </c>
      <c r="T23" s="71"/>
      <c r="U23" s="71"/>
      <c r="V23" s="71"/>
      <c r="W23" s="71"/>
      <c r="X23" s="71"/>
      <c r="Y23" s="73"/>
      <c r="AA23" s="62" t="s">
        <v>72</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490</v>
      </c>
      <c r="I25" s="82"/>
      <c r="Y25" s="80"/>
      <c r="AA25" s="62" t="s">
        <v>73</v>
      </c>
    </row>
    <row r="26" spans="1:27" ht="18" customHeight="1" x14ac:dyDescent="0.2">
      <c r="B26" s="79"/>
      <c r="G26" s="80"/>
      <c r="H26" s="81"/>
      <c r="I26" s="82"/>
      <c r="Y26" s="80"/>
    </row>
    <row r="27" spans="1:27" ht="18" hidden="1" customHeight="1" x14ac:dyDescent="0.2">
      <c r="B27" s="79"/>
      <c r="G27" s="80"/>
      <c r="H27" s="81" t="str">
        <f>IF('[1]【様式第２号】事業計画書兼チェックシート（新築）'!I77="有","・他に利用する補助金一覧表（様式第６号別紙）","")</f>
        <v/>
      </c>
      <c r="I27" s="82"/>
      <c r="Y27" s="80"/>
    </row>
    <row r="28" spans="1:27" ht="18" customHeight="1" x14ac:dyDescent="0.2">
      <c r="B28" s="79"/>
      <c r="G28" s="80"/>
      <c r="H28" s="81" t="str">
        <f>IF('【様式第2号】事業計画書兼チェックシート（新築）'!C251="","","・"&amp;'【様式第2号】事業計画書兼チェックシート（新築）'!C251)</f>
        <v>・各階平面図、配置図</v>
      </c>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8" customHeight="1" x14ac:dyDescent="0.2">
      <c r="B32" s="79"/>
      <c r="G32" s="80"/>
      <c r="H32" s="81"/>
      <c r="I32" s="82"/>
      <c r="Y32" s="80"/>
    </row>
    <row r="33" spans="1:35" ht="11.25" customHeight="1" x14ac:dyDescent="0.2">
      <c r="B33" s="83"/>
      <c r="C33" s="84"/>
      <c r="D33" s="84"/>
      <c r="E33" s="84"/>
      <c r="F33" s="84"/>
      <c r="G33" s="85"/>
      <c r="H33" s="86"/>
      <c r="I33" s="87"/>
      <c r="J33" s="84"/>
      <c r="K33" s="84"/>
      <c r="L33" s="84"/>
      <c r="M33" s="84"/>
      <c r="N33" s="84"/>
      <c r="O33" s="84"/>
      <c r="P33" s="84"/>
      <c r="Q33" s="84"/>
      <c r="R33" s="84"/>
      <c r="S33" s="84"/>
      <c r="T33" s="84"/>
      <c r="U33" s="84"/>
      <c r="V33" s="84"/>
      <c r="W33" s="84"/>
      <c r="X33" s="84"/>
      <c r="Y33" s="85"/>
    </row>
    <row r="34" spans="1:35" ht="13.05" x14ac:dyDescent="0.2"/>
    <row r="35" spans="1:35" ht="12" customHeight="1" x14ac:dyDescent="0.2"/>
    <row r="36" spans="1:35" s="54" customFormat="1" ht="18" customHeight="1" x14ac:dyDescent="0.2">
      <c r="A36" s="88"/>
      <c r="B36" s="89"/>
      <c r="C36" s="89"/>
      <c r="D36" s="89"/>
      <c r="E36" s="89"/>
      <c r="F36" s="89"/>
      <c r="G36" s="89"/>
      <c r="H36" s="89"/>
      <c r="I36" s="89"/>
      <c r="J36" s="89"/>
      <c r="K36" s="89"/>
      <c r="L36" s="89"/>
      <c r="M36" s="89"/>
      <c r="N36" s="89"/>
      <c r="O36" s="89"/>
      <c r="P36" s="89"/>
      <c r="Q36" s="90"/>
      <c r="R36" s="89"/>
      <c r="S36" s="89"/>
      <c r="T36" s="89"/>
      <c r="U36" s="89"/>
      <c r="V36" s="89"/>
      <c r="W36" s="89"/>
      <c r="X36" s="89"/>
      <c r="Y36" s="89"/>
      <c r="Z36" s="89"/>
      <c r="AA36" s="91"/>
    </row>
    <row r="37" spans="1:35" s="54" customFormat="1" ht="18" customHeight="1" x14ac:dyDescent="0.2">
      <c r="A37" s="88"/>
      <c r="AA37" s="91"/>
    </row>
    <row r="38" spans="1:35" s="54" customFormat="1" ht="18" customHeight="1" x14ac:dyDescent="0.2">
      <c r="B38" s="89"/>
      <c r="C38" s="89"/>
      <c r="D38" s="89"/>
      <c r="E38" s="89"/>
      <c r="F38" s="89"/>
      <c r="G38" s="89"/>
      <c r="H38" s="89"/>
      <c r="I38" s="323"/>
      <c r="J38" s="324"/>
      <c r="K38" s="324"/>
      <c r="L38" s="324"/>
      <c r="M38" s="325"/>
      <c r="N38" s="325"/>
      <c r="O38" s="325"/>
      <c r="P38" s="325"/>
      <c r="Q38" s="325"/>
      <c r="R38" s="325"/>
      <c r="S38" s="325"/>
      <c r="T38" s="325"/>
      <c r="U38" s="325"/>
      <c r="V38" s="325"/>
      <c r="W38" s="325"/>
      <c r="X38" s="325"/>
      <c r="Y38" s="325"/>
      <c r="AA38" s="62"/>
    </row>
    <row r="39" spans="1:35" s="54" customFormat="1" ht="24" customHeight="1" x14ac:dyDescent="0.2">
      <c r="B39" s="89"/>
      <c r="C39" s="89"/>
      <c r="D39" s="89"/>
      <c r="E39" s="89"/>
      <c r="F39" s="89"/>
      <c r="G39" s="89"/>
      <c r="H39" s="89"/>
      <c r="I39" s="325"/>
      <c r="J39" s="325"/>
      <c r="K39" s="325"/>
      <c r="L39" s="325"/>
      <c r="M39" s="325"/>
      <c r="N39" s="325"/>
      <c r="O39" s="325"/>
      <c r="P39" s="325"/>
      <c r="Q39" s="325"/>
      <c r="R39" s="325"/>
      <c r="S39" s="325"/>
      <c r="T39" s="325"/>
      <c r="U39" s="325"/>
      <c r="V39" s="325"/>
      <c r="W39" s="325"/>
      <c r="X39" s="325"/>
      <c r="Y39" s="325"/>
      <c r="AA39" s="91"/>
      <c r="AB39" s="91"/>
      <c r="AC39" s="91"/>
      <c r="AD39" s="91"/>
      <c r="AE39" s="91"/>
      <c r="AF39" s="91"/>
      <c r="AG39" s="91"/>
      <c r="AH39" s="91"/>
      <c r="AI39" s="91"/>
    </row>
    <row r="40" spans="1:35" s="54" customFormat="1" ht="26.25" customHeight="1" x14ac:dyDescent="0.2">
      <c r="B40" s="89"/>
      <c r="C40" s="89"/>
      <c r="D40" s="89"/>
      <c r="E40" s="89"/>
      <c r="F40" s="89"/>
      <c r="G40" s="89"/>
      <c r="H40" s="89"/>
      <c r="I40" s="325"/>
      <c r="J40" s="325"/>
      <c r="K40" s="325"/>
      <c r="L40" s="325"/>
      <c r="M40" s="325"/>
      <c r="N40" s="325"/>
      <c r="O40" s="325"/>
      <c r="P40" s="325"/>
      <c r="Q40" s="325"/>
      <c r="R40" s="325"/>
      <c r="S40" s="325"/>
      <c r="T40" s="325"/>
      <c r="U40" s="325"/>
      <c r="V40" s="325"/>
      <c r="W40" s="325"/>
      <c r="X40" s="325"/>
      <c r="Y40" s="325"/>
      <c r="AA40" s="91"/>
      <c r="AB40" s="91"/>
      <c r="AC40" s="91"/>
      <c r="AD40" s="91"/>
      <c r="AE40" s="91"/>
      <c r="AF40" s="91"/>
      <c r="AG40" s="91"/>
      <c r="AH40" s="91"/>
      <c r="AI40" s="91"/>
    </row>
    <row r="41" spans="1:35" s="54" customFormat="1" ht="18" customHeight="1" x14ac:dyDescent="0.2">
      <c r="B41" s="89"/>
      <c r="C41" s="89"/>
      <c r="D41" s="89"/>
      <c r="E41" s="89"/>
      <c r="F41" s="89"/>
      <c r="G41" s="89"/>
      <c r="H41" s="89"/>
      <c r="I41" s="325"/>
      <c r="J41" s="325"/>
      <c r="K41" s="325"/>
      <c r="L41" s="325"/>
      <c r="M41" s="325"/>
      <c r="Q41" s="326"/>
      <c r="R41" s="326"/>
      <c r="S41" s="326"/>
      <c r="T41" s="326"/>
      <c r="U41" s="326"/>
      <c r="V41" s="326"/>
      <c r="W41" s="326"/>
      <c r="X41" s="326"/>
      <c r="Y41" s="326"/>
      <c r="AA41" s="91"/>
      <c r="AB41" s="91"/>
      <c r="AC41" s="91"/>
      <c r="AD41" s="91"/>
      <c r="AE41" s="91"/>
      <c r="AF41" s="91"/>
      <c r="AG41" s="91"/>
      <c r="AH41" s="92"/>
      <c r="AI41" s="91"/>
    </row>
    <row r="42" spans="1:35" s="54" customFormat="1" ht="18" customHeight="1" x14ac:dyDescent="0.2">
      <c r="AA42" s="91"/>
      <c r="AB42" s="91"/>
      <c r="AC42" s="91"/>
      <c r="AD42" s="91"/>
      <c r="AE42" s="91"/>
      <c r="AF42" s="91"/>
      <c r="AG42" s="91"/>
      <c r="AH42" s="91"/>
      <c r="AI42" s="91"/>
    </row>
  </sheetData>
  <sheetProtection sheet="1" objects="1" scenarios="1" selectLockedCells="1"/>
  <mergeCells count="15">
    <mergeCell ref="A17:Z17"/>
    <mergeCell ref="A19:Z19"/>
    <mergeCell ref="M22:R22"/>
    <mergeCell ref="H21:Y21"/>
    <mergeCell ref="M23:R23"/>
    <mergeCell ref="J13:M13"/>
    <mergeCell ref="A2:Z2"/>
    <mergeCell ref="Q4:R4"/>
    <mergeCell ref="T4:U4"/>
    <mergeCell ref="W4:X4"/>
    <mergeCell ref="P9:X9"/>
    <mergeCell ref="O10:X10"/>
    <mergeCell ref="O11:Z11"/>
    <mergeCell ref="O12:X12"/>
    <mergeCell ref="O13:X13"/>
  </mergeCells>
  <phoneticPr fontId="1"/>
  <conditionalFormatting sqref="A4:O4 S4:T4 V4:W4 Y4:Z4">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6"/>
  <sheetViews>
    <sheetView view="pageBreakPreview" zoomScaleNormal="100" zoomScaleSheetLayoutView="100" workbookViewId="0">
      <selection activeCell="A4" sqref="A4"/>
    </sheetView>
  </sheetViews>
  <sheetFormatPr defaultColWidth="3.109375" defaultRowHeight="18" customHeight="1" x14ac:dyDescent="0.2"/>
  <cols>
    <col min="1" max="23" width="3.109375" style="61"/>
    <col min="24" max="24" width="3.109375" style="61" customWidth="1"/>
    <col min="25" max="26" width="3.109375" style="61"/>
    <col min="27" max="27" width="3.109375" style="62"/>
    <col min="28" max="16384" width="3.109375" style="61"/>
  </cols>
  <sheetData>
    <row r="1" spans="1:27" ht="18" customHeight="1" x14ac:dyDescent="0.2">
      <c r="A1" s="61" t="s">
        <v>151</v>
      </c>
    </row>
    <row r="2" spans="1:27" ht="18" customHeight="1" x14ac:dyDescent="0.2">
      <c r="A2" s="513" t="s">
        <v>486</v>
      </c>
      <c r="B2" s="513"/>
      <c r="C2" s="513"/>
      <c r="D2" s="513"/>
      <c r="E2" s="513"/>
      <c r="F2" s="513"/>
      <c r="G2" s="513"/>
      <c r="H2" s="513"/>
      <c r="I2" s="513"/>
      <c r="J2" s="513"/>
      <c r="K2" s="513"/>
      <c r="L2" s="513"/>
      <c r="M2" s="513"/>
      <c r="N2" s="513"/>
      <c r="O2" s="513"/>
      <c r="P2" s="513"/>
      <c r="Q2" s="513"/>
      <c r="R2" s="513"/>
      <c r="S2" s="513"/>
      <c r="T2" s="513"/>
      <c r="U2" s="513"/>
      <c r="V2" s="513"/>
      <c r="W2" s="513"/>
      <c r="X2" s="513"/>
      <c r="Y2" s="513"/>
      <c r="Z2" s="513"/>
    </row>
    <row r="4" spans="1:27" ht="18" customHeight="1" x14ac:dyDescent="0.2">
      <c r="A4" s="107"/>
      <c r="B4" s="107"/>
      <c r="C4" s="107"/>
      <c r="D4" s="107"/>
      <c r="E4" s="107"/>
      <c r="F4" s="107"/>
      <c r="G4" s="107"/>
      <c r="H4" s="107"/>
      <c r="I4" s="107"/>
      <c r="J4" s="107"/>
      <c r="K4" s="107"/>
      <c r="L4" s="107"/>
      <c r="M4" s="107"/>
      <c r="N4" s="107"/>
      <c r="O4" s="108" t="s">
        <v>238</v>
      </c>
      <c r="P4" s="108"/>
      <c r="Q4" s="506" t="str">
        <f>IF('【様式第2号】事業計画書兼チェックシート（新築）'!E8="","",'【様式第2号】事業計画書兼チェックシート（新築）'!E8)</f>
        <v/>
      </c>
      <c r="R4" s="506"/>
      <c r="S4" s="107" t="s">
        <v>7</v>
      </c>
      <c r="T4" s="506" t="str">
        <f>IF('【様式第2号】事業計画書兼チェックシート（新築）'!H8="","",'【様式第2号】事業計画書兼チェックシート（新築）'!H8)</f>
        <v/>
      </c>
      <c r="U4" s="506"/>
      <c r="V4" s="107" t="s">
        <v>237</v>
      </c>
      <c r="W4" s="506" t="str">
        <f>IF('【様式第2号】事業計画書兼チェックシート（新築）'!K8="","",'【様式第2号】事業計画書兼チェックシート（新築）'!K8)</f>
        <v/>
      </c>
      <c r="X4" s="506"/>
      <c r="Y4" s="107" t="s">
        <v>6</v>
      </c>
      <c r="Z4" s="107"/>
      <c r="AA4" s="62" t="s">
        <v>239</v>
      </c>
    </row>
    <row r="5" spans="1:27" ht="18" hidden="1" customHeigh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row>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04" t="str">
        <f>IF('【様式第2号】事業計画書兼チェックシート（新築）'!O10="","",'【様式第2号】事業計画書兼チェックシート（新築）'!O10)</f>
        <v/>
      </c>
      <c r="Q9" s="504"/>
      <c r="R9" s="504"/>
      <c r="S9" s="504"/>
      <c r="T9" s="504"/>
      <c r="U9" s="504"/>
      <c r="V9" s="504"/>
      <c r="W9" s="504"/>
      <c r="X9" s="504"/>
    </row>
    <row r="10" spans="1:27" ht="50.25" customHeight="1" x14ac:dyDescent="0.2">
      <c r="O10" s="507" t="str">
        <f>IF('【様式第2号】事業計画書兼チェックシート（新築）'!N11="","",'【様式第2号】事業計画書兼チェックシート（新築）'!N11)</f>
        <v/>
      </c>
      <c r="P10" s="507"/>
      <c r="Q10" s="507"/>
      <c r="R10" s="507"/>
      <c r="S10" s="507"/>
      <c r="T10" s="507"/>
      <c r="U10" s="507"/>
      <c r="V10" s="507"/>
      <c r="W10" s="507"/>
      <c r="X10" s="507"/>
    </row>
    <row r="11" spans="1:27" ht="18" customHeight="1" x14ac:dyDescent="0.2">
      <c r="A11" s="82"/>
      <c r="B11" s="82"/>
      <c r="C11" s="82"/>
      <c r="D11" s="82"/>
      <c r="E11" s="82"/>
      <c r="F11" s="82"/>
      <c r="G11" s="82"/>
      <c r="H11" s="82"/>
      <c r="I11" s="82"/>
      <c r="J11" s="82" t="s">
        <v>487</v>
      </c>
      <c r="K11" s="82"/>
      <c r="L11" s="82"/>
      <c r="M11" s="82"/>
      <c r="N11" s="82"/>
      <c r="O11" s="508" t="str">
        <f>IF('【様式第2号】事業計画書兼チェックシート（新築）'!N12="","",'【様式第2号】事業計画書兼チェックシート（新築）'!N12)</f>
        <v/>
      </c>
      <c r="P11" s="508"/>
      <c r="Q11" s="508"/>
      <c r="R11" s="508"/>
      <c r="S11" s="508"/>
      <c r="T11" s="508"/>
      <c r="U11" s="508"/>
      <c r="V11" s="508"/>
      <c r="W11" s="508"/>
      <c r="X11" s="508"/>
      <c r="Y11" s="508"/>
      <c r="Z11" s="508"/>
    </row>
    <row r="12" spans="1:27" ht="18" customHeight="1" x14ac:dyDescent="0.2">
      <c r="A12" s="82"/>
      <c r="B12" s="82"/>
      <c r="C12" s="82"/>
      <c r="D12" s="82"/>
      <c r="E12" s="82"/>
      <c r="F12" s="82"/>
      <c r="G12" s="82"/>
      <c r="H12" s="82"/>
      <c r="I12" s="82"/>
      <c r="J12" s="82" t="s">
        <v>488</v>
      </c>
      <c r="K12" s="82"/>
      <c r="L12" s="82"/>
      <c r="M12" s="82"/>
      <c r="N12" s="82"/>
      <c r="O12" s="508" t="str">
        <f>IF('【様式第2号】事業計画書兼チェックシート（新築）'!N13="","",'【様式第2号】事業計画書兼チェックシート（新築）'!N13)</f>
        <v/>
      </c>
      <c r="P12" s="508"/>
      <c r="Q12" s="508"/>
      <c r="R12" s="508"/>
      <c r="S12" s="508"/>
      <c r="T12" s="508"/>
      <c r="U12" s="508"/>
      <c r="V12" s="508"/>
      <c r="W12" s="508"/>
      <c r="X12" s="508"/>
      <c r="Y12" s="82"/>
      <c r="Z12" s="82"/>
      <c r="AA12" s="62" t="s">
        <v>71</v>
      </c>
    </row>
    <row r="13" spans="1:27" ht="18" customHeight="1" x14ac:dyDescent="0.2">
      <c r="J13" s="504" t="s">
        <v>8</v>
      </c>
      <c r="K13" s="504"/>
      <c r="L13" s="504"/>
      <c r="M13" s="504"/>
      <c r="O13" s="508" t="str">
        <f>IF('【様式第2号】事業計画書兼チェックシート（新築）'!N14="","",'【様式第2号】事業計画書兼チェックシート（新築）'!N14)</f>
        <v/>
      </c>
      <c r="P13" s="508"/>
      <c r="Q13" s="508"/>
      <c r="R13" s="508"/>
      <c r="S13" s="508"/>
      <c r="T13" s="508"/>
      <c r="U13" s="508"/>
      <c r="V13" s="508"/>
      <c r="W13" s="508"/>
      <c r="X13" s="508"/>
    </row>
    <row r="14" spans="1:27" ht="18" hidden="1" customHeight="1" x14ac:dyDescent="0.2"/>
    <row r="16" spans="1:27" ht="13.05" x14ac:dyDescent="0.2"/>
    <row r="17" spans="1:27" ht="30.75" customHeight="1" x14ac:dyDescent="0.2">
      <c r="A17" s="507" t="s">
        <v>489</v>
      </c>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row>
    <row r="19" spans="1:27" ht="18" customHeight="1" x14ac:dyDescent="0.2">
      <c r="A19" s="505" t="s">
        <v>12</v>
      </c>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row>
    <row r="20" spans="1:27" ht="18" hidden="1" customHeight="1" x14ac:dyDescent="0.2"/>
    <row r="21" spans="1:27" ht="18" customHeight="1" x14ac:dyDescent="0.2">
      <c r="B21" s="64" t="s">
        <v>13</v>
      </c>
      <c r="C21" s="65"/>
      <c r="D21" s="65"/>
      <c r="E21" s="65"/>
      <c r="F21" s="65"/>
      <c r="G21" s="66"/>
      <c r="H21" s="510" t="s">
        <v>14</v>
      </c>
      <c r="I21" s="511"/>
      <c r="J21" s="511"/>
      <c r="K21" s="511"/>
      <c r="L21" s="511"/>
      <c r="M21" s="511"/>
      <c r="N21" s="511"/>
      <c r="O21" s="511"/>
      <c r="P21" s="511"/>
      <c r="Q21" s="511"/>
      <c r="R21" s="511"/>
      <c r="S21" s="511"/>
      <c r="T21" s="511"/>
      <c r="U21" s="511"/>
      <c r="V21" s="511"/>
      <c r="W21" s="511"/>
      <c r="X21" s="511"/>
      <c r="Y21" s="512"/>
    </row>
    <row r="22" spans="1:27" ht="18" customHeight="1" x14ac:dyDescent="0.2">
      <c r="B22" s="64" t="s">
        <v>15</v>
      </c>
      <c r="C22" s="65"/>
      <c r="D22" s="65"/>
      <c r="E22" s="65"/>
      <c r="F22" s="65"/>
      <c r="G22" s="66"/>
      <c r="H22" s="67"/>
      <c r="I22" s="68"/>
      <c r="J22" s="68"/>
      <c r="K22" s="68"/>
      <c r="L22" s="322" t="s">
        <v>20</v>
      </c>
      <c r="M22" s="509" t="str">
        <f>IF('【様式第2号】事業計画書兼チェックシート（新築）'!T239="","",'【様式第2号】事業計画書兼チェックシート（新築）'!AB235*10000)</f>
        <v/>
      </c>
      <c r="N22" s="509"/>
      <c r="O22" s="509"/>
      <c r="P22" s="509"/>
      <c r="Q22" s="509"/>
      <c r="R22" s="509"/>
      <c r="S22" s="68" t="s">
        <v>16</v>
      </c>
      <c r="T22" s="68"/>
      <c r="U22" s="68"/>
      <c r="V22" s="68"/>
      <c r="W22" s="68"/>
      <c r="X22" s="68"/>
      <c r="Y22" s="69"/>
      <c r="AA22" s="62" t="s">
        <v>72</v>
      </c>
    </row>
    <row r="23" spans="1:27" ht="18" customHeight="1" x14ac:dyDescent="0.2">
      <c r="B23" s="64" t="s">
        <v>17</v>
      </c>
      <c r="C23" s="65"/>
      <c r="D23" s="65"/>
      <c r="E23" s="65"/>
      <c r="F23" s="65"/>
      <c r="G23" s="66"/>
      <c r="H23" s="70"/>
      <c r="I23" s="71"/>
      <c r="J23" s="71"/>
      <c r="K23" s="71"/>
      <c r="L23" s="72" t="s">
        <v>20</v>
      </c>
      <c r="M23" s="509" t="str">
        <f>IF('【様式第2号】事業計画書兼チェックシート（新築）'!T239="","",'【様式第2号】事業計画書兼チェックシート（新築）'!T239*10000)</f>
        <v/>
      </c>
      <c r="N23" s="509"/>
      <c r="O23" s="509"/>
      <c r="P23" s="509"/>
      <c r="Q23" s="509"/>
      <c r="R23" s="509"/>
      <c r="S23" s="68" t="s">
        <v>16</v>
      </c>
      <c r="T23" s="71"/>
      <c r="U23" s="71"/>
      <c r="V23" s="71"/>
      <c r="W23" s="71"/>
      <c r="X23" s="71"/>
      <c r="Y23" s="73"/>
      <c r="AA23" s="62" t="s">
        <v>72</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490</v>
      </c>
      <c r="I25" s="82"/>
      <c r="Y25" s="80"/>
      <c r="AA25" s="62" t="s">
        <v>73</v>
      </c>
    </row>
    <row r="26" spans="1:27" ht="18" customHeight="1" x14ac:dyDescent="0.2">
      <c r="B26" s="79"/>
      <c r="G26" s="80"/>
      <c r="H26" s="81"/>
      <c r="I26" s="82"/>
      <c r="Y26" s="80"/>
    </row>
    <row r="27" spans="1:27" ht="18" hidden="1" customHeight="1" x14ac:dyDescent="0.2">
      <c r="B27" s="79"/>
      <c r="G27" s="80"/>
      <c r="H27" s="81" t="str">
        <f>IF('[1]【様式第２号】事業計画書兼チェックシート（新築）'!I77="有","・他に利用する補助金一覧表（様式第６号別紙）","")</f>
        <v/>
      </c>
      <c r="I27" s="82"/>
      <c r="Y27" s="80"/>
    </row>
    <row r="28" spans="1:27" ht="18" customHeight="1" x14ac:dyDescent="0.2">
      <c r="B28" s="79"/>
      <c r="G28" s="80"/>
      <c r="H28" s="81" t="str">
        <f>IF('【様式第2号】事業計画書兼チェックシート（新築）'!C251="","","・"&amp;'【様式第2号】事業計画書兼チェックシート（新築）'!C251)</f>
        <v>・各階平面図、配置図</v>
      </c>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8" customHeight="1" x14ac:dyDescent="0.2">
      <c r="B32" s="79"/>
      <c r="G32" s="80"/>
      <c r="H32" s="81"/>
      <c r="I32" s="82"/>
      <c r="Y32" s="80"/>
    </row>
    <row r="33" spans="2:35" ht="13.05" x14ac:dyDescent="0.2">
      <c r="B33" s="83"/>
      <c r="C33" s="84"/>
      <c r="D33" s="84"/>
      <c r="E33" s="84"/>
      <c r="F33" s="84"/>
      <c r="G33" s="85"/>
      <c r="H33" s="86"/>
      <c r="I33" s="87"/>
      <c r="J33" s="84"/>
      <c r="K33" s="84"/>
      <c r="L33" s="84"/>
      <c r="M33" s="84"/>
      <c r="N33" s="84"/>
      <c r="O33" s="84"/>
      <c r="P33" s="84"/>
      <c r="Q33" s="84"/>
      <c r="R33" s="84"/>
      <c r="S33" s="84"/>
      <c r="T33" s="84"/>
      <c r="U33" s="84"/>
      <c r="V33" s="84"/>
      <c r="W33" s="84"/>
      <c r="X33" s="84"/>
      <c r="Y33" s="85"/>
    </row>
    <row r="34" spans="2:35" ht="11.25" customHeight="1" x14ac:dyDescent="0.2"/>
    <row r="35" spans="2:35" ht="11.25" customHeight="1" x14ac:dyDescent="0.2"/>
    <row r="36" spans="2:35" s="54" customFormat="1" ht="18" customHeight="1" x14ac:dyDescent="0.2">
      <c r="AA36" s="91"/>
      <c r="AB36" s="91"/>
      <c r="AC36" s="91"/>
      <c r="AD36" s="91"/>
      <c r="AE36" s="91"/>
      <c r="AF36" s="91"/>
      <c r="AG36" s="91"/>
      <c r="AH36" s="91"/>
      <c r="AI36" s="91"/>
    </row>
  </sheetData>
  <sheetProtection algorithmName="SHA-512" hashValue="85co8B8Z+pQIKCU1xG2rgiQUjGKOg1q91H4uxUjNhIGijJsELddC7PClpKimbBLp53vE4uyGJLK73IR8EyRtQQ==" saltValue="FXlGi2KYYM4sYNP44TgHVw==" spinCount="100000" sheet="1" objects="1" scenarios="1" selectLockedCells="1"/>
  <mergeCells count="15">
    <mergeCell ref="M23:R23"/>
    <mergeCell ref="A2:Z2"/>
    <mergeCell ref="Q4:R4"/>
    <mergeCell ref="T4:U4"/>
    <mergeCell ref="W4:X4"/>
    <mergeCell ref="P9:X9"/>
    <mergeCell ref="M22:R22"/>
    <mergeCell ref="O11:Z11"/>
    <mergeCell ref="O12:X12"/>
    <mergeCell ref="O13:X13"/>
    <mergeCell ref="A17:Z17"/>
    <mergeCell ref="A19:Z19"/>
    <mergeCell ref="H21:Y21"/>
    <mergeCell ref="O10:X10"/>
    <mergeCell ref="J13:M13"/>
  </mergeCells>
  <phoneticPr fontId="1"/>
  <conditionalFormatting sqref="A4:O4 S4:T4 V4:W4 Y4:Z4">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Y27"/>
  <sheetViews>
    <sheetView topLeftCell="N1" zoomScale="70" zoomScaleNormal="70" workbookViewId="0">
      <selection activeCell="AE5" sqref="AE5"/>
    </sheetView>
  </sheetViews>
  <sheetFormatPr defaultColWidth="9" defaultRowHeight="13.2" outlineLevelRow="1" outlineLevelCol="1" x14ac:dyDescent="0.2"/>
  <cols>
    <col min="1" max="1" width="9" style="114"/>
    <col min="2" max="2" width="6.6640625" style="112" customWidth="1"/>
    <col min="3" max="3" width="6.6640625" customWidth="1"/>
    <col min="4" max="5" width="7.6640625" style="113" customWidth="1"/>
    <col min="6" max="6" width="9.6640625" style="114" bestFit="1" customWidth="1"/>
    <col min="7" max="7" width="8.88671875" style="114" bestFit="1" customWidth="1"/>
    <col min="8" max="8" width="11.6640625" style="115" customWidth="1"/>
    <col min="9" max="9" width="26.44140625" style="114" customWidth="1"/>
    <col min="10" max="10" width="10.6640625" style="113" customWidth="1"/>
    <col min="11" max="11" width="50" style="114" customWidth="1"/>
    <col min="12" max="12" width="16.6640625" style="113" customWidth="1"/>
    <col min="13" max="13" width="10.6640625" style="113" customWidth="1"/>
    <col min="14" max="14" width="57" style="114" customWidth="1"/>
    <col min="15" max="35" width="6.6640625" style="117" customWidth="1"/>
    <col min="36" max="37" width="6.6640625" style="117" customWidth="1" outlineLevel="1"/>
    <col min="38" max="38" width="8.88671875" style="117" bestFit="1" customWidth="1"/>
    <col min="39" max="39" width="6.6640625" style="117" customWidth="1"/>
    <col min="40" max="41" width="6.6640625" style="117" customWidth="1" outlineLevel="1"/>
    <col min="42" max="56" width="6.6640625" style="117" customWidth="1"/>
    <col min="57" max="57" width="9" style="117" customWidth="1"/>
    <col min="58" max="61" width="6.6640625" style="117" customWidth="1"/>
    <col min="62" max="63" width="6.6640625" style="117" customWidth="1" outlineLevel="1"/>
    <col min="64" max="65" width="6.6640625" style="117" customWidth="1"/>
    <col min="66" max="68" width="6.6640625" style="117" customWidth="1" outlineLevel="1"/>
    <col min="69" max="70" width="6.6640625" style="117" customWidth="1"/>
    <col min="71" max="73" width="6.6640625" style="117" customWidth="1" outlineLevel="1"/>
    <col min="74" max="76" width="6.6640625" style="117" customWidth="1"/>
    <col min="77" max="77" width="10.6640625" style="115" customWidth="1"/>
    <col min="78" max="78" width="3.33203125" style="115" bestFit="1" customWidth="1"/>
    <col min="79" max="79" width="4.33203125" style="115" customWidth="1"/>
    <col min="80" max="80" width="3.33203125" style="115" bestFit="1" customWidth="1"/>
    <col min="81" max="81" width="4.88671875" style="115" customWidth="1"/>
    <col min="82" max="82" width="3.33203125" style="115" bestFit="1" customWidth="1"/>
    <col min="83" max="83" width="10.6640625" style="115" customWidth="1"/>
    <col min="84" max="84" width="3.33203125" style="115" bestFit="1" customWidth="1"/>
    <col min="85" max="85" width="4.33203125" style="115" customWidth="1"/>
    <col min="86" max="86" width="3.33203125" style="115" bestFit="1" customWidth="1"/>
    <col min="87" max="87" width="4.88671875" style="115" customWidth="1"/>
    <col min="88" max="88" width="3.33203125" style="115" bestFit="1" customWidth="1"/>
    <col min="89" max="89" width="10.6640625" style="115" customWidth="1"/>
    <col min="90" max="90" width="9" style="118" customWidth="1"/>
    <col min="91" max="91" width="29.33203125" style="114" customWidth="1"/>
    <col min="92" max="92" width="40.6640625" style="114" customWidth="1"/>
    <col min="93" max="93" width="10.88671875" style="113" customWidth="1"/>
    <col min="94" max="95" width="9" style="114" customWidth="1"/>
    <col min="96" max="96" width="9" style="113" customWidth="1"/>
    <col min="97" max="97" width="9" style="115" customWidth="1"/>
    <col min="98" max="99" width="9" style="114" customWidth="1"/>
    <col min="100" max="101" width="9" style="115" customWidth="1"/>
    <col min="102" max="103" width="11" style="114" customWidth="1"/>
    <col min="104" max="104" width="16.109375" style="114" customWidth="1"/>
    <col min="105" max="105" width="13" style="114" customWidth="1"/>
    <col min="106" max="106" width="16.109375" style="114" customWidth="1"/>
    <col min="107" max="107" width="13" style="114" customWidth="1"/>
    <col min="108" max="108" width="16.109375" style="114" customWidth="1"/>
    <col min="109" max="109" width="13" style="114" customWidth="1"/>
    <col min="110" max="110" width="16.109375" style="114" customWidth="1"/>
    <col min="111" max="111" width="13" style="114" customWidth="1"/>
    <col min="112" max="112" width="16.109375" style="114" customWidth="1"/>
    <col min="113" max="115" width="13" style="114" customWidth="1"/>
    <col min="116" max="118" width="6.6640625" style="114" customWidth="1"/>
    <col min="119" max="119" width="9" style="114" customWidth="1"/>
    <col min="120" max="121" width="6.6640625" style="117" hidden="1" customWidth="1"/>
    <col min="122" max="122" width="10.109375" style="117" hidden="1" customWidth="1"/>
    <col min="123" max="126" width="6.6640625" style="117" hidden="1" customWidth="1"/>
    <col min="127" max="127" width="10.109375" style="117" hidden="1" customWidth="1"/>
    <col min="128" max="131" width="6.6640625" style="117" hidden="1" customWidth="1"/>
    <col min="132" max="132" width="10" style="117" hidden="1" customWidth="1"/>
    <col min="133" max="136" width="6.6640625" style="117" hidden="1" customWidth="1"/>
    <col min="137" max="137" width="9.6640625" style="117" hidden="1" customWidth="1"/>
    <col min="138" max="144" width="6.6640625" style="117" hidden="1" customWidth="1"/>
    <col min="145" max="146" width="6.6640625" style="117" hidden="1" customWidth="1" outlineLevel="1"/>
    <col min="147" max="149" width="6.6640625" style="117" hidden="1" customWidth="1"/>
    <col min="150" max="151" width="6.6640625" style="117" hidden="1" customWidth="1" outlineLevel="1"/>
    <col min="152" max="166" width="6.6640625" style="117" hidden="1" customWidth="1"/>
    <col min="167" max="168" width="8.6640625" style="117" hidden="1" customWidth="1"/>
    <col min="169" max="170" width="6.6640625" style="117" hidden="1" customWidth="1"/>
    <col min="171" max="171" width="9" style="117" hidden="1" customWidth="1"/>
    <col min="172" max="172" width="6.6640625" style="117" hidden="1" customWidth="1"/>
    <col min="173" max="173" width="10.109375" style="117" hidden="1" customWidth="1"/>
    <col min="174" max="174" width="6.6640625" style="117" hidden="1" customWidth="1"/>
    <col min="175" max="175" width="10" style="117" hidden="1" customWidth="1"/>
    <col min="176" max="178" width="6.6640625" style="117" hidden="1" customWidth="1"/>
    <col min="179" max="180" width="6.6640625" style="117" hidden="1" customWidth="1" outlineLevel="1"/>
    <col min="181" max="183" width="6.6640625" style="117" hidden="1" customWidth="1"/>
    <col min="184" max="186" width="6.6640625" style="117" hidden="1" customWidth="1" outlineLevel="1"/>
    <col min="187" max="189" width="6.6640625" style="117" hidden="1" customWidth="1"/>
    <col min="190" max="192" width="6.6640625" style="117" hidden="1" customWidth="1" outlineLevel="1"/>
    <col min="193" max="195" width="6.6640625" style="117" hidden="1" customWidth="1"/>
    <col min="196" max="196" width="10.88671875" style="117" hidden="1" customWidth="1"/>
    <col min="197" max="198" width="6.6640625" style="117" hidden="1" customWidth="1"/>
    <col min="199" max="199" width="6.6640625" style="114" hidden="1" customWidth="1"/>
    <col min="200" max="200" width="9.88671875" style="115" hidden="1" customWidth="1"/>
    <col min="201" max="202" width="9.44140625" style="115" hidden="1" customWidth="1"/>
    <col min="203" max="205" width="9" style="118" hidden="1" customWidth="1"/>
    <col min="206" max="16384" width="9" style="114"/>
  </cols>
  <sheetData>
    <row r="1" spans="1:883" x14ac:dyDescent="0.2">
      <c r="C1" t="s">
        <v>476</v>
      </c>
      <c r="I1" s="116" t="s">
        <v>254</v>
      </c>
    </row>
    <row r="2" spans="1:883" x14ac:dyDescent="0.2">
      <c r="H2" s="119" t="s">
        <v>255</v>
      </c>
      <c r="I2" s="120"/>
      <c r="J2" s="121"/>
      <c r="K2" s="120"/>
      <c r="L2" s="121"/>
      <c r="M2" s="121"/>
      <c r="N2" s="120"/>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19"/>
      <c r="BZ2" s="119"/>
      <c r="CA2" s="119"/>
      <c r="CB2" s="119"/>
      <c r="CC2" s="119"/>
      <c r="CD2" s="119"/>
      <c r="CE2" s="119"/>
      <c r="CF2" s="119"/>
      <c r="CG2" s="119"/>
      <c r="CH2" s="119"/>
      <c r="CI2" s="119"/>
      <c r="CJ2" s="119"/>
      <c r="CK2" s="119"/>
      <c r="CL2" s="123"/>
      <c r="CM2" s="120"/>
      <c r="CN2" s="120"/>
      <c r="CO2" s="121"/>
      <c r="CP2" s="120"/>
      <c r="CQ2" s="120"/>
      <c r="CR2" s="121"/>
      <c r="CS2" s="120"/>
      <c r="CT2" s="120"/>
      <c r="CU2" s="120"/>
      <c r="CV2" s="120"/>
      <c r="CW2" s="120"/>
      <c r="CX2" s="120"/>
      <c r="CY2" s="120"/>
      <c r="CZ2" s="120"/>
      <c r="DA2" s="120"/>
      <c r="DB2" s="120"/>
      <c r="DC2" s="120"/>
      <c r="DD2" s="120"/>
      <c r="DE2" s="120"/>
      <c r="DF2" s="120"/>
      <c r="DG2" s="120"/>
      <c r="DH2" s="120"/>
      <c r="DI2" s="120"/>
      <c r="DJ2" s="120"/>
      <c r="DK2" s="120"/>
      <c r="DL2" s="120"/>
      <c r="DM2" s="120"/>
      <c r="DN2" s="120"/>
      <c r="DP2" s="124" t="s">
        <v>256</v>
      </c>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row>
    <row r="3" spans="1:883" s="149" customFormat="1" ht="54" x14ac:dyDescent="0.2">
      <c r="B3" s="125" t="s">
        <v>257</v>
      </c>
      <c r="C3" s="126" t="s">
        <v>258</v>
      </c>
      <c r="D3" s="127" t="s">
        <v>259</v>
      </c>
      <c r="E3" s="127"/>
      <c r="F3" s="128" t="s">
        <v>260</v>
      </c>
      <c r="G3" s="129" t="s">
        <v>261</v>
      </c>
      <c r="H3" s="130" t="s">
        <v>262</v>
      </c>
      <c r="I3" s="131" t="s">
        <v>263</v>
      </c>
      <c r="J3" s="132"/>
      <c r="K3" s="133"/>
      <c r="L3" s="134"/>
      <c r="M3" s="135" t="s">
        <v>264</v>
      </c>
      <c r="N3" s="136"/>
      <c r="O3" s="137" t="s">
        <v>265</v>
      </c>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520" t="s">
        <v>266</v>
      </c>
      <c r="BE3" s="139" t="s">
        <v>267</v>
      </c>
      <c r="BF3" s="139"/>
      <c r="BG3" s="139"/>
      <c r="BH3" s="139"/>
      <c r="BI3" s="139"/>
      <c r="BJ3" s="139"/>
      <c r="BK3" s="139"/>
      <c r="BL3" s="139"/>
      <c r="BM3" s="139"/>
      <c r="BN3" s="139"/>
      <c r="BO3" s="139"/>
      <c r="BP3" s="139"/>
      <c r="BQ3" s="139"/>
      <c r="BR3" s="139"/>
      <c r="BS3" s="139"/>
      <c r="BT3" s="139"/>
      <c r="BU3" s="139"/>
      <c r="BV3" s="139"/>
      <c r="BW3" s="139"/>
      <c r="BX3" s="139"/>
      <c r="BY3" s="140" t="s">
        <v>268</v>
      </c>
      <c r="BZ3" s="147"/>
      <c r="CA3" s="147"/>
      <c r="CB3" s="147"/>
      <c r="CC3" s="147"/>
      <c r="CD3" s="147"/>
      <c r="CE3" s="147"/>
      <c r="CF3" s="147"/>
      <c r="CG3" s="147"/>
      <c r="CH3" s="147"/>
      <c r="CI3" s="147"/>
      <c r="CJ3" s="147"/>
      <c r="CK3" s="141" t="s">
        <v>269</v>
      </c>
      <c r="CL3" s="142"/>
      <c r="CM3" s="143" t="s">
        <v>270</v>
      </c>
      <c r="CN3" s="144"/>
      <c r="CO3" s="145" t="s">
        <v>271</v>
      </c>
      <c r="CP3" s="128" t="s">
        <v>272</v>
      </c>
      <c r="CQ3" s="128" t="s">
        <v>273</v>
      </c>
      <c r="CR3" s="127" t="s">
        <v>274</v>
      </c>
      <c r="CS3" s="140" t="s">
        <v>275</v>
      </c>
      <c r="CT3" s="144"/>
      <c r="CU3" s="146" t="s">
        <v>276</v>
      </c>
      <c r="CV3" s="147"/>
      <c r="CW3" s="147"/>
      <c r="CX3" s="148"/>
      <c r="CY3" s="144"/>
      <c r="CZ3" s="527" t="s">
        <v>277</v>
      </c>
      <c r="DA3" s="528"/>
      <c r="DB3" s="528"/>
      <c r="DC3" s="528"/>
      <c r="DD3" s="528"/>
      <c r="DE3" s="528"/>
      <c r="DF3" s="528"/>
      <c r="DG3" s="528"/>
      <c r="DH3" s="528"/>
      <c r="DI3" s="529"/>
      <c r="DJ3" s="320" t="s">
        <v>478</v>
      </c>
      <c r="DK3" s="319" t="s">
        <v>479</v>
      </c>
      <c r="DL3" s="521" t="s">
        <v>278</v>
      </c>
      <c r="DM3" s="522"/>
      <c r="DN3" s="523"/>
      <c r="DP3" s="137" t="s">
        <v>279</v>
      </c>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50"/>
      <c r="FO3" s="151" t="s">
        <v>280</v>
      </c>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39"/>
      <c r="GN3" s="139"/>
      <c r="GO3" s="139"/>
      <c r="GP3" s="139"/>
      <c r="GQ3" s="146" t="s">
        <v>281</v>
      </c>
      <c r="GR3" s="153"/>
      <c r="GS3" s="153"/>
      <c r="GT3" s="153"/>
      <c r="GU3" s="154"/>
      <c r="GV3" s="154"/>
      <c r="GW3" s="142"/>
    </row>
    <row r="4" spans="1:883" ht="36" x14ac:dyDescent="0.15">
      <c r="B4" s="155"/>
      <c r="C4" s="156"/>
      <c r="D4" s="157"/>
      <c r="E4" s="157"/>
      <c r="F4" s="158"/>
      <c r="G4" s="158"/>
      <c r="H4" s="159"/>
      <c r="I4" s="160" t="s">
        <v>282</v>
      </c>
      <c r="J4" s="161" t="s">
        <v>283</v>
      </c>
      <c r="K4" s="162" t="s">
        <v>284</v>
      </c>
      <c r="L4" s="161" t="s">
        <v>285</v>
      </c>
      <c r="M4" s="161"/>
      <c r="N4" s="160"/>
      <c r="O4" s="163"/>
      <c r="P4" s="164" t="s">
        <v>286</v>
      </c>
      <c r="Q4" s="165"/>
      <c r="R4" s="166" t="s">
        <v>287</v>
      </c>
      <c r="S4" s="167"/>
      <c r="T4" s="168"/>
      <c r="U4" s="169" t="s">
        <v>288</v>
      </c>
      <c r="V4" s="170"/>
      <c r="W4" s="170"/>
      <c r="X4" s="170"/>
      <c r="Y4" s="170"/>
      <c r="Z4" s="170"/>
      <c r="AA4" s="171"/>
      <c r="AB4" s="514" t="s">
        <v>290</v>
      </c>
      <c r="AC4" s="514"/>
      <c r="AD4" s="514"/>
      <c r="AE4" s="172"/>
      <c r="AF4" s="516" t="s">
        <v>289</v>
      </c>
      <c r="AG4" s="514"/>
      <c r="AH4" s="515"/>
      <c r="AI4" s="173" t="s">
        <v>291</v>
      </c>
      <c r="AJ4" s="174"/>
      <c r="AK4" s="174"/>
      <c r="AL4" s="175"/>
      <c r="AM4" s="176" t="s">
        <v>292</v>
      </c>
      <c r="AN4" s="177"/>
      <c r="AO4" s="177"/>
      <c r="AP4" s="178"/>
      <c r="AQ4" s="179" t="s">
        <v>293</v>
      </c>
      <c r="AR4" s="180"/>
      <c r="AS4" s="180"/>
      <c r="AT4" s="180"/>
      <c r="AU4" s="180"/>
      <c r="AV4" s="180"/>
      <c r="AW4" s="180"/>
      <c r="AX4" s="180"/>
      <c r="AY4" s="180"/>
      <c r="AZ4" s="180"/>
      <c r="BA4" s="180"/>
      <c r="BB4" s="181"/>
      <c r="BC4" s="181"/>
      <c r="BD4" s="520"/>
      <c r="BE4" s="163"/>
      <c r="BF4" s="182" t="s">
        <v>294</v>
      </c>
      <c r="BG4" s="182"/>
      <c r="BH4" s="183"/>
      <c r="BI4" s="173" t="s">
        <v>291</v>
      </c>
      <c r="BJ4" s="174"/>
      <c r="BK4" s="174"/>
      <c r="BL4" s="175"/>
      <c r="BM4" s="169" t="s">
        <v>292</v>
      </c>
      <c r="BN4" s="170"/>
      <c r="BO4" s="170"/>
      <c r="BP4" s="170"/>
      <c r="BQ4" s="171"/>
      <c r="BR4" s="179" t="s">
        <v>295</v>
      </c>
      <c r="BS4" s="180"/>
      <c r="BT4" s="180"/>
      <c r="BU4" s="180"/>
      <c r="BV4" s="180"/>
      <c r="BW4" s="181"/>
      <c r="BX4" s="184" t="s">
        <v>296</v>
      </c>
      <c r="BY4" s="285"/>
      <c r="BZ4" s="286"/>
      <c r="CA4" s="286"/>
      <c r="CB4" s="286"/>
      <c r="CC4" s="286"/>
      <c r="CD4" s="286"/>
      <c r="CE4" s="286"/>
      <c r="CF4" s="284"/>
      <c r="CG4" s="284"/>
      <c r="CH4" s="284"/>
      <c r="CI4" s="284"/>
      <c r="CJ4" s="284"/>
      <c r="CK4" s="185"/>
      <c r="CL4" s="186"/>
      <c r="CM4" s="187"/>
      <c r="CN4" s="188"/>
      <c r="CO4" s="189"/>
      <c r="CP4" s="158"/>
      <c r="CQ4" s="190"/>
      <c r="CR4" s="157"/>
      <c r="CS4" s="191"/>
      <c r="CT4" s="192"/>
      <c r="CU4" s="187"/>
      <c r="CY4" s="188"/>
      <c r="CZ4" s="187"/>
      <c r="DB4" s="318"/>
      <c r="DD4" s="318"/>
      <c r="DF4" s="318"/>
      <c r="DH4" s="318"/>
      <c r="DI4" s="188"/>
      <c r="DJ4" s="321"/>
      <c r="DK4" s="188"/>
      <c r="DL4" s="524"/>
      <c r="DM4" s="525"/>
      <c r="DN4" s="526"/>
      <c r="DP4" s="163"/>
      <c r="DQ4" s="164" t="s">
        <v>286</v>
      </c>
      <c r="DR4" s="193"/>
      <c r="DS4" s="193"/>
      <c r="DT4" s="193"/>
      <c r="DU4" s="166" t="s">
        <v>297</v>
      </c>
      <c r="DV4" s="167"/>
      <c r="DW4" s="167"/>
      <c r="DX4" s="167"/>
      <c r="DY4" s="167"/>
      <c r="DZ4" s="169" t="s">
        <v>288</v>
      </c>
      <c r="EA4" s="170"/>
      <c r="EB4" s="170"/>
      <c r="EC4" s="170"/>
      <c r="ED4" s="171"/>
      <c r="EE4" s="514" t="s">
        <v>290</v>
      </c>
      <c r="EF4" s="514"/>
      <c r="EG4" s="514"/>
      <c r="EH4" s="514" t="s">
        <v>289</v>
      </c>
      <c r="EI4" s="514"/>
      <c r="EJ4" s="514"/>
      <c r="EK4" s="515"/>
      <c r="EL4" s="194"/>
      <c r="EM4" s="172"/>
      <c r="EN4" s="173" t="s">
        <v>291</v>
      </c>
      <c r="EO4" s="174"/>
      <c r="EP4" s="174"/>
      <c r="EQ4" s="174"/>
      <c r="ER4" s="174"/>
      <c r="ES4" s="176" t="s">
        <v>292</v>
      </c>
      <c r="ET4" s="177"/>
      <c r="EU4" s="177"/>
      <c r="EV4" s="177"/>
      <c r="EW4" s="178"/>
      <c r="EX4" s="179" t="s">
        <v>293</v>
      </c>
      <c r="EY4" s="180"/>
      <c r="EZ4" s="180"/>
      <c r="FA4" s="180"/>
      <c r="FB4" s="180"/>
      <c r="FC4" s="180"/>
      <c r="FD4" s="180"/>
      <c r="FE4" s="180"/>
      <c r="FF4" s="180"/>
      <c r="FG4" s="180"/>
      <c r="FH4" s="180"/>
      <c r="FI4" s="180"/>
      <c r="FJ4" s="180"/>
      <c r="FK4" s="180"/>
      <c r="FL4" s="180"/>
      <c r="FM4" s="195" t="s">
        <v>298</v>
      </c>
      <c r="FN4" s="195" t="s">
        <v>299</v>
      </c>
      <c r="FP4" s="196" t="s">
        <v>294</v>
      </c>
      <c r="FQ4" s="182"/>
      <c r="FR4" s="182"/>
      <c r="FS4" s="182"/>
      <c r="FT4" s="182"/>
      <c r="FU4" s="183"/>
      <c r="FV4" s="173" t="s">
        <v>291</v>
      </c>
      <c r="FW4" s="174"/>
      <c r="FX4" s="174"/>
      <c r="FY4" s="174"/>
      <c r="FZ4" s="175"/>
      <c r="GA4" s="169" t="s">
        <v>292</v>
      </c>
      <c r="GB4" s="170"/>
      <c r="GC4" s="170"/>
      <c r="GD4" s="170"/>
      <c r="GE4" s="170"/>
      <c r="GF4" s="171"/>
      <c r="GG4" s="179" t="s">
        <v>295</v>
      </c>
      <c r="GH4" s="180"/>
      <c r="GI4" s="180"/>
      <c r="GJ4" s="180"/>
      <c r="GK4" s="180"/>
      <c r="GL4" s="180"/>
      <c r="GM4" s="197"/>
      <c r="GN4" s="197"/>
      <c r="GO4" s="198" t="s">
        <v>300</v>
      </c>
      <c r="GP4" s="198" t="s">
        <v>299</v>
      </c>
      <c r="GQ4" s="199"/>
      <c r="GR4" s="200"/>
      <c r="GS4" s="200"/>
      <c r="GT4" s="200"/>
      <c r="GU4" s="201" t="s">
        <v>301</v>
      </c>
      <c r="GV4" s="201" t="s">
        <v>301</v>
      </c>
      <c r="GW4" s="202" t="s">
        <v>302</v>
      </c>
    </row>
    <row r="5" spans="1:883" s="228" customFormat="1" ht="66" customHeight="1" x14ac:dyDescent="0.2">
      <c r="B5" s="203" t="s">
        <v>303</v>
      </c>
      <c r="C5" s="204"/>
      <c r="D5" s="205"/>
      <c r="E5" s="206" t="s">
        <v>305</v>
      </c>
      <c r="F5" s="207" t="s">
        <v>304</v>
      </c>
      <c r="G5" s="207"/>
      <c r="H5" s="208"/>
      <c r="I5" s="209"/>
      <c r="J5" s="210"/>
      <c r="K5" s="128"/>
      <c r="L5" s="210"/>
      <c r="M5" s="127" t="s">
        <v>443</v>
      </c>
      <c r="N5" s="128" t="s">
        <v>306</v>
      </c>
      <c r="O5" s="211" t="s">
        <v>307</v>
      </c>
      <c r="P5" s="212" t="s">
        <v>308</v>
      </c>
      <c r="Q5" s="198" t="s">
        <v>309</v>
      </c>
      <c r="R5" s="213" t="s">
        <v>310</v>
      </c>
      <c r="S5" s="212" t="s">
        <v>308</v>
      </c>
      <c r="T5" s="198" t="s">
        <v>309</v>
      </c>
      <c r="U5" s="213" t="s">
        <v>310</v>
      </c>
      <c r="V5" s="330" t="s">
        <v>509</v>
      </c>
      <c r="W5" s="214" t="s">
        <v>312</v>
      </c>
      <c r="X5" s="214" t="s">
        <v>310</v>
      </c>
      <c r="Y5" s="330" t="s">
        <v>510</v>
      </c>
      <c r="Z5" s="214" t="s">
        <v>312</v>
      </c>
      <c r="AA5" s="198" t="s">
        <v>309</v>
      </c>
      <c r="AB5" s="214" t="s">
        <v>310</v>
      </c>
      <c r="AC5" s="215" t="s">
        <v>313</v>
      </c>
      <c r="AD5" s="214" t="s">
        <v>312</v>
      </c>
      <c r="AE5" s="216" t="s">
        <v>314</v>
      </c>
      <c r="AF5" s="214" t="s">
        <v>310</v>
      </c>
      <c r="AG5" s="215" t="s">
        <v>311</v>
      </c>
      <c r="AH5" s="214" t="s">
        <v>312</v>
      </c>
      <c r="AI5" s="213" t="s">
        <v>310</v>
      </c>
      <c r="AJ5" s="212" t="s">
        <v>420</v>
      </c>
      <c r="AK5" s="217" t="s">
        <v>421</v>
      </c>
      <c r="AL5" s="198" t="s">
        <v>309</v>
      </c>
      <c r="AM5" s="213" t="s">
        <v>317</v>
      </c>
      <c r="AN5" s="212" t="s">
        <v>422</v>
      </c>
      <c r="AO5" s="212" t="s">
        <v>423</v>
      </c>
      <c r="AP5" s="198" t="s">
        <v>309</v>
      </c>
      <c r="AQ5" s="214" t="s">
        <v>317</v>
      </c>
      <c r="AR5" s="211" t="s">
        <v>424</v>
      </c>
      <c r="AS5" s="211" t="s">
        <v>425</v>
      </c>
      <c r="AT5" s="211" t="s">
        <v>426</v>
      </c>
      <c r="AU5" s="211" t="s">
        <v>427</v>
      </c>
      <c r="AV5" s="211" t="s">
        <v>428</v>
      </c>
      <c r="AW5" s="211" t="s">
        <v>429</v>
      </c>
      <c r="AX5" s="211" t="s">
        <v>430</v>
      </c>
      <c r="AY5" s="214" t="s">
        <v>318</v>
      </c>
      <c r="AZ5" s="216" t="s">
        <v>309</v>
      </c>
      <c r="BA5" s="211" t="s">
        <v>319</v>
      </c>
      <c r="BB5" s="211" t="s">
        <v>320</v>
      </c>
      <c r="BC5" s="211" t="s">
        <v>320</v>
      </c>
      <c r="BD5" s="520"/>
      <c r="BE5" s="218" t="s">
        <v>321</v>
      </c>
      <c r="BF5" s="219" t="s">
        <v>322</v>
      </c>
      <c r="BG5" s="220" t="s">
        <v>323</v>
      </c>
      <c r="BH5" s="216" t="s">
        <v>324</v>
      </c>
      <c r="BI5" s="213" t="s">
        <v>310</v>
      </c>
      <c r="BJ5" s="212" t="s">
        <v>315</v>
      </c>
      <c r="BK5" s="217" t="s">
        <v>316</v>
      </c>
      <c r="BL5" s="198" t="s">
        <v>324</v>
      </c>
      <c r="BM5" s="213" t="s">
        <v>310</v>
      </c>
      <c r="BN5" s="212" t="s">
        <v>325</v>
      </c>
      <c r="BO5" s="212" t="s">
        <v>326</v>
      </c>
      <c r="BP5" s="212" t="s">
        <v>327</v>
      </c>
      <c r="BQ5" s="198" t="s">
        <v>324</v>
      </c>
      <c r="BR5" s="213" t="s">
        <v>317</v>
      </c>
      <c r="BS5" s="212" t="s">
        <v>328</v>
      </c>
      <c r="BT5" s="212" t="s">
        <v>329</v>
      </c>
      <c r="BU5" s="212" t="s">
        <v>330</v>
      </c>
      <c r="BV5" s="198" t="s">
        <v>331</v>
      </c>
      <c r="BW5" s="211" t="s">
        <v>320</v>
      </c>
      <c r="BX5" s="221" t="s">
        <v>332</v>
      </c>
      <c r="BY5" s="517" t="s">
        <v>333</v>
      </c>
      <c r="BZ5" s="518"/>
      <c r="CA5" s="518"/>
      <c r="CB5" s="518"/>
      <c r="CC5" s="518"/>
      <c r="CD5" s="519"/>
      <c r="CE5" s="517" t="s">
        <v>334</v>
      </c>
      <c r="CF5" s="518"/>
      <c r="CG5" s="518"/>
      <c r="CH5" s="518"/>
      <c r="CI5" s="518"/>
      <c r="CJ5" s="519"/>
      <c r="CK5" s="222" t="s">
        <v>335</v>
      </c>
      <c r="CL5" s="223" t="s">
        <v>336</v>
      </c>
      <c r="CM5" s="224" t="s">
        <v>337</v>
      </c>
      <c r="CN5" s="224" t="s">
        <v>338</v>
      </c>
      <c r="CO5" s="225" t="s">
        <v>339</v>
      </c>
      <c r="CP5" s="224" t="s">
        <v>340</v>
      </c>
      <c r="CQ5" s="224" t="s">
        <v>341</v>
      </c>
      <c r="CR5" s="225" t="s">
        <v>342</v>
      </c>
      <c r="CS5" s="222" t="s">
        <v>343</v>
      </c>
      <c r="CT5" s="160" t="s">
        <v>344</v>
      </c>
      <c r="CU5" s="224" t="s">
        <v>345</v>
      </c>
      <c r="CV5" s="226" t="s">
        <v>346</v>
      </c>
      <c r="CW5" s="226" t="s">
        <v>347</v>
      </c>
      <c r="CX5" s="224" t="s">
        <v>348</v>
      </c>
      <c r="CY5" s="224" t="s">
        <v>349</v>
      </c>
      <c r="CZ5" s="224" t="s">
        <v>351</v>
      </c>
      <c r="DA5" s="224" t="s">
        <v>350</v>
      </c>
      <c r="DB5" s="224" t="s">
        <v>351</v>
      </c>
      <c r="DC5" s="224" t="s">
        <v>350</v>
      </c>
      <c r="DD5" s="224" t="s">
        <v>351</v>
      </c>
      <c r="DE5" s="224" t="s">
        <v>350</v>
      </c>
      <c r="DF5" s="224" t="s">
        <v>351</v>
      </c>
      <c r="DG5" s="224" t="s">
        <v>350</v>
      </c>
      <c r="DH5" s="224" t="s">
        <v>351</v>
      </c>
      <c r="DI5" s="224" t="s">
        <v>350</v>
      </c>
      <c r="DJ5" s="224" t="s">
        <v>480</v>
      </c>
      <c r="DK5" s="224" t="s">
        <v>480</v>
      </c>
      <c r="DL5" s="227" t="s">
        <v>352</v>
      </c>
      <c r="DM5" s="227" t="s">
        <v>353</v>
      </c>
      <c r="DN5" s="227" t="s">
        <v>354</v>
      </c>
      <c r="DP5" s="211" t="s">
        <v>307</v>
      </c>
      <c r="DQ5" s="211" t="s">
        <v>308</v>
      </c>
      <c r="DR5" s="211" t="s">
        <v>355</v>
      </c>
      <c r="DS5" s="229" t="s">
        <v>356</v>
      </c>
      <c r="DT5" s="229" t="s">
        <v>357</v>
      </c>
      <c r="DU5" s="214" t="s">
        <v>310</v>
      </c>
      <c r="DV5" s="211" t="s">
        <v>308</v>
      </c>
      <c r="DW5" s="211" t="s">
        <v>358</v>
      </c>
      <c r="DX5" s="230" t="s">
        <v>356</v>
      </c>
      <c r="DY5" s="230" t="s">
        <v>357</v>
      </c>
      <c r="DZ5" s="214" t="s">
        <v>310</v>
      </c>
      <c r="EA5" s="211" t="s">
        <v>308</v>
      </c>
      <c r="EB5" s="211" t="s">
        <v>359</v>
      </c>
      <c r="EC5" s="230" t="s">
        <v>356</v>
      </c>
      <c r="ED5" s="230" t="s">
        <v>357</v>
      </c>
      <c r="EE5" s="214" t="s">
        <v>310</v>
      </c>
      <c r="EF5" s="215" t="s">
        <v>313</v>
      </c>
      <c r="EG5" s="214" t="s">
        <v>312</v>
      </c>
      <c r="EH5" s="214" t="s">
        <v>310</v>
      </c>
      <c r="EI5" s="215" t="s">
        <v>311</v>
      </c>
      <c r="EJ5" s="231" t="s">
        <v>360</v>
      </c>
      <c r="EK5" s="214" t="s">
        <v>312</v>
      </c>
      <c r="EL5" s="230" t="s">
        <v>356</v>
      </c>
      <c r="EM5" s="230" t="s">
        <v>357</v>
      </c>
      <c r="EN5" s="214" t="s">
        <v>310</v>
      </c>
      <c r="EO5" s="211" t="s">
        <v>420</v>
      </c>
      <c r="EP5" s="211" t="s">
        <v>421</v>
      </c>
      <c r="EQ5" s="230" t="s">
        <v>356</v>
      </c>
      <c r="ER5" s="230" t="s">
        <v>357</v>
      </c>
      <c r="ES5" s="214" t="s">
        <v>317</v>
      </c>
      <c r="ET5" s="211" t="s">
        <v>422</v>
      </c>
      <c r="EU5" s="211" t="s">
        <v>423</v>
      </c>
      <c r="EV5" s="230" t="s">
        <v>356</v>
      </c>
      <c r="EW5" s="230" t="s">
        <v>357</v>
      </c>
      <c r="EX5" s="214" t="s">
        <v>317</v>
      </c>
      <c r="EY5" s="211" t="s">
        <v>424</v>
      </c>
      <c r="EZ5" s="211" t="s">
        <v>425</v>
      </c>
      <c r="FA5" s="211" t="s">
        <v>426</v>
      </c>
      <c r="FB5" s="211" t="s">
        <v>427</v>
      </c>
      <c r="FC5" s="211" t="s">
        <v>428</v>
      </c>
      <c r="FD5" s="211" t="s">
        <v>429</v>
      </c>
      <c r="FE5" s="211" t="s">
        <v>430</v>
      </c>
      <c r="FF5" s="214" t="s">
        <v>318</v>
      </c>
      <c r="FG5" s="230" t="s">
        <v>356</v>
      </c>
      <c r="FH5" s="230" t="s">
        <v>357</v>
      </c>
      <c r="FI5" s="211" t="s">
        <v>319</v>
      </c>
      <c r="FJ5" s="211" t="s">
        <v>320</v>
      </c>
      <c r="FK5" s="211" t="s">
        <v>361</v>
      </c>
      <c r="FL5" s="211" t="s">
        <v>362</v>
      </c>
      <c r="FM5" s="232"/>
      <c r="FN5" s="232"/>
      <c r="FO5" s="233" t="s">
        <v>321</v>
      </c>
      <c r="FP5" s="234" t="s">
        <v>322</v>
      </c>
      <c r="FQ5" s="235" t="s">
        <v>363</v>
      </c>
      <c r="FR5" s="236" t="s">
        <v>323</v>
      </c>
      <c r="FS5" s="236" t="s">
        <v>360</v>
      </c>
      <c r="FT5" s="230" t="s">
        <v>356</v>
      </c>
      <c r="FU5" s="230" t="s">
        <v>357</v>
      </c>
      <c r="FV5" s="214" t="s">
        <v>310</v>
      </c>
      <c r="FW5" s="211" t="s">
        <v>364</v>
      </c>
      <c r="FX5" s="211" t="s">
        <v>365</v>
      </c>
      <c r="FY5" s="230" t="s">
        <v>356</v>
      </c>
      <c r="FZ5" s="230" t="s">
        <v>357</v>
      </c>
      <c r="GA5" s="214" t="s">
        <v>366</v>
      </c>
      <c r="GB5" s="211" t="s">
        <v>367</v>
      </c>
      <c r="GC5" s="211" t="s">
        <v>368</v>
      </c>
      <c r="GD5" s="211" t="s">
        <v>369</v>
      </c>
      <c r="GE5" s="230" t="s">
        <v>356</v>
      </c>
      <c r="GF5" s="230" t="s">
        <v>357</v>
      </c>
      <c r="GG5" s="214" t="s">
        <v>366</v>
      </c>
      <c r="GH5" s="211" t="s">
        <v>328</v>
      </c>
      <c r="GI5" s="211" t="s">
        <v>329</v>
      </c>
      <c r="GJ5" s="211" t="s">
        <v>330</v>
      </c>
      <c r="GK5" s="230" t="s">
        <v>356</v>
      </c>
      <c r="GL5" s="230" t="s">
        <v>357</v>
      </c>
      <c r="GM5" s="237" t="s">
        <v>320</v>
      </c>
      <c r="GN5" s="237" t="s">
        <v>361</v>
      </c>
      <c r="GO5" s="230"/>
      <c r="GP5" s="230"/>
      <c r="GQ5" s="238" t="s">
        <v>370</v>
      </c>
      <c r="GR5" s="239" t="s">
        <v>371</v>
      </c>
      <c r="GS5" s="239" t="s">
        <v>372</v>
      </c>
      <c r="GT5" s="239" t="s">
        <v>373</v>
      </c>
      <c r="GU5" s="240" t="s">
        <v>374</v>
      </c>
      <c r="GV5" s="240" t="s">
        <v>375</v>
      </c>
      <c r="GW5" s="240" t="s">
        <v>376</v>
      </c>
    </row>
    <row r="6" spans="1:883" customFormat="1" ht="15.75" hidden="1" customHeight="1" x14ac:dyDescent="0.2">
      <c r="B6" s="241" t="str">
        <f t="shared" ref="B6:B11" si="0">IF(GT6&gt;0,"支払済",IF(GQ6="取下",GQ6,IF(GQ6="取消",GQ6,"")))</f>
        <v>支払済</v>
      </c>
      <c r="C6" s="242" t="s">
        <v>377</v>
      </c>
      <c r="D6" s="243" t="s">
        <v>378</v>
      </c>
      <c r="E6" s="244" t="str">
        <f t="shared" ref="E6:E11" si="1">IF(D6="登録","登録",IF(D5="登録","建売購入",""))</f>
        <v/>
      </c>
      <c r="F6" s="245"/>
      <c r="G6" s="245"/>
      <c r="H6" s="246">
        <v>43191</v>
      </c>
      <c r="I6" s="274" t="s">
        <v>379</v>
      </c>
      <c r="J6" s="275" t="s">
        <v>380</v>
      </c>
      <c r="K6" s="274"/>
      <c r="L6" s="275" t="s">
        <v>381</v>
      </c>
      <c r="M6" s="275" t="s">
        <v>382</v>
      </c>
      <c r="N6" s="274" t="s">
        <v>383</v>
      </c>
      <c r="O6" s="249">
        <v>35</v>
      </c>
      <c r="P6" s="249">
        <v>25</v>
      </c>
      <c r="Q6" s="248">
        <f>IF(P6&gt;=10,150,0)</f>
        <v>150</v>
      </c>
      <c r="R6" s="249">
        <f>IF(S6&gt;=1,1,"")</f>
        <v>1</v>
      </c>
      <c r="S6" s="249">
        <v>19</v>
      </c>
      <c r="T6" s="250">
        <f t="shared" ref="T6:T11" si="2">IF(Q6=0,0,IF(S6&gt;=25,MIN(250,ROUNDDOWN(S6*10,-1)),IF(S6&gt;=20,MIN(200,ROUNDDOWN(S6*10,-1)),IF(S6&gt;=15,MIN(150,ROUNDDOWN(S6*10,-1)),MIN(100,ROUNDDOWN(S6*10,-1))))))</f>
        <v>150</v>
      </c>
      <c r="U6" s="249">
        <f>IF(V6&gt;=1,1,"")</f>
        <v>1</v>
      </c>
      <c r="V6" s="249">
        <v>7</v>
      </c>
      <c r="W6" s="249"/>
      <c r="X6" s="249"/>
      <c r="Y6" s="249"/>
      <c r="Z6" s="249"/>
      <c r="AA6" s="250">
        <f>IF(AND(Q6&gt;0,V6&gt;=1),MIN(INT(V6)*20,200),0)</f>
        <v>140</v>
      </c>
      <c r="AB6" s="249">
        <f>IF(AC6&gt;=1,1,"")</f>
        <v>1</v>
      </c>
      <c r="AC6" s="249">
        <v>1</v>
      </c>
      <c r="AD6" s="249">
        <f>IF(AC6&gt;=1,50,0)</f>
        <v>50</v>
      </c>
      <c r="AE6" s="248">
        <f t="shared" ref="AE6:AE10" si="3">IF(OR(AH6&gt;0,AD6&gt;0),MIN(AH6+AD6,150),0)</f>
        <v>72</v>
      </c>
      <c r="AF6" s="249">
        <f>IF(AG6&gt;=1,1,"")</f>
        <v>1</v>
      </c>
      <c r="AG6" s="249">
        <v>11</v>
      </c>
      <c r="AH6" s="249">
        <f>IF(AND(Q6&gt;0,AG6&gt;=1),MIN(INT(AG6)*2,150),0)</f>
        <v>22</v>
      </c>
      <c r="AI6" s="249">
        <f t="shared" ref="AI6:AI11" si="4">IF(OR(AJ6=1,AK6=1),1,"")</f>
        <v>1</v>
      </c>
      <c r="AJ6" s="249"/>
      <c r="AK6" s="249">
        <v>1</v>
      </c>
      <c r="AL6" s="248">
        <f>IF(AND(Q6&gt;0,AI6=1),100,0)</f>
        <v>100</v>
      </c>
      <c r="AM6" s="249">
        <f t="shared" ref="AM6:AM11" si="5">IF(OR(AN6=1,AO6=1),1,"")</f>
        <v>1</v>
      </c>
      <c r="AN6" s="249">
        <v>1</v>
      </c>
      <c r="AO6" s="249"/>
      <c r="AP6" s="248">
        <f>IF(AND(Q6&gt;0,AI6=1,AM6=1),100,0)</f>
        <v>100</v>
      </c>
      <c r="AQ6" s="249">
        <f t="shared" ref="AQ6:AQ11" si="6">IF(AY6&gt;=4,1,"")</f>
        <v>1</v>
      </c>
      <c r="AR6" s="249"/>
      <c r="AS6" s="249"/>
      <c r="AT6" s="249">
        <v>1</v>
      </c>
      <c r="AU6" s="249">
        <v>2</v>
      </c>
      <c r="AV6" s="249"/>
      <c r="AW6" s="249">
        <v>1</v>
      </c>
      <c r="AX6" s="249">
        <v>1</v>
      </c>
      <c r="AY6" s="249">
        <f t="shared" ref="AY6:AY11" si="7">SUM(AR6:AX6)</f>
        <v>5</v>
      </c>
      <c r="AZ6" s="248">
        <f t="shared" ref="AZ6:AZ11" si="8">IF(AY6&gt;=4,200,0)</f>
        <v>200</v>
      </c>
      <c r="BA6" s="247" t="s">
        <v>384</v>
      </c>
      <c r="BB6" s="247" t="s">
        <v>385</v>
      </c>
      <c r="BC6" s="247" t="s">
        <v>385</v>
      </c>
      <c r="BD6" s="248">
        <f t="shared" ref="BD6:BD11" si="9">IF(OR(D6="新築",D6="登録"),MIN(1000,Q6+T6+AA6+AE6+AL6+AP6+AZ6),0)</f>
        <v>912</v>
      </c>
      <c r="BE6" s="247"/>
      <c r="BF6" s="251"/>
      <c r="BG6" s="247"/>
      <c r="BH6" s="248">
        <f>MIN(ROUNDDOWN(BF6,1)*20+INT(BG6)*2,250)</f>
        <v>0</v>
      </c>
      <c r="BI6" s="249" t="str">
        <f>IF(OR(BJ6=1,BK6=1),1,"")</f>
        <v/>
      </c>
      <c r="BJ6" s="247"/>
      <c r="BK6" s="247"/>
      <c r="BL6" s="248" t="e">
        <f>IF(AND(BH6&gt;0,BI6=1,#REF!=""),100,0)</f>
        <v>#REF!</v>
      </c>
      <c r="BM6" s="249" t="str">
        <f>IF(OR(BN6=1,BO6=1,BP6=1),1,"")</f>
        <v/>
      </c>
      <c r="BN6" s="247"/>
      <c r="BO6" s="247"/>
      <c r="BP6" s="247"/>
      <c r="BQ6" s="248">
        <f>IF(AND(BH6&gt;0,BM6=1),100,IF(AND(BH6&gt;0,BP6=1),100,0))</f>
        <v>0</v>
      </c>
      <c r="BR6" s="249" t="str">
        <f>IF(OR(AND(BS6&gt;=7,BT6&gt;=7,BS6+BT6&gt;=14),AND(BS6&gt;=7,BU6&gt;=3,BS6+BU6&gt;=10),AND(BT6&gt;=7,BU6&gt;=3,BT6+BU6&gt;=10)),1,"")</f>
        <v/>
      </c>
      <c r="BS6" s="247"/>
      <c r="BT6" s="247"/>
      <c r="BU6" s="247"/>
      <c r="BV6" s="248">
        <f>IF(AND(BR6=1,BH6&gt;0),MIN(150,ROUNDDOWN(BS6*11+BT6*13+BU6*19,0)),0)</f>
        <v>0</v>
      </c>
      <c r="BW6" s="247"/>
      <c r="BX6" s="248">
        <f>IF(D6="改修",MIN(500,BH6+BL6+BQ6+BV6,INT(CQ6*10/2)),0)</f>
        <v>0</v>
      </c>
      <c r="BY6" s="279"/>
      <c r="BZ6" s="282" t="s">
        <v>7</v>
      </c>
      <c r="CA6" s="280"/>
      <c r="CB6" s="282" t="s">
        <v>237</v>
      </c>
      <c r="CC6" s="280"/>
      <c r="CD6" s="283" t="s">
        <v>6</v>
      </c>
      <c r="CE6" s="279"/>
      <c r="CF6" s="282" t="s">
        <v>7</v>
      </c>
      <c r="CG6" s="280"/>
      <c r="CH6" s="282" t="s">
        <v>237</v>
      </c>
      <c r="CI6" s="280"/>
      <c r="CJ6" s="283" t="s">
        <v>6</v>
      </c>
      <c r="CK6" s="246">
        <v>43200</v>
      </c>
      <c r="CL6" s="252">
        <f t="shared" ref="CL6:CL11" si="10">BD6+BX6</f>
        <v>912</v>
      </c>
      <c r="CM6" s="274" t="s">
        <v>386</v>
      </c>
      <c r="CN6" s="274" t="s">
        <v>387</v>
      </c>
      <c r="CO6" s="243" t="s">
        <v>388</v>
      </c>
      <c r="CP6" s="274">
        <v>120</v>
      </c>
      <c r="CQ6" s="287">
        <v>2500</v>
      </c>
      <c r="CR6" s="275" t="s">
        <v>389</v>
      </c>
      <c r="CS6" s="246"/>
      <c r="CT6" s="245"/>
      <c r="CU6" s="245"/>
      <c r="CV6" s="246"/>
      <c r="CW6" s="246"/>
      <c r="CX6" s="245"/>
      <c r="CY6" s="245"/>
      <c r="CZ6" s="245"/>
      <c r="DA6" s="245"/>
      <c r="DB6" s="245"/>
      <c r="DC6" s="245"/>
      <c r="DD6" s="245"/>
      <c r="DE6" s="245"/>
      <c r="DF6" s="245"/>
      <c r="DG6" s="245"/>
      <c r="DH6" s="245"/>
      <c r="DI6" s="245"/>
      <c r="DJ6" s="245"/>
      <c r="DK6" s="245"/>
      <c r="DL6" s="245"/>
      <c r="DM6" s="245"/>
      <c r="DN6" s="245"/>
      <c r="DP6" s="249">
        <v>30</v>
      </c>
      <c r="DQ6" s="249">
        <v>25</v>
      </c>
      <c r="DR6" s="247" t="s">
        <v>390</v>
      </c>
      <c r="DS6" s="248">
        <f t="shared" ref="DS6:DS11" si="11">IF(DQ6&gt;=10,150,0)</f>
        <v>150</v>
      </c>
      <c r="DT6" s="248">
        <f t="shared" ref="DT6:DT11" si="12">MIN(Q6,DS6)</f>
        <v>150</v>
      </c>
      <c r="DU6" s="249">
        <f>IF(DV6&gt;=1,1,"")</f>
        <v>1</v>
      </c>
      <c r="DV6" s="249">
        <v>18</v>
      </c>
      <c r="DW6" s="247" t="s">
        <v>390</v>
      </c>
      <c r="DX6" s="250">
        <f t="shared" ref="DX6:DX11" si="13">IF(DS6=0,0,IF(DV6&gt;=25,MIN(250,ROUNDDOWN(DV6*10,-1)),IF(DV6&gt;=20,MIN(200,ROUNDDOWN(DV6*10,-1)),IF(DV6&gt;=15,MIN(150,ROUNDDOWN(DV6*10,-1)),MIN(100,ROUNDDOWN(DV6*10,-1))))))</f>
        <v>150</v>
      </c>
      <c r="DY6" s="248">
        <f t="shared" ref="DY6:DY11" si="14">MIN(T6,DX6)</f>
        <v>150</v>
      </c>
      <c r="DZ6" s="249">
        <f>IF(EA6&gt;=1,1,"")</f>
        <v>1</v>
      </c>
      <c r="EA6" s="249">
        <v>10</v>
      </c>
      <c r="EB6" s="247" t="s">
        <v>391</v>
      </c>
      <c r="EC6" s="250">
        <f t="shared" ref="EC6:EC11" si="15">IF(AND(DS6&gt;0,EA6&gt;=1),MIN(INT(EA6)*20,200),0)</f>
        <v>200</v>
      </c>
      <c r="ED6" s="248">
        <f t="shared" ref="ED6:ED11" si="16">MIN(AA6,EC6)</f>
        <v>140</v>
      </c>
      <c r="EE6" s="249" t="str">
        <f t="shared" ref="EE6:EE11" si="17">IF(EF6&gt;=1,1,"")</f>
        <v/>
      </c>
      <c r="EF6" s="249"/>
      <c r="EG6" s="249">
        <f t="shared" ref="EG6:EG11" si="18">IF(AND(EF6&gt;=1,DS6&gt;=1),50,0)</f>
        <v>0</v>
      </c>
      <c r="EH6" s="249">
        <f>IF(EI6&gt;=1,1,"")</f>
        <v>1</v>
      </c>
      <c r="EI6" s="249">
        <v>15</v>
      </c>
      <c r="EJ6" s="247" t="s">
        <v>392</v>
      </c>
      <c r="EK6" s="249">
        <f t="shared" ref="EK6:EK11" si="19">IF(AND(DS6&gt;0,EI6&gt;=1),MIN(INT(EI6)*2,150),0)</f>
        <v>30</v>
      </c>
      <c r="EL6" s="248">
        <f t="shared" ref="EL6:EL11" si="20">IF(OR(EK6&gt;0,EG6&gt;0),MIN(EK6+EG6,150),0)</f>
        <v>30</v>
      </c>
      <c r="EM6" s="248">
        <f t="shared" ref="EM6:EM11" si="21">MIN(AE6,EL6)</f>
        <v>30</v>
      </c>
      <c r="EN6" s="249">
        <f t="shared" ref="EN6:EN11" si="22">IF(OR(EO6=1,EP6=1),1,"")</f>
        <v>1</v>
      </c>
      <c r="EO6" s="249">
        <v>1</v>
      </c>
      <c r="EP6" s="249"/>
      <c r="EQ6" s="248" t="e">
        <f>IF(AND(DS6&gt;0,EN6=1,#REF!=""),100,0)</f>
        <v>#REF!</v>
      </c>
      <c r="ER6" s="248" t="e">
        <f t="shared" ref="ER6:ER11" si="23">MIN(AL6,EQ6)</f>
        <v>#REF!</v>
      </c>
      <c r="ES6" s="249">
        <f t="shared" ref="ES6:ES11" si="24">IF(OR(ET6=1,EU6=1),1,"")</f>
        <v>1</v>
      </c>
      <c r="ET6" s="249">
        <v>1</v>
      </c>
      <c r="EU6" s="249"/>
      <c r="EV6" s="248">
        <f t="shared" ref="EV6:EV11" si="25">IF(AND(DS6&gt;0,EN6=1,ES6=1),100,0)</f>
        <v>100</v>
      </c>
      <c r="EW6" s="248">
        <f t="shared" ref="EW6:EW11" si="26">MIN(AP6,EV6)</f>
        <v>100</v>
      </c>
      <c r="EX6" s="249">
        <f t="shared" ref="EX6:EX11" si="27">IF(FF6&gt;=4,1,"")</f>
        <v>1</v>
      </c>
      <c r="EY6" s="249"/>
      <c r="EZ6" s="249"/>
      <c r="FA6" s="249"/>
      <c r="FB6" s="249">
        <v>2</v>
      </c>
      <c r="FC6" s="249"/>
      <c r="FD6" s="249">
        <v>1</v>
      </c>
      <c r="FE6" s="249">
        <v>1</v>
      </c>
      <c r="FF6" s="249">
        <f t="shared" ref="FF6:FF11" si="28">SUM(EY6:FE6)</f>
        <v>4</v>
      </c>
      <c r="FG6" s="248">
        <f t="shared" ref="FG6:FG11" si="29">IF(FF6&gt;=4,200,0)</f>
        <v>200</v>
      </c>
      <c r="FH6" s="248">
        <f t="shared" ref="FH6:FH11" si="30">MIN(AZ6,FG6)</f>
        <v>200</v>
      </c>
      <c r="FI6" s="247" t="s">
        <v>384</v>
      </c>
      <c r="FJ6" s="247"/>
      <c r="FK6" s="247"/>
      <c r="FL6" s="247" t="s">
        <v>393</v>
      </c>
      <c r="FM6" s="248" t="e">
        <f t="shared" ref="FM6:FM11" si="31">IF(D6="新築",MIN(1500,CL6,MIN(DT6+DY6+ED6+EM6+ER6+EW6+FH6,1000)),0)</f>
        <v>#REF!</v>
      </c>
      <c r="FN6" s="248" t="e">
        <f t="shared" ref="FN6:FN11" si="32">BD6-FM6</f>
        <v>#REF!</v>
      </c>
      <c r="FO6" s="247"/>
      <c r="FP6" s="253"/>
      <c r="FQ6" s="253"/>
      <c r="FR6" s="247"/>
      <c r="FS6" s="247"/>
      <c r="FT6" s="248">
        <f>MIN(ROUNDDOWN(FP6,1)*20+INT(FR6)*2,250)</f>
        <v>0</v>
      </c>
      <c r="FU6" s="248">
        <f>MIN(BH6,FT6)</f>
        <v>0</v>
      </c>
      <c r="FV6" s="249" t="str">
        <f>IF(OR(FW6=1,FX6=1),1,"")</f>
        <v/>
      </c>
      <c r="FW6" s="247"/>
      <c r="FX6" s="247"/>
      <c r="FY6" s="248" t="e">
        <f>IF(AND(FT6&gt;0,FV6=1,#REF!=""),100,0)</f>
        <v>#REF!</v>
      </c>
      <c r="FZ6" s="248" t="e">
        <f>MIN(BL6,FY6)</f>
        <v>#REF!</v>
      </c>
      <c r="GA6" s="249" t="str">
        <f>IF(OR(GB6=1,GC6=1,GD6=1),1,"")</f>
        <v/>
      </c>
      <c r="GB6" s="247"/>
      <c r="GC6" s="247"/>
      <c r="GD6" s="247"/>
      <c r="GE6" s="248">
        <f>IF(AND(FT6&gt;0,GA6=1),100,IF(AND(FT6&gt;0,GD6=1),100,0))</f>
        <v>0</v>
      </c>
      <c r="GF6" s="248">
        <f>MIN(BQ6,GE6)</f>
        <v>0</v>
      </c>
      <c r="GG6" s="249" t="str">
        <f>IF(OR(AND(GH6&gt;=7,GI6&gt;=7,GH6+GI6&gt;=14),AND(GH6&gt;=7,GJ6&gt;=3,GH6+GJ6&gt;=10),AND(GI6&gt;=7,GJ6&gt;=3,GI6+GJ6&gt;=10)),1,"")</f>
        <v/>
      </c>
      <c r="GH6" s="247"/>
      <c r="GI6" s="247"/>
      <c r="GJ6" s="247"/>
      <c r="GK6" s="248">
        <f>IF(AND(GG6=1,FT6&gt;0),MIN(150,ROUNDDOWN(GH6*11+GI6*13+GJ6*19,0)),0)</f>
        <v>0</v>
      </c>
      <c r="GL6" s="248">
        <f>MIN(BV6,GK6)</f>
        <v>0</v>
      </c>
      <c r="GM6" s="247"/>
      <c r="GN6" s="247"/>
      <c r="GO6" s="248">
        <f>IF(D6="改修",MIN(500,FU6+FZ6+GF6+GL6,INT(CQ6*10/2)),0)</f>
        <v>0</v>
      </c>
      <c r="GP6" s="248">
        <f>BX6-GO6</f>
        <v>0</v>
      </c>
      <c r="GQ6" s="245" t="s">
        <v>394</v>
      </c>
      <c r="GR6" s="246">
        <v>43374</v>
      </c>
      <c r="GS6" s="246">
        <v>43378</v>
      </c>
      <c r="GT6" s="246">
        <v>43391</v>
      </c>
      <c r="GU6" s="252">
        <f t="shared" ref="GU6:GU11" si="33">IF(D6="新築",BD6,IF(D6="改修",BX6,0))</f>
        <v>912</v>
      </c>
      <c r="GV6" s="252" t="e">
        <f t="shared" ref="GV6:GV11" si="34">IF(D6="新築",FM6,IF(D6="改修",GO6,0))</f>
        <v>#REF!</v>
      </c>
      <c r="GW6" s="252" t="e">
        <f t="shared" ref="GW6:GW11" si="35">GU6-GV6</f>
        <v>#REF!</v>
      </c>
    </row>
    <row r="7" spans="1:883" s="254" customFormat="1" ht="13.05" hidden="1" customHeight="1" x14ac:dyDescent="0.2">
      <c r="B7" s="241" t="str">
        <f t="shared" si="0"/>
        <v>支払済</v>
      </c>
      <c r="C7" s="242" t="s">
        <v>395</v>
      </c>
      <c r="D7" s="243" t="s">
        <v>396</v>
      </c>
      <c r="E7" s="244" t="str">
        <f t="shared" si="1"/>
        <v/>
      </c>
      <c r="F7" s="245"/>
      <c r="G7" s="245"/>
      <c r="H7" s="246">
        <v>43191</v>
      </c>
      <c r="I7" s="274" t="s">
        <v>397</v>
      </c>
      <c r="J7" s="275" t="s">
        <v>398</v>
      </c>
      <c r="K7" s="274"/>
      <c r="L7" s="275" t="s">
        <v>399</v>
      </c>
      <c r="M7" s="275" t="s">
        <v>142</v>
      </c>
      <c r="N7" s="274" t="s">
        <v>400</v>
      </c>
      <c r="O7" s="247"/>
      <c r="P7" s="247"/>
      <c r="Q7" s="248">
        <f>IF(P7&gt;=10,150,0)</f>
        <v>0</v>
      </c>
      <c r="R7" s="249" t="str">
        <f>IF(S7&gt;=1,1,"")</f>
        <v/>
      </c>
      <c r="S7" s="247"/>
      <c r="T7" s="250">
        <f t="shared" si="2"/>
        <v>0</v>
      </c>
      <c r="U7" s="249" t="str">
        <f>IF(V7&gt;=1,1,"")</f>
        <v/>
      </c>
      <c r="V7" s="247"/>
      <c r="W7" s="247"/>
      <c r="X7" s="247"/>
      <c r="Y7" s="247"/>
      <c r="Z7" s="247"/>
      <c r="AA7" s="250">
        <f>IF(AND(Q7&gt;0,V7&gt;=1),MIN(INT(V7)*20,200),0)</f>
        <v>0</v>
      </c>
      <c r="AB7" s="249" t="str">
        <f>IF(AC7&gt;=1,1,"")</f>
        <v/>
      </c>
      <c r="AC7" s="247"/>
      <c r="AD7" s="249">
        <f>IF(AC7&gt;=1,50,0)</f>
        <v>0</v>
      </c>
      <c r="AE7" s="248">
        <f t="shared" si="3"/>
        <v>0</v>
      </c>
      <c r="AF7" s="249" t="str">
        <f>IF(AG7&gt;=1,1,"")</f>
        <v/>
      </c>
      <c r="AG7" s="247"/>
      <c r="AH7" s="249">
        <f>IF(AND(Q7&gt;0,AG7&gt;=1),MIN(INT(AG7)*2,150),0)</f>
        <v>0</v>
      </c>
      <c r="AI7" s="249" t="str">
        <f t="shared" si="4"/>
        <v/>
      </c>
      <c r="AJ7" s="247"/>
      <c r="AK7" s="247"/>
      <c r="AL7" s="248">
        <f>IF(AND(Q7&gt;0,AI7=1,),100,0)</f>
        <v>0</v>
      </c>
      <c r="AM7" s="249" t="str">
        <f t="shared" si="5"/>
        <v/>
      </c>
      <c r="AN7" s="247"/>
      <c r="AO7" s="247"/>
      <c r="AP7" s="248">
        <f>IF(AND(Q7&gt;0,AI7=1,AM7=1),100,0)</f>
        <v>0</v>
      </c>
      <c r="AQ7" s="249" t="str">
        <f t="shared" si="6"/>
        <v/>
      </c>
      <c r="AR7" s="247"/>
      <c r="AS7" s="247"/>
      <c r="AT7" s="247"/>
      <c r="AU7" s="247"/>
      <c r="AV7" s="247"/>
      <c r="AW7" s="247"/>
      <c r="AX7" s="247"/>
      <c r="AY7" s="249">
        <f t="shared" si="7"/>
        <v>0</v>
      </c>
      <c r="AZ7" s="248">
        <f t="shared" si="8"/>
        <v>0</v>
      </c>
      <c r="BA7" s="247"/>
      <c r="BB7" s="247"/>
      <c r="BC7" s="247"/>
      <c r="BD7" s="248">
        <f t="shared" si="9"/>
        <v>0</v>
      </c>
      <c r="BE7" s="247">
        <v>5</v>
      </c>
      <c r="BF7" s="251">
        <v>3</v>
      </c>
      <c r="BG7" s="247">
        <v>10</v>
      </c>
      <c r="BH7" s="248">
        <f>MIN(ROUNDDOWN(BF7,1)*20+INT(BG7)*2,250)</f>
        <v>80</v>
      </c>
      <c r="BI7" s="249">
        <f>IF(OR(BJ7=1,BK7=1),1,"")</f>
        <v>1</v>
      </c>
      <c r="BJ7" s="247">
        <v>1</v>
      </c>
      <c r="BK7" s="247"/>
      <c r="BL7" s="248" t="e">
        <f>IF(AND(BH7&gt;0,BI7=1,#REF!=""),100,0)</f>
        <v>#REF!</v>
      </c>
      <c r="BM7" s="249" t="str">
        <f>IF(OR(BN7=1,BO7=1,BP7=1),1,"")</f>
        <v/>
      </c>
      <c r="BN7" s="247"/>
      <c r="BO7" s="247"/>
      <c r="BP7" s="247"/>
      <c r="BQ7" s="248">
        <f>IF(AND(BH7&gt;0,BM7=1),100,IF(AND(BH7&gt;0,BP7=1),100,0))</f>
        <v>0</v>
      </c>
      <c r="BR7" s="249">
        <f>IF(OR(AND(BS7&gt;=7,BT7&gt;=7,BS7+BT7&gt;=14),AND(BS7&gt;=7,BU7&gt;=3,BS7+BU7&gt;=10),AND(BT7&gt;=7,BU7&gt;=3,BT7+BU7&gt;=10)),1,"")</f>
        <v>1</v>
      </c>
      <c r="BS7" s="247">
        <v>7</v>
      </c>
      <c r="BT7" s="247"/>
      <c r="BU7" s="247">
        <v>3</v>
      </c>
      <c r="BV7" s="248">
        <f>IF(AND(BR7=1,BH7&gt;0),MIN(150,ROUNDDOWN(BS7*11+BT7*13+BU7*19,0)),0)</f>
        <v>134</v>
      </c>
      <c r="BW7" s="247"/>
      <c r="BX7" s="248" t="e">
        <f>IF(D7="改修",MIN(500,BH7+BL7+BQ7+BV7,INT(CQ7*10/2)),0)</f>
        <v>#REF!</v>
      </c>
      <c r="BY7" s="279"/>
      <c r="BZ7" s="282" t="s">
        <v>7</v>
      </c>
      <c r="CA7" s="280"/>
      <c r="CB7" s="282" t="s">
        <v>237</v>
      </c>
      <c r="CC7" s="280"/>
      <c r="CD7" s="283" t="s">
        <v>6</v>
      </c>
      <c r="CE7" s="279"/>
      <c r="CF7" s="282" t="s">
        <v>7</v>
      </c>
      <c r="CG7" s="280"/>
      <c r="CH7" s="282" t="s">
        <v>237</v>
      </c>
      <c r="CI7" s="280"/>
      <c r="CJ7" s="283" t="s">
        <v>6</v>
      </c>
      <c r="CK7" s="246">
        <v>43205</v>
      </c>
      <c r="CL7" s="252" t="e">
        <f t="shared" si="10"/>
        <v>#REF!</v>
      </c>
      <c r="CM7" s="274" t="s">
        <v>386</v>
      </c>
      <c r="CN7" s="274" t="s">
        <v>387</v>
      </c>
      <c r="CO7" s="243" t="s">
        <v>401</v>
      </c>
      <c r="CP7" s="274">
        <v>200</v>
      </c>
      <c r="CQ7" s="287">
        <v>300</v>
      </c>
      <c r="CR7" s="275" t="s">
        <v>402</v>
      </c>
      <c r="CS7" s="246"/>
      <c r="CT7" s="245"/>
      <c r="CU7" s="245"/>
      <c r="CV7" s="246"/>
      <c r="CW7" s="246"/>
      <c r="CX7" s="245"/>
      <c r="CY7" s="245"/>
      <c r="CZ7" s="245"/>
      <c r="DA7" s="245"/>
      <c r="DB7" s="245"/>
      <c r="DC7" s="245"/>
      <c r="DD7" s="245"/>
      <c r="DE7" s="245"/>
      <c r="DF7" s="245"/>
      <c r="DG7" s="245"/>
      <c r="DH7" s="245"/>
      <c r="DI7" s="245"/>
      <c r="DJ7" s="245"/>
      <c r="DK7" s="245"/>
      <c r="DL7" s="245"/>
      <c r="DM7" s="245"/>
      <c r="DN7" s="245"/>
      <c r="DO7"/>
      <c r="DP7" s="247"/>
      <c r="DQ7" s="247"/>
      <c r="DR7" s="247"/>
      <c r="DS7" s="248">
        <f t="shared" si="11"/>
        <v>0</v>
      </c>
      <c r="DT7" s="248">
        <f t="shared" si="12"/>
        <v>0</v>
      </c>
      <c r="DU7" s="249" t="str">
        <f>IF(DV7&gt;=1,1,"")</f>
        <v/>
      </c>
      <c r="DV7" s="247"/>
      <c r="DW7" s="247"/>
      <c r="DX7" s="250">
        <f t="shared" si="13"/>
        <v>0</v>
      </c>
      <c r="DY7" s="248">
        <f t="shared" si="14"/>
        <v>0</v>
      </c>
      <c r="DZ7" s="249" t="str">
        <f>IF(EA7&gt;=1,1,"")</f>
        <v/>
      </c>
      <c r="EA7" s="247"/>
      <c r="EB7" s="247"/>
      <c r="EC7" s="250">
        <f t="shared" si="15"/>
        <v>0</v>
      </c>
      <c r="ED7" s="248">
        <f t="shared" si="16"/>
        <v>0</v>
      </c>
      <c r="EE7" s="249" t="str">
        <f t="shared" si="17"/>
        <v/>
      </c>
      <c r="EF7" s="247"/>
      <c r="EG7" s="249">
        <f t="shared" si="18"/>
        <v>0</v>
      </c>
      <c r="EH7" s="249" t="str">
        <f>IF(EI7&gt;=1,1,"")</f>
        <v/>
      </c>
      <c r="EI7" s="247"/>
      <c r="EJ7" s="247"/>
      <c r="EK7" s="249">
        <f t="shared" si="19"/>
        <v>0</v>
      </c>
      <c r="EL7" s="248">
        <f t="shared" si="20"/>
        <v>0</v>
      </c>
      <c r="EM7" s="248">
        <f t="shared" si="21"/>
        <v>0</v>
      </c>
      <c r="EN7" s="249" t="str">
        <f t="shared" si="22"/>
        <v/>
      </c>
      <c r="EO7" s="247"/>
      <c r="EP7" s="247"/>
      <c r="EQ7" s="248" t="e">
        <f>IF(AND(DS7&gt;0,EN7=1,#REF!=""),100,0)</f>
        <v>#REF!</v>
      </c>
      <c r="ER7" s="248" t="e">
        <f t="shared" si="23"/>
        <v>#REF!</v>
      </c>
      <c r="ES7" s="249" t="str">
        <f t="shared" si="24"/>
        <v/>
      </c>
      <c r="ET7" s="247"/>
      <c r="EU7" s="247"/>
      <c r="EV7" s="248">
        <f t="shared" si="25"/>
        <v>0</v>
      </c>
      <c r="EW7" s="248">
        <f t="shared" si="26"/>
        <v>0</v>
      </c>
      <c r="EX7" s="249" t="str">
        <f t="shared" si="27"/>
        <v/>
      </c>
      <c r="EY7" s="247"/>
      <c r="EZ7" s="247"/>
      <c r="FA7" s="247"/>
      <c r="FB7" s="247"/>
      <c r="FC7" s="247"/>
      <c r="FD7" s="247"/>
      <c r="FE7" s="247"/>
      <c r="FF7" s="249">
        <f t="shared" si="28"/>
        <v>0</v>
      </c>
      <c r="FG7" s="248">
        <f t="shared" si="29"/>
        <v>0</v>
      </c>
      <c r="FH7" s="248">
        <f t="shared" si="30"/>
        <v>0</v>
      </c>
      <c r="FI7" s="247"/>
      <c r="FJ7" s="247"/>
      <c r="FK7" s="247"/>
      <c r="FL7" s="247"/>
      <c r="FM7" s="248">
        <f t="shared" si="31"/>
        <v>0</v>
      </c>
      <c r="FN7" s="248">
        <f t="shared" si="32"/>
        <v>0</v>
      </c>
      <c r="FO7" s="247">
        <v>5</v>
      </c>
      <c r="FP7" s="253">
        <v>3</v>
      </c>
      <c r="FQ7" s="253" t="s">
        <v>403</v>
      </c>
      <c r="FR7" s="247">
        <v>8</v>
      </c>
      <c r="FS7" s="247" t="s">
        <v>404</v>
      </c>
      <c r="FT7" s="248">
        <f>MIN(ROUNDDOWN(FP7,1)*20+INT(FR7)*2,250)</f>
        <v>76</v>
      </c>
      <c r="FU7" s="248">
        <f>MIN(BH7,FT7)</f>
        <v>76</v>
      </c>
      <c r="FV7" s="249">
        <f>IF(OR(FW7=1,FX7=1),1,"")</f>
        <v>1</v>
      </c>
      <c r="FW7" s="247">
        <v>1</v>
      </c>
      <c r="FX7" s="247"/>
      <c r="FY7" s="248" t="e">
        <f>IF(AND(FT7&gt;0,FV7=1,#REF!=""),100,0)</f>
        <v>#REF!</v>
      </c>
      <c r="FZ7" s="248" t="e">
        <f>MIN(BL7,FY7)</f>
        <v>#REF!</v>
      </c>
      <c r="GA7" s="249" t="str">
        <f>IF(OR(GB7=1,GC7=1,GD7=1),1,"")</f>
        <v/>
      </c>
      <c r="GB7" s="247"/>
      <c r="GC7" s="247"/>
      <c r="GD7" s="247"/>
      <c r="GE7" s="248">
        <f>IF(AND(FT7&gt;0,GA7=1),100,IF(AND(FT7&gt;0,GD7=1),100,0))</f>
        <v>0</v>
      </c>
      <c r="GF7" s="248">
        <f>MIN(BQ7,GE7)</f>
        <v>0</v>
      </c>
      <c r="GG7" s="249">
        <f>IF(OR(AND(GH7&gt;=7,GI7&gt;=7,GH7+GI7&gt;=14),AND(GH7&gt;=7,GJ7&gt;=3,GH7+GJ7&gt;=10),AND(GI7&gt;=7,GJ7&gt;=3,GI7+GJ7&gt;=10)),1,"")</f>
        <v>1</v>
      </c>
      <c r="GH7" s="247">
        <v>7</v>
      </c>
      <c r="GI7" s="247"/>
      <c r="GJ7" s="247">
        <v>3</v>
      </c>
      <c r="GK7" s="248">
        <f>IF(AND(GG7=1,FT7&gt;0),MIN(150,ROUNDDOWN(GH7*11+GI7*13+GJ7*19,0)),0)</f>
        <v>134</v>
      </c>
      <c r="GL7" s="248">
        <f>MIN(BV7,GK7)</f>
        <v>134</v>
      </c>
      <c r="GM7" s="247"/>
      <c r="GN7" s="247" t="s">
        <v>405</v>
      </c>
      <c r="GO7" s="248" t="e">
        <f>IF(D7="改修",MIN(500,FU7+FZ7+GF7+GL7,INT(CQ7*10/2)),0)</f>
        <v>#REF!</v>
      </c>
      <c r="GP7" s="248" t="e">
        <f>BX7-GO7</f>
        <v>#REF!</v>
      </c>
      <c r="GQ7" s="245" t="s">
        <v>394</v>
      </c>
      <c r="GR7" s="246">
        <v>43332</v>
      </c>
      <c r="GS7" s="246">
        <v>43343</v>
      </c>
      <c r="GT7" s="246">
        <v>43358</v>
      </c>
      <c r="GU7" s="252" t="e">
        <f t="shared" si="33"/>
        <v>#REF!</v>
      </c>
      <c r="GV7" s="252" t="e">
        <f t="shared" si="34"/>
        <v>#REF!</v>
      </c>
      <c r="GW7" s="252" t="e">
        <f t="shared" si="35"/>
        <v>#REF!</v>
      </c>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c r="AGQ7" s="114"/>
      <c r="AGR7" s="114"/>
      <c r="AGS7" s="114"/>
      <c r="AGT7" s="114"/>
      <c r="AGU7" s="114"/>
      <c r="AGV7" s="114"/>
      <c r="AGW7" s="114"/>
      <c r="AGX7" s="114"/>
      <c r="AGY7" s="114"/>
    </row>
    <row r="8" spans="1:883" ht="13.05" hidden="1" customHeight="1" x14ac:dyDescent="0.2">
      <c r="B8" s="241" t="str">
        <f t="shared" si="0"/>
        <v/>
      </c>
      <c r="C8" s="242" t="s">
        <v>406</v>
      </c>
      <c r="D8" s="243" t="s">
        <v>407</v>
      </c>
      <c r="E8" s="244" t="str">
        <f t="shared" si="1"/>
        <v>登録</v>
      </c>
      <c r="F8" s="245"/>
      <c r="G8" s="245"/>
      <c r="H8" s="246">
        <v>43191</v>
      </c>
      <c r="I8" s="274" t="s">
        <v>386</v>
      </c>
      <c r="J8" s="275" t="s">
        <v>408</v>
      </c>
      <c r="K8" s="274"/>
      <c r="L8" s="275" t="s">
        <v>409</v>
      </c>
      <c r="M8" s="275" t="s">
        <v>123</v>
      </c>
      <c r="N8" s="274" t="s">
        <v>410</v>
      </c>
      <c r="O8" s="249">
        <v>25</v>
      </c>
      <c r="P8" s="249">
        <v>20</v>
      </c>
      <c r="Q8" s="248">
        <f>IF(P8&gt;=10,150,0)</f>
        <v>150</v>
      </c>
      <c r="R8" s="249">
        <f>IF(S8&gt;=1,1,"")</f>
        <v>1</v>
      </c>
      <c r="S8" s="249">
        <v>15</v>
      </c>
      <c r="T8" s="250">
        <f t="shared" si="2"/>
        <v>150</v>
      </c>
      <c r="U8" s="249">
        <f>IF(V8&gt;=1,1,"")</f>
        <v>1</v>
      </c>
      <c r="V8" s="249">
        <v>3</v>
      </c>
      <c r="W8" s="249"/>
      <c r="X8" s="249"/>
      <c r="Y8" s="249"/>
      <c r="Z8" s="249"/>
      <c r="AA8" s="250">
        <f>IF(AND(Q8&gt;0,V8&gt;=1),MIN(INT(V8)*20,200),0)</f>
        <v>60</v>
      </c>
      <c r="AB8" s="249" t="str">
        <f>IF(AC8&gt;=1,1,"")</f>
        <v/>
      </c>
      <c r="AC8" s="249"/>
      <c r="AD8" s="249">
        <f>IF(AC8&gt;=1,50,0)</f>
        <v>0</v>
      </c>
      <c r="AE8" s="248">
        <f t="shared" si="3"/>
        <v>100</v>
      </c>
      <c r="AF8" s="249">
        <f>IF(AG8&gt;=1,1,"")</f>
        <v>1</v>
      </c>
      <c r="AG8" s="249">
        <v>50</v>
      </c>
      <c r="AH8" s="249">
        <f>IF(AND(Q8&gt;0,AG8&gt;=1),MIN(INT(AG8)*2,150),0)</f>
        <v>100</v>
      </c>
      <c r="AI8" s="249">
        <f t="shared" si="4"/>
        <v>1</v>
      </c>
      <c r="AJ8" s="249">
        <v>1</v>
      </c>
      <c r="AK8" s="249"/>
      <c r="AL8" s="248">
        <f>IF(AND(Q8&gt;0,AI8=1,),100,0)</f>
        <v>0</v>
      </c>
      <c r="AM8" s="249">
        <f t="shared" si="5"/>
        <v>1</v>
      </c>
      <c r="AN8" s="249"/>
      <c r="AO8" s="249">
        <v>1</v>
      </c>
      <c r="AP8" s="248">
        <f>IF(AND(Q8&gt;0,AI8=1,AM8=1),100,0)</f>
        <v>100</v>
      </c>
      <c r="AQ8" s="249" t="str">
        <f t="shared" si="6"/>
        <v/>
      </c>
      <c r="AR8" s="249"/>
      <c r="AS8" s="249"/>
      <c r="AT8" s="249"/>
      <c r="AU8" s="249"/>
      <c r="AV8" s="249"/>
      <c r="AW8" s="249"/>
      <c r="AX8" s="249"/>
      <c r="AY8" s="249">
        <f t="shared" si="7"/>
        <v>0</v>
      </c>
      <c r="AZ8" s="248">
        <f t="shared" si="8"/>
        <v>0</v>
      </c>
      <c r="BA8" s="247"/>
      <c r="BB8" s="247"/>
      <c r="BC8" s="247"/>
      <c r="BD8" s="248">
        <f t="shared" si="9"/>
        <v>560</v>
      </c>
      <c r="BE8" s="247"/>
      <c r="BF8" s="251"/>
      <c r="BG8" s="247"/>
      <c r="BH8" s="248">
        <f>MIN(ROUNDDOWN(BF8,1)*20+INT(BG8)*2,250)</f>
        <v>0</v>
      </c>
      <c r="BI8" s="249" t="str">
        <f>IF(OR(BJ8=1,BK8=1),1,"")</f>
        <v/>
      </c>
      <c r="BJ8" s="247"/>
      <c r="BK8" s="247"/>
      <c r="BL8" s="248" t="e">
        <f>IF(AND(BH8&gt;0,BI8=1,#REF!=""),100,0)</f>
        <v>#REF!</v>
      </c>
      <c r="BM8" s="249" t="str">
        <f>IF(OR(BN8=1,BO8=1,BP8=1),1,"")</f>
        <v/>
      </c>
      <c r="BN8" s="247"/>
      <c r="BO8" s="247"/>
      <c r="BP8" s="247"/>
      <c r="BQ8" s="248">
        <f>IF(AND(BH8&gt;0,BM8=1),100,IF(AND(BH8&gt;0,BP8=1),100,0))</f>
        <v>0</v>
      </c>
      <c r="BR8" s="249" t="str">
        <f>IF(OR(AND(BS8&gt;=7,BT8&gt;=7,BS8+BT8&gt;=14),AND(BS8&gt;=7,BU8&gt;=3,BS8+BU8&gt;=10),AND(BT8&gt;=7,BU8&gt;=3,BT8+BU8&gt;=10)),1,"")</f>
        <v/>
      </c>
      <c r="BS8" s="247"/>
      <c r="BT8" s="247"/>
      <c r="BU8" s="247"/>
      <c r="BV8" s="248">
        <f>IF(AND(BR8=1,BH8&gt;0),MIN(150,ROUNDDOWN(BS8*11+BT8*13+BU8*19,0)),0)</f>
        <v>0</v>
      </c>
      <c r="BW8" s="247"/>
      <c r="BX8" s="248">
        <f>IF(D8="改修",MIN(500,BH8+BL8+BQ8+BV8,INT(CQ8*10/2)),0)</f>
        <v>0</v>
      </c>
      <c r="BY8" s="279"/>
      <c r="BZ8" s="282" t="s">
        <v>7</v>
      </c>
      <c r="CA8" s="280"/>
      <c r="CB8" s="282" t="s">
        <v>237</v>
      </c>
      <c r="CC8" s="280"/>
      <c r="CD8" s="283" t="s">
        <v>6</v>
      </c>
      <c r="CE8" s="279"/>
      <c r="CF8" s="282" t="s">
        <v>7</v>
      </c>
      <c r="CG8" s="280"/>
      <c r="CH8" s="282" t="s">
        <v>237</v>
      </c>
      <c r="CI8" s="280"/>
      <c r="CJ8" s="283" t="s">
        <v>6</v>
      </c>
      <c r="CK8" s="246">
        <v>43198</v>
      </c>
      <c r="CL8" s="252">
        <f t="shared" si="10"/>
        <v>560</v>
      </c>
      <c r="CM8" s="274" t="s">
        <v>386</v>
      </c>
      <c r="CN8" s="274" t="s">
        <v>387</v>
      </c>
      <c r="CO8" s="243" t="s">
        <v>411</v>
      </c>
      <c r="CP8" s="274">
        <v>100</v>
      </c>
      <c r="CQ8" s="287">
        <v>2200</v>
      </c>
      <c r="CR8" s="275" t="s">
        <v>389</v>
      </c>
      <c r="CS8" s="246"/>
      <c r="CT8" s="245"/>
      <c r="CU8" s="245"/>
      <c r="CV8" s="246"/>
      <c r="CW8" s="246"/>
      <c r="CX8" s="245"/>
      <c r="CY8" s="245"/>
      <c r="CZ8" s="245"/>
      <c r="DA8" s="245"/>
      <c r="DB8" s="245"/>
      <c r="DC8" s="245"/>
      <c r="DD8" s="245"/>
      <c r="DE8" s="245"/>
      <c r="DF8" s="245"/>
      <c r="DG8" s="245"/>
      <c r="DH8" s="245"/>
      <c r="DI8" s="245"/>
      <c r="DJ8" s="245"/>
      <c r="DK8" s="245"/>
      <c r="DL8" s="245"/>
      <c r="DM8" s="245"/>
      <c r="DN8" s="245"/>
      <c r="DO8"/>
      <c r="DP8" s="247"/>
      <c r="DQ8" s="247"/>
      <c r="DR8" s="247"/>
      <c r="DS8" s="248">
        <f t="shared" si="11"/>
        <v>0</v>
      </c>
      <c r="DT8" s="248">
        <f t="shared" si="12"/>
        <v>0</v>
      </c>
      <c r="DU8" s="249" t="str">
        <f>IF(DV8&gt;=1,1,"")</f>
        <v/>
      </c>
      <c r="DV8" s="247"/>
      <c r="DW8" s="247"/>
      <c r="DX8" s="250">
        <f t="shared" si="13"/>
        <v>0</v>
      </c>
      <c r="DY8" s="248">
        <f t="shared" si="14"/>
        <v>0</v>
      </c>
      <c r="DZ8" s="249" t="str">
        <f>IF(EA8&gt;=1,1,"")</f>
        <v/>
      </c>
      <c r="EA8" s="247"/>
      <c r="EB8" s="247"/>
      <c r="EC8" s="250">
        <f t="shared" si="15"/>
        <v>0</v>
      </c>
      <c r="ED8" s="248">
        <f t="shared" si="16"/>
        <v>0</v>
      </c>
      <c r="EE8" s="249" t="str">
        <f t="shared" si="17"/>
        <v/>
      </c>
      <c r="EF8" s="247"/>
      <c r="EG8" s="249">
        <f t="shared" si="18"/>
        <v>0</v>
      </c>
      <c r="EH8" s="249" t="str">
        <f>IF(EI8&gt;=1,1,"")</f>
        <v/>
      </c>
      <c r="EI8" s="247"/>
      <c r="EJ8" s="247"/>
      <c r="EK8" s="249">
        <f t="shared" si="19"/>
        <v>0</v>
      </c>
      <c r="EL8" s="248">
        <f t="shared" si="20"/>
        <v>0</v>
      </c>
      <c r="EM8" s="248">
        <f t="shared" si="21"/>
        <v>0</v>
      </c>
      <c r="EN8" s="249" t="str">
        <f t="shared" si="22"/>
        <v/>
      </c>
      <c r="EO8" s="247"/>
      <c r="EP8" s="247"/>
      <c r="EQ8" s="248" t="e">
        <f>IF(AND(DS8&gt;0,EN8=1,#REF!=""),100,0)</f>
        <v>#REF!</v>
      </c>
      <c r="ER8" s="248" t="e">
        <f t="shared" si="23"/>
        <v>#REF!</v>
      </c>
      <c r="ES8" s="249" t="str">
        <f t="shared" si="24"/>
        <v/>
      </c>
      <c r="ET8" s="247"/>
      <c r="EU8" s="247"/>
      <c r="EV8" s="248">
        <f t="shared" si="25"/>
        <v>0</v>
      </c>
      <c r="EW8" s="248">
        <f t="shared" si="26"/>
        <v>0</v>
      </c>
      <c r="EX8" s="249" t="str">
        <f t="shared" si="27"/>
        <v/>
      </c>
      <c r="EY8" s="247"/>
      <c r="EZ8" s="247"/>
      <c r="FA8" s="247"/>
      <c r="FB8" s="247"/>
      <c r="FC8" s="247"/>
      <c r="FD8" s="247"/>
      <c r="FE8" s="247"/>
      <c r="FF8" s="249">
        <f t="shared" si="28"/>
        <v>0</v>
      </c>
      <c r="FG8" s="248">
        <f t="shared" si="29"/>
        <v>0</v>
      </c>
      <c r="FH8" s="248">
        <f t="shared" si="30"/>
        <v>0</v>
      </c>
      <c r="FI8" s="247"/>
      <c r="FJ8" s="247"/>
      <c r="FK8" s="247"/>
      <c r="FL8" s="247"/>
      <c r="FM8" s="248">
        <f t="shared" si="31"/>
        <v>0</v>
      </c>
      <c r="FN8" s="248">
        <f t="shared" si="32"/>
        <v>560</v>
      </c>
      <c r="FO8" s="247"/>
      <c r="FP8" s="253"/>
      <c r="FQ8" s="253"/>
      <c r="FR8" s="247"/>
      <c r="FS8" s="247"/>
      <c r="FT8" s="248">
        <f>MIN(ROUNDDOWN(FP8,1)*20+INT(FR8)*2,250)</f>
        <v>0</v>
      </c>
      <c r="FU8" s="248">
        <f>MIN(BH8,FT8)</f>
        <v>0</v>
      </c>
      <c r="FV8" s="249" t="str">
        <f>IF(OR(FW8=1,FX8=1),1,"")</f>
        <v/>
      </c>
      <c r="FW8" s="247"/>
      <c r="FX8" s="247"/>
      <c r="FY8" s="248" t="e">
        <f>IF(AND(FT8&gt;0,FV8=1,#REF!=""),100,0)</f>
        <v>#REF!</v>
      </c>
      <c r="FZ8" s="248" t="e">
        <f>MIN(BL8,FY8)</f>
        <v>#REF!</v>
      </c>
      <c r="GA8" s="249" t="str">
        <f>IF(OR(GB8=1,GC8=1,GD8=1),1,"")</f>
        <v/>
      </c>
      <c r="GB8" s="247"/>
      <c r="GC8" s="247"/>
      <c r="GD8" s="247"/>
      <c r="GE8" s="248">
        <f>IF(AND(FT8&gt;0,GA8=1),100,IF(AND(FT8&gt;0,GD8=1),100,0))</f>
        <v>0</v>
      </c>
      <c r="GF8" s="248">
        <f>MIN(BQ8,GE8)</f>
        <v>0</v>
      </c>
      <c r="GG8" s="249" t="str">
        <f>IF(OR(AND(GH8&gt;=7,GI8&gt;=7,GH8+GI8&gt;=14),AND(GH8&gt;=7,GJ8&gt;=3,GH8+GJ8&gt;=10),AND(GI8&gt;=7,GJ8&gt;=3,GI8+GJ8&gt;=10)),1,"")</f>
        <v/>
      </c>
      <c r="GH8" s="247"/>
      <c r="GI8" s="247"/>
      <c r="GJ8" s="247"/>
      <c r="GK8" s="248">
        <f>IF(AND(GG8=1,FT8&gt;0),MIN(150,ROUNDDOWN(GH8*11+GI8*13+GJ8*19,0)),0)</f>
        <v>0</v>
      </c>
      <c r="GL8" s="248">
        <f>MIN(BV8,GK8)</f>
        <v>0</v>
      </c>
      <c r="GM8" s="247"/>
      <c r="GN8" s="247"/>
      <c r="GO8" s="248">
        <f>IF(D8="改修",MIN(500,FU8+FZ8+GF8+GL8,INT(CQ8*10/2)),0)</f>
        <v>0</v>
      </c>
      <c r="GP8" s="248">
        <f>BX8-GO8</f>
        <v>0</v>
      </c>
      <c r="GQ8" s="245"/>
      <c r="GR8" s="246"/>
      <c r="GS8" s="246"/>
      <c r="GT8" s="246"/>
      <c r="GU8" s="252">
        <f t="shared" si="33"/>
        <v>0</v>
      </c>
      <c r="GV8" s="252">
        <f t="shared" si="34"/>
        <v>0</v>
      </c>
      <c r="GW8" s="252">
        <f t="shared" si="35"/>
        <v>0</v>
      </c>
    </row>
    <row r="9" spans="1:883" s="254" customFormat="1" ht="13.05" hidden="1" customHeight="1" x14ac:dyDescent="0.2">
      <c r="B9" s="241" t="str">
        <f t="shared" si="0"/>
        <v>支払済</v>
      </c>
      <c r="C9" s="242" t="s">
        <v>406</v>
      </c>
      <c r="D9" s="243" t="s">
        <v>378</v>
      </c>
      <c r="E9" s="244" t="str">
        <f t="shared" si="1"/>
        <v>建売購入</v>
      </c>
      <c r="F9" s="245"/>
      <c r="G9" s="245"/>
      <c r="H9" s="246">
        <v>43403</v>
      </c>
      <c r="I9" s="274" t="s">
        <v>412</v>
      </c>
      <c r="J9" s="275" t="s">
        <v>413</v>
      </c>
      <c r="K9" s="274"/>
      <c r="L9" s="275" t="s">
        <v>414</v>
      </c>
      <c r="M9" s="275" t="s">
        <v>415</v>
      </c>
      <c r="N9" s="274" t="s">
        <v>410</v>
      </c>
      <c r="O9" s="249">
        <v>25</v>
      </c>
      <c r="P9" s="249">
        <v>18</v>
      </c>
      <c r="Q9" s="248">
        <f>IF(P9&gt;=10,150,0)</f>
        <v>150</v>
      </c>
      <c r="R9" s="249">
        <f>IF(S9&gt;=1,1,"")</f>
        <v>1</v>
      </c>
      <c r="S9" s="249">
        <v>13</v>
      </c>
      <c r="T9" s="250">
        <f t="shared" si="2"/>
        <v>100</v>
      </c>
      <c r="U9" s="249">
        <f>IF(V9&gt;=1,1,"")</f>
        <v>1</v>
      </c>
      <c r="V9" s="249">
        <v>2</v>
      </c>
      <c r="W9" s="249"/>
      <c r="X9" s="249"/>
      <c r="Y9" s="249"/>
      <c r="Z9" s="249"/>
      <c r="AA9" s="250">
        <f>IF(AND(Q9&gt;0,V9&gt;=1),MIN(INT(V9)*20,200),0)</f>
        <v>40</v>
      </c>
      <c r="AB9" s="249" t="str">
        <f>IF(AC9&gt;=1,1,"")</f>
        <v/>
      </c>
      <c r="AC9" s="249"/>
      <c r="AD9" s="249">
        <f>IF(AC9&gt;=1,50,0)</f>
        <v>0</v>
      </c>
      <c r="AE9" s="248">
        <f t="shared" si="3"/>
        <v>90</v>
      </c>
      <c r="AF9" s="249">
        <f>IF(AG9&gt;=1,1,"")</f>
        <v>1</v>
      </c>
      <c r="AG9" s="249">
        <v>45</v>
      </c>
      <c r="AH9" s="249">
        <f>IF(AND(Q9&gt;0,AG9&gt;=1),MIN(INT(AG9)*2,150),0)</f>
        <v>90</v>
      </c>
      <c r="AI9" s="249">
        <f t="shared" si="4"/>
        <v>1</v>
      </c>
      <c r="AJ9" s="249"/>
      <c r="AK9" s="249">
        <v>1</v>
      </c>
      <c r="AL9" s="248">
        <f>IF(AND(Q9&gt;0,AI9=1,),100,0)</f>
        <v>0</v>
      </c>
      <c r="AM9" s="249" t="str">
        <f t="shared" si="5"/>
        <v/>
      </c>
      <c r="AN9" s="249"/>
      <c r="AO9" s="249"/>
      <c r="AP9" s="248">
        <f>IF(AND(Q9&gt;0,AI9=1,AM9=1),100,0)</f>
        <v>0</v>
      </c>
      <c r="AQ9" s="249" t="str">
        <f t="shared" si="6"/>
        <v/>
      </c>
      <c r="AR9" s="249"/>
      <c r="AS9" s="249"/>
      <c r="AT9" s="249"/>
      <c r="AU9" s="249"/>
      <c r="AV9" s="249"/>
      <c r="AW9" s="249"/>
      <c r="AX9" s="249"/>
      <c r="AY9" s="249">
        <f t="shared" si="7"/>
        <v>0</v>
      </c>
      <c r="AZ9" s="248">
        <f t="shared" si="8"/>
        <v>0</v>
      </c>
      <c r="BA9" s="247"/>
      <c r="BB9" s="247"/>
      <c r="BC9" s="247"/>
      <c r="BD9" s="248">
        <f t="shared" si="9"/>
        <v>380</v>
      </c>
      <c r="BE9" s="247"/>
      <c r="BF9" s="251"/>
      <c r="BG9" s="247"/>
      <c r="BH9" s="248">
        <f>MIN(ROUNDDOWN(BF9,1)*20+INT(BG9)*2,250)</f>
        <v>0</v>
      </c>
      <c r="BI9" s="249" t="str">
        <f>IF(OR(BJ9=1,BK9=1),1,"")</f>
        <v/>
      </c>
      <c r="BJ9" s="247"/>
      <c r="BK9" s="247"/>
      <c r="BL9" s="248" t="e">
        <f>IF(AND(BH9&gt;0,BI9=1,#REF!=""),100,0)</f>
        <v>#REF!</v>
      </c>
      <c r="BM9" s="249" t="str">
        <f>IF(OR(BN9=1,BO9=1,BP9=1),1,"")</f>
        <v/>
      </c>
      <c r="BN9" s="247"/>
      <c r="BO9" s="247"/>
      <c r="BP9" s="247"/>
      <c r="BQ9" s="248">
        <f>IF(AND(BH9&gt;0,BM9=1),100,IF(AND(BH9&gt;0,BP9=1),100,0))</f>
        <v>0</v>
      </c>
      <c r="BR9" s="249" t="str">
        <f>IF(OR(AND(BS9&gt;=7,BT9&gt;=7,BS9+BT9&gt;=14),AND(BS9&gt;=7,BU9&gt;=3,BS9+BU9&gt;=10),AND(BT9&gt;=7,BU9&gt;=3,BT9+BU9&gt;=10)),1,"")</f>
        <v/>
      </c>
      <c r="BS9" s="247"/>
      <c r="BT9" s="247"/>
      <c r="BU9" s="247"/>
      <c r="BV9" s="248">
        <f>IF(AND(BR9=1,BH9&gt;0),MIN(150,ROUNDDOWN(BS9*11+BT9*13+BU9*19,0)),0)</f>
        <v>0</v>
      </c>
      <c r="BW9" s="247"/>
      <c r="BX9" s="248">
        <f>IF(D9="改修",MIN(500,BH9+BL9+BQ9+BV9,INT(CQ9*10/2)),0)</f>
        <v>0</v>
      </c>
      <c r="BY9" s="279"/>
      <c r="BZ9" s="282" t="s">
        <v>7</v>
      </c>
      <c r="CA9" s="280"/>
      <c r="CB9" s="282" t="s">
        <v>237</v>
      </c>
      <c r="CC9" s="280"/>
      <c r="CD9" s="283" t="s">
        <v>6</v>
      </c>
      <c r="CE9" s="279"/>
      <c r="CF9" s="282" t="s">
        <v>7</v>
      </c>
      <c r="CG9" s="280"/>
      <c r="CH9" s="282" t="s">
        <v>237</v>
      </c>
      <c r="CI9" s="280"/>
      <c r="CJ9" s="283" t="s">
        <v>6</v>
      </c>
      <c r="CK9" s="246">
        <v>43409</v>
      </c>
      <c r="CL9" s="252">
        <f t="shared" si="10"/>
        <v>380</v>
      </c>
      <c r="CM9" s="274" t="s">
        <v>386</v>
      </c>
      <c r="CN9" s="274" t="s">
        <v>387</v>
      </c>
      <c r="CO9" s="243" t="s">
        <v>411</v>
      </c>
      <c r="CP9" s="274">
        <v>100</v>
      </c>
      <c r="CQ9" s="287">
        <v>2200</v>
      </c>
      <c r="CR9" s="275" t="s">
        <v>389</v>
      </c>
      <c r="CS9" s="246"/>
      <c r="CT9" s="245"/>
      <c r="CU9" s="245"/>
      <c r="CV9" s="246"/>
      <c r="CW9" s="246"/>
      <c r="CX9" s="245"/>
      <c r="CY9" s="245"/>
      <c r="CZ9" s="245"/>
      <c r="DA9" s="245"/>
      <c r="DB9" s="245"/>
      <c r="DC9" s="245"/>
      <c r="DD9" s="245"/>
      <c r="DE9" s="245"/>
      <c r="DF9" s="245"/>
      <c r="DG9" s="245"/>
      <c r="DH9" s="245"/>
      <c r="DI9" s="245"/>
      <c r="DJ9" s="245"/>
      <c r="DK9" s="245"/>
      <c r="DL9" s="245"/>
      <c r="DM9" s="245"/>
      <c r="DN9" s="245"/>
      <c r="DO9"/>
      <c r="DP9" s="249">
        <v>25</v>
      </c>
      <c r="DQ9" s="249">
        <v>18</v>
      </c>
      <c r="DR9" s="247" t="s">
        <v>416</v>
      </c>
      <c r="DS9" s="248">
        <f t="shared" si="11"/>
        <v>150</v>
      </c>
      <c r="DT9" s="248">
        <f t="shared" si="12"/>
        <v>150</v>
      </c>
      <c r="DU9" s="249">
        <f>IF(DV9&gt;=1,1,"")</f>
        <v>1</v>
      </c>
      <c r="DV9" s="249">
        <v>13</v>
      </c>
      <c r="DW9" s="247" t="s">
        <v>416</v>
      </c>
      <c r="DX9" s="250">
        <f t="shared" si="13"/>
        <v>100</v>
      </c>
      <c r="DY9" s="248">
        <f t="shared" si="14"/>
        <v>100</v>
      </c>
      <c r="DZ9" s="249">
        <f>IF(EA9&gt;=1,1,"")</f>
        <v>1</v>
      </c>
      <c r="EA9" s="249">
        <v>2</v>
      </c>
      <c r="EB9" s="247" t="s">
        <v>417</v>
      </c>
      <c r="EC9" s="250">
        <f t="shared" si="15"/>
        <v>40</v>
      </c>
      <c r="ED9" s="248">
        <f t="shared" si="16"/>
        <v>40</v>
      </c>
      <c r="EE9" s="249" t="str">
        <f t="shared" si="17"/>
        <v/>
      </c>
      <c r="EF9" s="249"/>
      <c r="EG9" s="249">
        <f t="shared" si="18"/>
        <v>0</v>
      </c>
      <c r="EH9" s="249">
        <f>IF(EI9&gt;=1,1,"")</f>
        <v>1</v>
      </c>
      <c r="EI9" s="249">
        <v>45</v>
      </c>
      <c r="EJ9" s="247" t="s">
        <v>418</v>
      </c>
      <c r="EK9" s="249">
        <f t="shared" si="19"/>
        <v>90</v>
      </c>
      <c r="EL9" s="248">
        <f t="shared" si="20"/>
        <v>90</v>
      </c>
      <c r="EM9" s="248">
        <f t="shared" si="21"/>
        <v>90</v>
      </c>
      <c r="EN9" s="249">
        <f t="shared" si="22"/>
        <v>1</v>
      </c>
      <c r="EO9" s="249"/>
      <c r="EP9" s="249">
        <v>1</v>
      </c>
      <c r="EQ9" s="248" t="e">
        <f>IF(AND(DS9&gt;0,EN9=1,#REF!=""),100,0)</f>
        <v>#REF!</v>
      </c>
      <c r="ER9" s="248" t="e">
        <f t="shared" si="23"/>
        <v>#REF!</v>
      </c>
      <c r="ES9" s="249" t="str">
        <f t="shared" si="24"/>
        <v/>
      </c>
      <c r="ET9" s="249"/>
      <c r="EU9" s="249"/>
      <c r="EV9" s="248">
        <f t="shared" si="25"/>
        <v>0</v>
      </c>
      <c r="EW9" s="248">
        <f t="shared" si="26"/>
        <v>0</v>
      </c>
      <c r="EX9" s="249" t="str">
        <f t="shared" si="27"/>
        <v/>
      </c>
      <c r="EY9" s="249"/>
      <c r="EZ9" s="249"/>
      <c r="FA9" s="249"/>
      <c r="FB9" s="249"/>
      <c r="FC9" s="249"/>
      <c r="FD9" s="249"/>
      <c r="FE9" s="249"/>
      <c r="FF9" s="249">
        <f t="shared" si="28"/>
        <v>0</v>
      </c>
      <c r="FG9" s="248">
        <f t="shared" si="29"/>
        <v>0</v>
      </c>
      <c r="FH9" s="248">
        <f t="shared" si="30"/>
        <v>0</v>
      </c>
      <c r="FI9" s="247"/>
      <c r="FJ9" s="247"/>
      <c r="FK9" s="247"/>
      <c r="FL9" s="247"/>
      <c r="FM9" s="248" t="e">
        <f t="shared" si="31"/>
        <v>#REF!</v>
      </c>
      <c r="FN9" s="248" t="e">
        <f t="shared" si="32"/>
        <v>#REF!</v>
      </c>
      <c r="FO9" s="247"/>
      <c r="FP9" s="253"/>
      <c r="FQ9" s="253"/>
      <c r="FR9" s="247"/>
      <c r="FS9" s="247"/>
      <c r="FT9" s="248">
        <f>MIN(ROUNDDOWN(FP9,1)*20+INT(FR9)*2,250)</f>
        <v>0</v>
      </c>
      <c r="FU9" s="248">
        <f>MIN(BH9,FT9)</f>
        <v>0</v>
      </c>
      <c r="FV9" s="249" t="str">
        <f>IF(OR(FW9=1,FX9=1),1,"")</f>
        <v/>
      </c>
      <c r="FW9" s="247"/>
      <c r="FX9" s="247"/>
      <c r="FY9" s="248" t="e">
        <f>IF(AND(FT9&gt;0,FV9=1,#REF!=""),100,0)</f>
        <v>#REF!</v>
      </c>
      <c r="FZ9" s="248" t="e">
        <f>MIN(BL9,FY9)</f>
        <v>#REF!</v>
      </c>
      <c r="GA9" s="249" t="str">
        <f>IF(OR(GB9=1,GC9=1,GD9=1),1,"")</f>
        <v/>
      </c>
      <c r="GB9" s="247"/>
      <c r="GC9" s="247"/>
      <c r="GD9" s="247"/>
      <c r="GE9" s="248">
        <f>IF(AND(FT9&gt;0,GA9=1),100,IF(AND(FT9&gt;0,GD9=1),100,0))</f>
        <v>0</v>
      </c>
      <c r="GF9" s="248">
        <f>MIN(BQ9,GE9)</f>
        <v>0</v>
      </c>
      <c r="GG9" s="249" t="str">
        <f>IF(OR(AND(GH9&gt;=7,GI9&gt;=7,GH9+GI9&gt;=14),AND(GH9&gt;=7,GJ9&gt;=3,GH9+GJ9&gt;=10),AND(GI9&gt;=7,GJ9&gt;=3,GI9+GJ9&gt;=10)),1,"")</f>
        <v/>
      </c>
      <c r="GH9" s="247"/>
      <c r="GI9" s="247"/>
      <c r="GJ9" s="247"/>
      <c r="GK9" s="248">
        <f>IF(AND(GG9=1,FT9&gt;0),MIN(150,ROUNDDOWN(GH9*11+GI9*13+GJ9*19,0)),0)</f>
        <v>0</v>
      </c>
      <c r="GL9" s="248">
        <f>MIN(BV9,GK9)</f>
        <v>0</v>
      </c>
      <c r="GM9" s="247"/>
      <c r="GN9" s="247"/>
      <c r="GO9" s="248">
        <f>IF(D9="改修",MIN(500,FU9+FZ9+GF9+GL9,INT(CQ9*10/2)),0)</f>
        <v>0</v>
      </c>
      <c r="GP9" s="248">
        <f>BX9-GO9</f>
        <v>0</v>
      </c>
      <c r="GQ9" s="245" t="s">
        <v>394</v>
      </c>
      <c r="GR9" s="246">
        <v>43403</v>
      </c>
      <c r="GS9" s="246">
        <v>43409</v>
      </c>
      <c r="GT9" s="246">
        <v>43429</v>
      </c>
      <c r="GU9" s="252">
        <f t="shared" si="33"/>
        <v>380</v>
      </c>
      <c r="GV9" s="252" t="e">
        <f t="shared" si="34"/>
        <v>#REF!</v>
      </c>
      <c r="GW9" s="252" t="e">
        <f t="shared" si="35"/>
        <v>#REF!</v>
      </c>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c r="AGQ9" s="114"/>
      <c r="AGR9" s="114"/>
      <c r="AGS9" s="114"/>
      <c r="AGT9" s="114"/>
      <c r="AGU9" s="114"/>
      <c r="AGV9" s="114"/>
      <c r="AGW9" s="114"/>
      <c r="AGX9" s="114"/>
      <c r="AGY9" s="114"/>
    </row>
    <row r="10" spans="1:883" ht="12" customHeight="1" x14ac:dyDescent="0.2">
      <c r="B10" s="255" t="str">
        <f t="shared" si="0"/>
        <v/>
      </c>
      <c r="C10" s="256"/>
      <c r="D10" s="257"/>
      <c r="E10" s="258" t="str">
        <f t="shared" si="1"/>
        <v/>
      </c>
      <c r="F10" s="259"/>
      <c r="G10" s="259"/>
      <c r="H10" s="260"/>
      <c r="I10" s="259"/>
      <c r="J10" s="257"/>
      <c r="K10" s="259"/>
      <c r="L10" s="257"/>
      <c r="M10" s="257"/>
      <c r="N10" s="259"/>
      <c r="O10" s="261"/>
      <c r="P10" s="261"/>
      <c r="Q10" s="261">
        <f>IF(P10&gt;=10,150,0)</f>
        <v>0</v>
      </c>
      <c r="R10" s="261" t="str">
        <f>IF(S10&gt;=1,1,"")</f>
        <v/>
      </c>
      <c r="S10" s="261"/>
      <c r="T10" s="262">
        <f t="shared" si="2"/>
        <v>0</v>
      </c>
      <c r="U10" s="261" t="str">
        <f>IF(V10&gt;=1,1,"")</f>
        <v/>
      </c>
      <c r="V10" s="261"/>
      <c r="W10" s="261"/>
      <c r="X10" s="261"/>
      <c r="Y10" s="261"/>
      <c r="Z10" s="261"/>
      <c r="AA10" s="262">
        <f>IF(AND(Q10&gt;0,V10&gt;=1),MIN(INT(V10)*20,200),0)</f>
        <v>0</v>
      </c>
      <c r="AB10" s="261" t="str">
        <f>IF(AC10&gt;=1,1,"")</f>
        <v/>
      </c>
      <c r="AC10" s="261"/>
      <c r="AD10" s="261">
        <f>IF(AC10&gt;=1,50,0)</f>
        <v>0</v>
      </c>
      <c r="AE10" s="261">
        <f t="shared" si="3"/>
        <v>0</v>
      </c>
      <c r="AF10" s="261" t="str">
        <f>IF(AG10&gt;=1,1,"")</f>
        <v/>
      </c>
      <c r="AG10" s="261"/>
      <c r="AH10" s="261">
        <f>IF(AND(Q10&gt;0,AG10&gt;=1),MIN(INT(AG10)*2,150),0)</f>
        <v>0</v>
      </c>
      <c r="AI10" s="261" t="str">
        <f t="shared" si="4"/>
        <v/>
      </c>
      <c r="AJ10" s="261"/>
      <c r="AK10" s="261"/>
      <c r="AL10" s="261">
        <f>IF(AND(Q10&gt;0,AI10=1,),100,0)</f>
        <v>0</v>
      </c>
      <c r="AM10" s="261" t="str">
        <f t="shared" si="5"/>
        <v/>
      </c>
      <c r="AN10" s="261"/>
      <c r="AO10" s="261"/>
      <c r="AP10" s="261">
        <f>IF(AND(Q10&gt;0,AI10=1,AM10=1),100,0)</f>
        <v>0</v>
      </c>
      <c r="AQ10" s="261" t="str">
        <f t="shared" si="6"/>
        <v/>
      </c>
      <c r="AR10" s="261"/>
      <c r="AS10" s="261"/>
      <c r="AT10" s="261"/>
      <c r="AU10" s="261"/>
      <c r="AV10" s="261"/>
      <c r="AW10" s="261"/>
      <c r="AX10" s="261"/>
      <c r="AY10" s="261">
        <f t="shared" si="7"/>
        <v>0</v>
      </c>
      <c r="AZ10" s="261">
        <f t="shared" si="8"/>
        <v>0</v>
      </c>
      <c r="BA10" s="261"/>
      <c r="BB10" s="261"/>
      <c r="BC10" s="261"/>
      <c r="BD10" s="261">
        <f t="shared" si="9"/>
        <v>0</v>
      </c>
      <c r="BE10" s="261"/>
      <c r="BF10" s="263"/>
      <c r="BG10" s="261"/>
      <c r="BH10" s="261">
        <f>MIN(ROUNDDOWN(BF10,1)*20+INT(BG10)*2,250)</f>
        <v>0</v>
      </c>
      <c r="BI10" s="261" t="str">
        <f>IF(OR(BJ10=1,BK10=1),1,"")</f>
        <v/>
      </c>
      <c r="BJ10" s="261"/>
      <c r="BK10" s="261"/>
      <c r="BL10" s="261" t="e">
        <f>IF(AND(BH10&gt;0,BI10=1,#REF!=""),100,0)</f>
        <v>#REF!</v>
      </c>
      <c r="BM10" s="261" t="str">
        <f>IF(OR(BN10=1,BO10=1,BP10=1),1,"")</f>
        <v/>
      </c>
      <c r="BN10" s="261"/>
      <c r="BO10" s="261"/>
      <c r="BP10" s="261"/>
      <c r="BQ10" s="261">
        <f>IF(AND(BH10&gt;0,BM10=1),100,IF(AND(BH10&gt;0,BP10=1),100,0))</f>
        <v>0</v>
      </c>
      <c r="BR10" s="261" t="str">
        <f>IF(OR(AND(BS10&gt;=7,BT10&gt;=7,BS10+BT10&gt;=14),AND(BS10&gt;=7,BU10&gt;=3,BS10+BU10&gt;=10),AND(BT10&gt;=7,BU10&gt;=3,BT10+BU10&gt;=10)),1,"")</f>
        <v/>
      </c>
      <c r="BS10" s="261"/>
      <c r="BT10" s="261"/>
      <c r="BU10" s="261"/>
      <c r="BV10" s="261">
        <f>IF(AND(BR10=1,BH10&gt;0),MIN(150,ROUNDDOWN(BS10*11+BT10*13+BU10*19,0)),0)</f>
        <v>0</v>
      </c>
      <c r="BW10" s="261"/>
      <c r="BX10" s="261">
        <f>IF(D10="改修",MIN(500,BH10+BL10+BQ10+BV10,INT(CQ10*10/2)),0)</f>
        <v>0</v>
      </c>
      <c r="BY10" s="276"/>
      <c r="BZ10" s="277"/>
      <c r="CA10" s="277"/>
      <c r="CB10" s="277"/>
      <c r="CC10" s="277"/>
      <c r="CD10" s="278"/>
      <c r="CE10" s="276"/>
      <c r="CF10" s="277"/>
      <c r="CG10" s="277"/>
      <c r="CH10" s="277"/>
      <c r="CI10" s="277"/>
      <c r="CJ10" s="278"/>
      <c r="CK10" s="260"/>
      <c r="CL10" s="264">
        <f t="shared" si="10"/>
        <v>0</v>
      </c>
      <c r="CM10" s="259"/>
      <c r="CN10" s="259"/>
      <c r="CO10" s="257"/>
      <c r="CP10" s="259"/>
      <c r="CQ10" s="265"/>
      <c r="CR10" s="257"/>
      <c r="CS10" s="260"/>
      <c r="CT10" s="259"/>
      <c r="CU10" s="259"/>
      <c r="CV10" s="260"/>
      <c r="CW10" s="260"/>
      <c r="CX10" s="259"/>
      <c r="CY10" s="259"/>
      <c r="CZ10" s="259"/>
      <c r="DA10" s="259"/>
      <c r="DB10" s="259"/>
      <c r="DC10" s="259"/>
      <c r="DD10" s="259"/>
      <c r="DE10" s="259"/>
      <c r="DF10" s="259"/>
      <c r="DG10" s="259"/>
      <c r="DH10" s="259"/>
      <c r="DI10" s="259"/>
      <c r="DJ10" s="259"/>
      <c r="DK10" s="259"/>
      <c r="DL10" s="259"/>
      <c r="DM10" s="259"/>
      <c r="DN10" s="259"/>
      <c r="DO10" s="266"/>
      <c r="DP10" s="261"/>
      <c r="DQ10" s="261"/>
      <c r="DR10" s="261"/>
      <c r="DS10" s="261">
        <f t="shared" si="11"/>
        <v>0</v>
      </c>
      <c r="DT10" s="261">
        <f t="shared" si="12"/>
        <v>0</v>
      </c>
      <c r="DU10" s="261" t="str">
        <f>IF(DV10&gt;=1,1,"")</f>
        <v/>
      </c>
      <c r="DV10" s="261"/>
      <c r="DW10" s="261"/>
      <c r="DX10" s="262">
        <f t="shared" si="13"/>
        <v>0</v>
      </c>
      <c r="DY10" s="261">
        <f t="shared" si="14"/>
        <v>0</v>
      </c>
      <c r="DZ10" s="261" t="str">
        <f>IF(EA10&gt;=1,1,"")</f>
        <v/>
      </c>
      <c r="EA10" s="261"/>
      <c r="EB10" s="261"/>
      <c r="EC10" s="262">
        <f t="shared" si="15"/>
        <v>0</v>
      </c>
      <c r="ED10" s="261">
        <f t="shared" si="16"/>
        <v>0</v>
      </c>
      <c r="EE10" s="261" t="str">
        <f t="shared" si="17"/>
        <v/>
      </c>
      <c r="EF10" s="261"/>
      <c r="EG10" s="261">
        <f t="shared" si="18"/>
        <v>0</v>
      </c>
      <c r="EH10" s="261" t="str">
        <f>IF(EI10&gt;=1,1,"")</f>
        <v/>
      </c>
      <c r="EI10" s="261"/>
      <c r="EJ10" s="261"/>
      <c r="EK10" s="261">
        <f t="shared" si="19"/>
        <v>0</v>
      </c>
      <c r="EL10" s="261">
        <f t="shared" si="20"/>
        <v>0</v>
      </c>
      <c r="EM10" s="261">
        <f t="shared" si="21"/>
        <v>0</v>
      </c>
      <c r="EN10" s="261" t="str">
        <f t="shared" si="22"/>
        <v/>
      </c>
      <c r="EO10" s="261"/>
      <c r="EP10" s="261"/>
      <c r="EQ10" s="261" t="e">
        <f>IF(AND(DS10&gt;0,EN10=1,#REF!=""),100,0)</f>
        <v>#REF!</v>
      </c>
      <c r="ER10" s="261" t="e">
        <f t="shared" si="23"/>
        <v>#REF!</v>
      </c>
      <c r="ES10" s="261" t="str">
        <f t="shared" si="24"/>
        <v/>
      </c>
      <c r="ET10" s="261"/>
      <c r="EU10" s="261"/>
      <c r="EV10" s="261">
        <f t="shared" si="25"/>
        <v>0</v>
      </c>
      <c r="EW10" s="261">
        <f t="shared" si="26"/>
        <v>0</v>
      </c>
      <c r="EX10" s="261" t="str">
        <f t="shared" si="27"/>
        <v/>
      </c>
      <c r="EY10" s="261"/>
      <c r="EZ10" s="261"/>
      <c r="FA10" s="261"/>
      <c r="FB10" s="261"/>
      <c r="FC10" s="261"/>
      <c r="FD10" s="261"/>
      <c r="FE10" s="261"/>
      <c r="FF10" s="261">
        <f t="shared" si="28"/>
        <v>0</v>
      </c>
      <c r="FG10" s="261">
        <f t="shared" si="29"/>
        <v>0</v>
      </c>
      <c r="FH10" s="261">
        <f t="shared" si="30"/>
        <v>0</v>
      </c>
      <c r="FI10" s="261"/>
      <c r="FJ10" s="261"/>
      <c r="FK10" s="261"/>
      <c r="FL10" s="261"/>
      <c r="FM10" s="261">
        <f t="shared" si="31"/>
        <v>0</v>
      </c>
      <c r="FN10" s="261">
        <f t="shared" si="32"/>
        <v>0</v>
      </c>
      <c r="FO10" s="261"/>
      <c r="FP10" s="267"/>
      <c r="FQ10" s="267"/>
      <c r="FR10" s="261"/>
      <c r="FS10" s="261"/>
      <c r="FT10" s="261">
        <f>MIN(ROUNDDOWN(FP10,1)*20+INT(FR10)*2,250)</f>
        <v>0</v>
      </c>
      <c r="FU10" s="261">
        <f>MIN(BH10,FT10)</f>
        <v>0</v>
      </c>
      <c r="FV10" s="261" t="str">
        <f>IF(OR(FW10=1,FX10=1),1,"")</f>
        <v/>
      </c>
      <c r="FW10" s="261"/>
      <c r="FX10" s="261"/>
      <c r="FY10" s="261" t="e">
        <f>IF(AND(FT10&gt;0,FV10=1,#REF!=""),100,0)</f>
        <v>#REF!</v>
      </c>
      <c r="FZ10" s="261" t="e">
        <f>MIN(BL10,FY10)</f>
        <v>#REF!</v>
      </c>
      <c r="GA10" s="261" t="str">
        <f>IF(OR(GB10=1,GC10=1,GD10=1),1,"")</f>
        <v/>
      </c>
      <c r="GB10" s="261"/>
      <c r="GC10" s="261"/>
      <c r="GD10" s="261"/>
      <c r="GE10" s="261">
        <f>IF(AND(FT10&gt;0,GA10=1),100,IF(AND(FT10&gt;0,GD10=1),100,0))</f>
        <v>0</v>
      </c>
      <c r="GF10" s="261">
        <f>MIN(BQ10,GE10)</f>
        <v>0</v>
      </c>
      <c r="GG10" s="261" t="str">
        <f>IF(OR(AND(GH10&gt;=7,GI10&gt;=7,GH10+GI10&gt;=14),AND(GH10&gt;=7,GJ10&gt;=3,GH10+GJ10&gt;=10),AND(GI10&gt;=7,GJ10&gt;=3,GI10+GJ10&gt;=10)),1,"")</f>
        <v/>
      </c>
      <c r="GH10" s="261"/>
      <c r="GI10" s="261"/>
      <c r="GJ10" s="261"/>
      <c r="GK10" s="261">
        <f>IF(AND(GG10=1,FT10&gt;0),MIN(150,ROUNDDOWN(GH10*11+GI10*13+GJ10*19,0)),0)</f>
        <v>0</v>
      </c>
      <c r="GL10" s="261">
        <f>MIN(BV10,GK10)</f>
        <v>0</v>
      </c>
      <c r="GM10" s="261"/>
      <c r="GN10" s="261"/>
      <c r="GO10" s="261">
        <f>IF(D10="改修",MIN(500,FU10+FZ10+GF10+GL10,INT(CQ10*10/2)),0)</f>
        <v>0</v>
      </c>
      <c r="GP10" s="261">
        <f>BX10-GO10</f>
        <v>0</v>
      </c>
      <c r="GQ10" s="259"/>
      <c r="GR10" s="260"/>
      <c r="GS10" s="260"/>
      <c r="GT10" s="260"/>
      <c r="GU10" s="252">
        <f t="shared" si="33"/>
        <v>0</v>
      </c>
      <c r="GV10" s="252">
        <f t="shared" si="34"/>
        <v>0</v>
      </c>
      <c r="GW10" s="252">
        <f t="shared" si="35"/>
        <v>0</v>
      </c>
    </row>
    <row r="11" spans="1:883" s="254" customFormat="1" ht="30" customHeight="1" outlineLevel="1" x14ac:dyDescent="0.2">
      <c r="A11" s="254" t="s">
        <v>432</v>
      </c>
      <c r="B11" s="241" t="str">
        <f t="shared" si="0"/>
        <v/>
      </c>
      <c r="C11" s="268"/>
      <c r="D11" s="275" t="s">
        <v>378</v>
      </c>
      <c r="E11" s="244" t="str">
        <f t="shared" si="1"/>
        <v/>
      </c>
      <c r="F11" s="245"/>
      <c r="G11" s="243"/>
      <c r="H11" s="246"/>
      <c r="I11" s="274" t="str">
        <f>IF('【様式第2号】事業計画書兼チェックシート（新築）'!N12="","",'【様式第2号】事業計画書兼チェックシート（新築）'!N12)</f>
        <v/>
      </c>
      <c r="J11" s="275" t="str">
        <f>IF('【様式第2号】事業計画書兼チェックシート（新築）'!O10="","",'【様式第2号】事業計画書兼チェックシート（新築）'!O10)</f>
        <v/>
      </c>
      <c r="K11" s="274" t="str">
        <f>IF('【様式第2号】事業計画書兼チェックシート（新築）'!N11="","",'【様式第2号】事業計画書兼チェックシート（新築）'!N11)</f>
        <v/>
      </c>
      <c r="L11" s="275" t="str">
        <f>IF('【様式第2号】事業計画書兼チェックシート（新築）'!N14="","",'【様式第2号】事業計画書兼チェックシート（新築）'!N14)</f>
        <v/>
      </c>
      <c r="M11" s="275" t="str">
        <f>IF('【様式第2号】事業計画書兼チェックシート（新築）'!M29="","",'【様式第2号】事業計画書兼チェックシート（新築）'!M29)</f>
        <v/>
      </c>
      <c r="N11" s="274" t="str">
        <f>IF('【様式第2号】事業計画書兼チェックシート（新築）'!I30="","",'【様式第2号】事業計画書兼チェックシート（新築）'!I30)</f>
        <v/>
      </c>
      <c r="O11" s="249" t="str">
        <f>IF('【様式第2号】事業計画書兼チェックシート（新築）'!Q102="","",'【様式第2号】事業計画書兼チェックシート（新築）'!Q102)</f>
        <v/>
      </c>
      <c r="P11" s="249">
        <f>IF('【様式第2号】事業計画書兼チェックシート（新築）'!I32="専用住宅",IF('【様式第2号】事業計画書兼チェックシート（新築）'!Q103="",0,'【様式第2号】事業計画書兼チェックシート（新築）'!Q103),'【様式第2号】事業計画書兼チェックシート（新築）'!U103)</f>
        <v>0</v>
      </c>
      <c r="Q11" s="248">
        <f>IF(P11="",0,IF(P11&gt;=10,150,0))</f>
        <v>0</v>
      </c>
      <c r="R11" s="249" t="str">
        <f>IF(S11="","",IF(S11&gt;=1,1,""))</f>
        <v/>
      </c>
      <c r="S11" s="249">
        <f>IF('【様式第2号】事業計画書兼チェックシート（新築）'!I32="専用住宅",IF('【様式第2号】事業計画書兼チェックシート（新築）'!Q104="",0,'【様式第2号】事業計画書兼チェックシート（新築）'!Q104),'【様式第2号】事業計画書兼チェックシート（新築）'!U104)</f>
        <v>0</v>
      </c>
      <c r="T11" s="250">
        <f t="shared" si="2"/>
        <v>0</v>
      </c>
      <c r="U11" s="249" t="str">
        <f>IF(V11="","",IF(V11&gt;=1,1,""))</f>
        <v/>
      </c>
      <c r="V11" s="249">
        <f>IF('【様式第2号】事業計画書兼チェックシート（新築）'!I32="専用住宅",IF('【様式第2号】事業計画書兼チェックシート（新築）'!Q105="",0,'【様式第2号】事業計画書兼チェックシート（新築）'!Q105),'【様式第2号】事業計画書兼チェックシート（新築）'!U105)</f>
        <v>0</v>
      </c>
      <c r="W11" s="249">
        <f>IF(AND(Q11&gt;0,V11&gt;=1),MIN(INT(V11)*30,300),0)</f>
        <v>0</v>
      </c>
      <c r="X11" s="249" t="str">
        <f>IF(Y11="","",IF(Y11&gt;=1,1,""))</f>
        <v/>
      </c>
      <c r="Y11" s="249">
        <f>IF('【様式第2号】事業計画書兼チェックシート（新築）'!I32="専用住宅",IF('【様式第2号】事業計画書兼チェックシート（新築）'!Q107="",0,'【様式第2号】事業計画書兼チェックシート（新築）'!Q107),'【様式第2号】事業計画書兼チェックシート（新築）'!U107)</f>
        <v>0</v>
      </c>
      <c r="Z11" s="249">
        <f>IF(AND(Q11&gt;0,Y11&gt;=1),MIN(INT(Y11)*20,300),0)</f>
        <v>0</v>
      </c>
      <c r="AA11" s="250">
        <f>IF(AND(Q11&gt;0,V11+Y11&gt;=1),MIN(INT(W11+Z11),300),0)</f>
        <v>0</v>
      </c>
      <c r="AB11" s="249" t="str">
        <f>IF(AC11="","",IF(AC11&gt;=1,1,""))</f>
        <v/>
      </c>
      <c r="AC11" s="249">
        <f>IF('【様式第2号】事業計画書兼チェックシート（新築）'!I32="専用住宅",IF('【様式第2号】事業計画書兼チェックシート（新築）'!Q109="",0,'【様式第2号】事業計画書兼チェックシート（新築）'!Q109),'【様式第2号】事業計画書兼チェックシート（新築）'!U109)</f>
        <v>0</v>
      </c>
      <c r="AD11" s="249">
        <f>IF(AC11="",0,IF(AC11&gt;=1,50,0))</f>
        <v>0</v>
      </c>
      <c r="AE11" s="248">
        <f>IF(OR(AH11&gt;0,AD11&gt;0),MIN(AH11+AD11,200),0)</f>
        <v>0</v>
      </c>
      <c r="AF11" s="249" t="str">
        <f>IF(AG11="","",IF(AG11&gt;=1,1,""))</f>
        <v/>
      </c>
      <c r="AG11" s="249">
        <f>IF('【様式第2号】事業計画書兼チェックシート（新築）'!I32="専用住宅",IF('【様式第2号】事業計画書兼チェックシート（新築）'!Q110="",0,'【様式第2号】事業計画書兼チェックシート（新築）'!Q110),'【様式第2号】事業計画書兼チェックシート（新築）'!U110)</f>
        <v>0</v>
      </c>
      <c r="AH11" s="249">
        <f>IF(AND(Q11&gt;0,AG11&gt;=1),MIN(INT(AG11)*3,200),0)</f>
        <v>0</v>
      </c>
      <c r="AI11" s="288" t="str">
        <f t="shared" si="4"/>
        <v/>
      </c>
      <c r="AJ11" s="249">
        <f>IF('【様式第2号】事業計画書兼チェックシート（新築）'!Y132="",0,IF('【様式第2号】事業計画書兼チェックシート（新築）'!B134="","",1))</f>
        <v>0</v>
      </c>
      <c r="AK11" s="249">
        <f>IF('【様式第2号】事業計画書兼チェックシート（新築）'!Y132="",0,IF('【様式第2号】事業計画書兼チェックシート（新築）'!P134="","",1))</f>
        <v>0</v>
      </c>
      <c r="AL11" s="289" t="str">
        <f>IFERROR('【様式第2号】事業計画書兼チェックシート（新築）'!Y132*10,"0")</f>
        <v>0</v>
      </c>
      <c r="AM11" s="249" t="str">
        <f t="shared" si="5"/>
        <v/>
      </c>
      <c r="AN11" s="249">
        <f>IF('【様式第2号】事業計画書兼チェックシート（新築）'!Y147="",0,IF('【様式第2号】事業計画書兼チェックシート（新築）'!B157="","",1))</f>
        <v>0</v>
      </c>
      <c r="AO11" s="249">
        <f>IF('【様式第2号】事業計画書兼チェックシート（新築）'!Y147="",0,IF('【様式第2号】事業計画書兼チェックシート（新築）'!B157="",1,""))</f>
        <v>0</v>
      </c>
      <c r="AP11" s="290" t="str">
        <f>IFERROR('【様式第2号】事業計画書兼チェックシート（新築）'!Y147*10,"0")</f>
        <v>0</v>
      </c>
      <c r="AQ11" s="249" t="str">
        <f t="shared" si="6"/>
        <v/>
      </c>
      <c r="AR11" s="249" t="str">
        <f>IF('【様式第2号】事業計画書兼チェックシート（新築）'!F182="","",'【様式第2号】事業計画書兼チェックシート（新築）'!F182)</f>
        <v/>
      </c>
      <c r="AS11" s="249" t="str">
        <f>IF('【様式第2号】事業計画書兼チェックシート（新築）'!F187="","",'【様式第2号】事業計画書兼チェックシート（新築）'!F187)</f>
        <v/>
      </c>
      <c r="AT11" s="249" t="str">
        <f>IF('【様式第2号】事業計画書兼チェックシート（新築）'!F194="","",'【様式第2号】事業計画書兼チェックシート（新築）'!F194)</f>
        <v/>
      </c>
      <c r="AU11" s="249" t="str">
        <f>IF('【様式第2号】事業計画書兼チェックシート（新築）'!F202="","",'【様式第2号】事業計画書兼チェックシート（新築）'!F202)</f>
        <v/>
      </c>
      <c r="AV11" s="249" t="str">
        <f>IF('【様式第2号】事業計画書兼チェックシート（新築）'!F210="","",'【様式第2号】事業計画書兼チェックシート（新築）'!F210)</f>
        <v/>
      </c>
      <c r="AW11" s="249" t="str">
        <f>IF('【様式第2号】事業計画書兼チェックシート（新築）'!F220="","",'【様式第2号】事業計画書兼チェックシート（新築）'!F220)</f>
        <v/>
      </c>
      <c r="AX11" s="249" t="str">
        <f>IF('【様式第2号】事業計画書兼チェックシート（新築）'!F227="","",'【様式第2号】事業計画書兼チェックシート（新築）'!F227)</f>
        <v/>
      </c>
      <c r="AY11" s="249">
        <f t="shared" si="7"/>
        <v>0</v>
      </c>
      <c r="AZ11" s="248">
        <f t="shared" si="8"/>
        <v>0</v>
      </c>
      <c r="BA11" s="249" t="str">
        <f>IF('【様式第2号】事業計画書兼チェックシート（新築）'!N203="","",'【様式第2号】事業計画書兼チェックシート（新築）'!N203)</f>
        <v>　</v>
      </c>
      <c r="BB11" s="317" t="str">
        <f>IF('【様式第2号】事業計画書兼チェックシート（新築）'!R196="","",'【様式第2号】事業計画書兼チェックシート（新築）'!R196)</f>
        <v>　</v>
      </c>
      <c r="BC11" s="317" t="str">
        <f>IF('【様式第2号】事業計画書兼チェックシート（新築）'!R197="","",'【様式第2号】事業計画書兼チェックシート（新築）'!R197)</f>
        <v>　</v>
      </c>
      <c r="BD11" s="316">
        <f t="shared" si="9"/>
        <v>0</v>
      </c>
      <c r="BE11" s="247"/>
      <c r="BF11" s="251"/>
      <c r="BG11" s="247"/>
      <c r="BH11" s="248"/>
      <c r="BI11" s="249"/>
      <c r="BJ11" s="247"/>
      <c r="BK11" s="247"/>
      <c r="BL11" s="248"/>
      <c r="BM11" s="249"/>
      <c r="BN11" s="247"/>
      <c r="BO11" s="247"/>
      <c r="BP11" s="247"/>
      <c r="BQ11" s="248"/>
      <c r="BR11" s="249"/>
      <c r="BS11" s="247"/>
      <c r="BT11" s="247"/>
      <c r="BU11" s="247"/>
      <c r="BV11" s="248"/>
      <c r="BW11" s="247"/>
      <c r="BX11" s="248"/>
      <c r="BY11" s="281" t="str">
        <f>IF('【様式第2号】事業計画書兼チェックシート（新築）'!N38="","",'【様式第2号】事業計画書兼チェックシート（新築）'!N38)</f>
        <v/>
      </c>
      <c r="BZ11" s="282" t="s">
        <v>7</v>
      </c>
      <c r="CA11" s="282" t="str">
        <f>IF('【様式第2号】事業計画書兼チェックシート（新築）'!S38="","",'【様式第2号】事業計画書兼チェックシート（新築）'!S38)</f>
        <v/>
      </c>
      <c r="CB11" s="282" t="s">
        <v>237</v>
      </c>
      <c r="CC11" s="282" t="str">
        <f>IF('【様式第2号】事業計画書兼チェックシート（新築）'!V38="","",'【様式第2号】事業計画書兼チェックシート（新築）'!V38)</f>
        <v/>
      </c>
      <c r="CD11" s="283" t="s">
        <v>6</v>
      </c>
      <c r="CE11" s="281" t="str">
        <f>IF('【様式第2号】事業計画書兼チェックシート（新築）'!N39="","",'【様式第2号】事業計画書兼チェックシート（新築）'!N39)</f>
        <v/>
      </c>
      <c r="CF11" s="282" t="s">
        <v>7</v>
      </c>
      <c r="CG11" s="282" t="str">
        <f>IF('【様式第2号】事業計画書兼チェックシート（新築）'!S39="","",'【様式第2号】事業計画書兼チェックシート（新築）'!S39)</f>
        <v/>
      </c>
      <c r="CH11" s="282" t="s">
        <v>237</v>
      </c>
      <c r="CI11" s="282" t="str">
        <f>IF('【様式第2号】事業計画書兼チェックシート（新築）'!V39="","",'【様式第2号】事業計画書兼チェックシート（新築）'!V39)</f>
        <v/>
      </c>
      <c r="CJ11" s="283" t="s">
        <v>6</v>
      </c>
      <c r="CK11" s="245"/>
      <c r="CL11" s="252">
        <f t="shared" si="10"/>
        <v>0</v>
      </c>
      <c r="CM11" s="274" t="str">
        <f>IF('【様式第2号】事業計画書兼チェックシート（新築）'!I43="","",'【様式第2号】事業計画書兼チェックシート（新築）'!I43)</f>
        <v/>
      </c>
      <c r="CN11" s="274" t="str">
        <f>IF('【様式第2号】事業計画書兼チェックシート（新築）'!I44="","",'【様式第2号】事業計画書兼チェックシート（新築）'!I44)</f>
        <v/>
      </c>
      <c r="CO11" s="274" t="str">
        <f>IF('【様式第2号】事業計画書兼チェックシート（新築）'!B97="",IF('【様式第2号】事業計画書兼チェックシート（新築）'!I94="","",'【様式第2号】事業計画書兼チェックシート（新築）'!I94),"手刻み")</f>
        <v/>
      </c>
      <c r="CP11" s="274" t="str">
        <f>IF('【様式第2号】事業計画書兼チェックシート（新築）'!I33="","",'【様式第2号】事業計画書兼チェックシート（新築）'!I33)</f>
        <v/>
      </c>
      <c r="CQ11" s="274" t="str">
        <f>IF('【様式第2号】事業計画書兼チェックシート（新築）'!S32="","",'【様式第2号】事業計画書兼チェックシート（新築）'!S32)</f>
        <v/>
      </c>
      <c r="CR11" s="274" t="str">
        <f>IF('【様式第2号】事業計画書兼チェックシート（新築）'!I48="","",'【様式第2号】事業計画書兼チェックシート（新築）'!I48)</f>
        <v/>
      </c>
      <c r="CS11" s="245"/>
      <c r="CT11" s="245"/>
      <c r="CU11" s="245"/>
      <c r="CV11" s="246"/>
      <c r="CW11" s="246"/>
      <c r="CX11" s="245"/>
      <c r="CY11" s="245"/>
      <c r="CZ11" s="274" t="str">
        <f>IF('【様式第2号】事業計画書兼チェックシート（新築）'!D82="","",'【様式第2号】事業計画書兼チェックシート（新築）'!D82)</f>
        <v/>
      </c>
      <c r="DA11" s="274" t="str">
        <f>IF('【様式第2号】事業計画書兼チェックシート（新築）'!P82="","",'【様式第2号】事業計画書兼チェックシート（新築）'!P82)</f>
        <v/>
      </c>
      <c r="DB11" s="274" t="str">
        <f>IF('【様式第2号】事業計画書兼チェックシート（新築）'!D83="","",'【様式第2号】事業計画書兼チェックシート（新築）'!D83)</f>
        <v/>
      </c>
      <c r="DC11" s="274" t="str">
        <f>IF('【様式第2号】事業計画書兼チェックシート（新築）'!P83="","",'【様式第2号】事業計画書兼チェックシート（新築）'!P83)</f>
        <v/>
      </c>
      <c r="DD11" s="274" t="str">
        <f>IF('【様式第2号】事業計画書兼チェックシート（新築）'!D84="","",'【様式第2号】事業計画書兼チェックシート（新築）'!D84)</f>
        <v/>
      </c>
      <c r="DE11" s="274" t="str">
        <f>IF('【様式第2号】事業計画書兼チェックシート（新築）'!P84="","",'【様式第2号】事業計画書兼チェックシート（新築）'!P84)</f>
        <v/>
      </c>
      <c r="DF11" s="274" t="str">
        <f>IF('【様式第2号】事業計画書兼チェックシート（新築）'!D85="","",'【様式第2号】事業計画書兼チェックシート（新築）'!D85)</f>
        <v/>
      </c>
      <c r="DG11" s="274" t="str">
        <f>IF('【様式第2号】事業計画書兼チェックシート（新築）'!P85="","",'【様式第2号】事業計画書兼チェックシート（新築）'!P85)</f>
        <v/>
      </c>
      <c r="DH11" s="274" t="str">
        <f>IF('【様式第2号】事業計画書兼チェックシート（新築）'!D86="","",'【様式第2号】事業計画書兼チェックシート（新築）'!D86)</f>
        <v/>
      </c>
      <c r="DI11" s="274" t="str">
        <f>IF('【様式第2号】事業計画書兼チェックシート（新築）'!P86="","",'【様式第2号】事業計画書兼チェックシート（新築）'!P86)</f>
        <v/>
      </c>
      <c r="DJ11" s="274" t="str">
        <f>IF('【様式第2号】事業計画書兼チェックシート（新築）'!B70="","","○")</f>
        <v/>
      </c>
      <c r="DK11" s="274" t="str">
        <f>IF('【様式第2号】事業計画書兼チェックシート（新築）'!B72="","","○")</f>
        <v/>
      </c>
      <c r="DL11" s="274" t="e">
        <f>IF(#REF!="","",#REF!)</f>
        <v>#REF!</v>
      </c>
      <c r="DM11" s="274" t="e">
        <f>IF(#REF!="","",#REF!)</f>
        <v>#REF!</v>
      </c>
      <c r="DN11" s="274" t="e">
        <f>IF(#REF!="","",#REF!)</f>
        <v>#REF!</v>
      </c>
      <c r="DO11"/>
      <c r="DP11" s="249" t="e">
        <f>IF(#REF!="","",#REF!)</f>
        <v>#REF!</v>
      </c>
      <c r="DQ11" s="249" t="e">
        <f>IF(#REF!="",0,#REF!)</f>
        <v>#REF!</v>
      </c>
      <c r="DR11" s="247"/>
      <c r="DS11" s="248" t="e">
        <f t="shared" si="11"/>
        <v>#REF!</v>
      </c>
      <c r="DT11" s="248" t="e">
        <f t="shared" si="12"/>
        <v>#REF!</v>
      </c>
      <c r="DU11" s="249" t="e">
        <f>IF(DV11="","",IF(DV11&gt;=1,1,""))</f>
        <v>#REF!</v>
      </c>
      <c r="DV11" s="249" t="e">
        <f>IF(#REF!="",0,#REF!)</f>
        <v>#REF!</v>
      </c>
      <c r="DW11" s="247"/>
      <c r="DX11" s="250" t="e">
        <f t="shared" si="13"/>
        <v>#REF!</v>
      </c>
      <c r="DY11" s="248" t="e">
        <f t="shared" si="14"/>
        <v>#REF!</v>
      </c>
      <c r="DZ11" s="249" t="e">
        <f>IF(EA11="","",IF(EA11&gt;=1,1,""))</f>
        <v>#REF!</v>
      </c>
      <c r="EA11" s="249" t="e">
        <f>IF(#REF!="",0,#REF!)</f>
        <v>#REF!</v>
      </c>
      <c r="EB11" s="247"/>
      <c r="EC11" s="250" t="e">
        <f t="shared" si="15"/>
        <v>#REF!</v>
      </c>
      <c r="ED11" s="248" t="e">
        <f t="shared" si="16"/>
        <v>#REF!</v>
      </c>
      <c r="EE11" s="249" t="e">
        <f t="shared" si="17"/>
        <v>#REF!</v>
      </c>
      <c r="EF11" s="249" t="e">
        <f>IF(#REF!="",0,#REF!)</f>
        <v>#REF!</v>
      </c>
      <c r="EG11" s="249" t="e">
        <f t="shared" si="18"/>
        <v>#REF!</v>
      </c>
      <c r="EH11" s="249" t="e">
        <f>IF(EI11="","",IF(EI11&gt;=1,1,""))</f>
        <v>#REF!</v>
      </c>
      <c r="EI11" s="249" t="e">
        <f>IF(#REF!="",0,#REF!)</f>
        <v>#REF!</v>
      </c>
      <c r="EJ11" s="247"/>
      <c r="EK11" s="249" t="e">
        <f t="shared" si="19"/>
        <v>#REF!</v>
      </c>
      <c r="EL11" s="248" t="e">
        <f t="shared" si="20"/>
        <v>#REF!</v>
      </c>
      <c r="EM11" s="248" t="e">
        <f t="shared" si="21"/>
        <v>#REF!</v>
      </c>
      <c r="EN11" s="249" t="e">
        <f t="shared" si="22"/>
        <v>#REF!</v>
      </c>
      <c r="EO11" s="249" t="e">
        <f>IF(#REF!="",IF(#REF!="","",1),0)</f>
        <v>#REF!</v>
      </c>
      <c r="EP11" s="249" t="e">
        <f>IF(#REF!="",IF(#REF!="","",1),0)</f>
        <v>#REF!</v>
      </c>
      <c r="EQ11" s="248" t="e">
        <f>IF(AND(DS11&gt;0,EN11=1,#REF!=""),100,0)</f>
        <v>#REF!</v>
      </c>
      <c r="ER11" s="248" t="e">
        <f t="shared" si="23"/>
        <v>#REF!</v>
      </c>
      <c r="ES11" s="249" t="e">
        <f t="shared" si="24"/>
        <v>#REF!</v>
      </c>
      <c r="ET11" s="249" t="e">
        <f>IF(#REF!="","",IF(#REF!="","",1))</f>
        <v>#REF!</v>
      </c>
      <c r="EU11" s="249" t="e">
        <f>IF(#REF!="","",IF(#REF!="",1,""))</f>
        <v>#REF!</v>
      </c>
      <c r="EV11" s="248" t="e">
        <f t="shared" si="25"/>
        <v>#REF!</v>
      </c>
      <c r="EW11" s="248" t="e">
        <f t="shared" si="26"/>
        <v>#REF!</v>
      </c>
      <c r="EX11" s="249" t="e">
        <f t="shared" si="27"/>
        <v>#REF!</v>
      </c>
      <c r="EY11" s="249" t="e">
        <f>IF(#REF!="","",#REF!)</f>
        <v>#REF!</v>
      </c>
      <c r="EZ11" s="249" t="e">
        <f>IF(#REF!="","",#REF!)</f>
        <v>#REF!</v>
      </c>
      <c r="FA11" s="249" t="e">
        <f>IF(#REF!="","",#REF!)</f>
        <v>#REF!</v>
      </c>
      <c r="FB11" s="249" t="e">
        <f>IF(#REF!="","",#REF!)</f>
        <v>#REF!</v>
      </c>
      <c r="FC11" s="249" t="e">
        <f>IF(#REF!="","",#REF!)</f>
        <v>#REF!</v>
      </c>
      <c r="FD11" s="249" t="e">
        <f>IF(#REF!="","",#REF!)</f>
        <v>#REF!</v>
      </c>
      <c r="FE11" s="249" t="e">
        <f>IF(#REF!="","",#REF!)</f>
        <v>#REF!</v>
      </c>
      <c r="FF11" s="249" t="e">
        <f t="shared" si="28"/>
        <v>#REF!</v>
      </c>
      <c r="FG11" s="248" t="e">
        <f t="shared" si="29"/>
        <v>#REF!</v>
      </c>
      <c r="FH11" s="248" t="e">
        <f t="shared" si="30"/>
        <v>#REF!</v>
      </c>
      <c r="FI11" s="247"/>
      <c r="FJ11" s="247"/>
      <c r="FK11" s="247"/>
      <c r="FL11" s="247"/>
      <c r="FM11" s="248" t="e">
        <f t="shared" si="31"/>
        <v>#REF!</v>
      </c>
      <c r="FN11" s="248" t="e">
        <f t="shared" si="32"/>
        <v>#REF!</v>
      </c>
      <c r="FO11" s="247"/>
      <c r="FP11" s="253"/>
      <c r="FQ11" s="253"/>
      <c r="FR11" s="247"/>
      <c r="FS11" s="247"/>
      <c r="FT11" s="248"/>
      <c r="FU11" s="248"/>
      <c r="FV11" s="249"/>
      <c r="FW11" s="247"/>
      <c r="FX11" s="247"/>
      <c r="FY11" s="248"/>
      <c r="FZ11" s="248"/>
      <c r="GA11" s="249"/>
      <c r="GB11" s="247"/>
      <c r="GC11" s="247"/>
      <c r="GD11" s="247"/>
      <c r="GE11" s="248"/>
      <c r="GF11" s="248"/>
      <c r="GG11" s="249"/>
      <c r="GH11" s="247"/>
      <c r="GI11" s="247"/>
      <c r="GJ11" s="247"/>
      <c r="GK11" s="248"/>
      <c r="GL11" s="248"/>
      <c r="GM11" s="247"/>
      <c r="GN11" s="247"/>
      <c r="GO11" s="248"/>
      <c r="GP11" s="248"/>
      <c r="GQ11" s="245"/>
      <c r="GR11" s="246"/>
      <c r="GS11" s="246"/>
      <c r="GT11" s="246"/>
      <c r="GU11" s="252">
        <f t="shared" si="33"/>
        <v>0</v>
      </c>
      <c r="GV11" s="252" t="e">
        <f t="shared" si="34"/>
        <v>#REF!</v>
      </c>
      <c r="GW11" s="252" t="e">
        <f t="shared" si="35"/>
        <v>#REF!</v>
      </c>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c r="AGQ11" s="114"/>
      <c r="AGR11" s="114"/>
      <c r="AGS11" s="114"/>
      <c r="AGT11" s="114"/>
      <c r="AGU11" s="114"/>
      <c r="AGV11" s="114"/>
      <c r="AGW11" s="114"/>
      <c r="AGX11" s="114"/>
      <c r="AGY11" s="114"/>
    </row>
    <row r="12" spans="1:883" ht="30" customHeight="1" outlineLevel="1" x14ac:dyDescent="0.2">
      <c r="B12" s="291" t="s">
        <v>471</v>
      </c>
      <c r="AA12" s="553"/>
      <c r="DP12" s="291" t="s">
        <v>431</v>
      </c>
    </row>
    <row r="13" spans="1:883" s="254" customFormat="1" ht="30" hidden="1" customHeight="1" x14ac:dyDescent="0.2">
      <c r="B13" s="269">
        <f>SUBTOTAL(3,B11:B11)</f>
        <v>1</v>
      </c>
      <c r="C13" s="270" t="s">
        <v>419</v>
      </c>
      <c r="D13" s="271">
        <f>SUBTOTAL(3,D11:D11)</f>
        <v>1</v>
      </c>
      <c r="E13" s="271">
        <f>SUBTOTAL(3,E11:E11)</f>
        <v>1</v>
      </c>
      <c r="G13" s="271">
        <f>SUBTOTAL(3,G11:G11)</f>
        <v>0</v>
      </c>
      <c r="H13" s="272"/>
      <c r="J13" s="273"/>
      <c r="K13" s="269">
        <f>SUBTOTAL(3,K11:K11)</f>
        <v>1</v>
      </c>
      <c r="L13" s="273"/>
      <c r="M13" s="273"/>
      <c r="O13" s="269">
        <f t="shared" ref="O13:AQ13" si="36">SUBTOTAL(9,O11:O11)</f>
        <v>0</v>
      </c>
      <c r="P13" s="269">
        <f t="shared" si="36"/>
        <v>0</v>
      </c>
      <c r="Q13" s="269">
        <f t="shared" si="36"/>
        <v>0</v>
      </c>
      <c r="R13" s="269">
        <f t="shared" si="36"/>
        <v>0</v>
      </c>
      <c r="S13" s="269">
        <f t="shared" si="36"/>
        <v>0</v>
      </c>
      <c r="T13" s="269">
        <f t="shared" si="36"/>
        <v>0</v>
      </c>
      <c r="U13" s="269">
        <f t="shared" si="36"/>
        <v>0</v>
      </c>
      <c r="V13" s="269">
        <f t="shared" si="36"/>
        <v>0</v>
      </c>
      <c r="W13" s="269"/>
      <c r="X13" s="269"/>
      <c r="Y13" s="269"/>
      <c r="Z13" s="269"/>
      <c r="AA13" s="269">
        <f t="shared" si="36"/>
        <v>0</v>
      </c>
      <c r="AB13" s="269">
        <f t="shared" si="36"/>
        <v>0</v>
      </c>
      <c r="AC13" s="269">
        <f t="shared" si="36"/>
        <v>0</v>
      </c>
      <c r="AD13" s="269">
        <f t="shared" si="36"/>
        <v>0</v>
      </c>
      <c r="AE13" s="269">
        <f t="shared" si="36"/>
        <v>0</v>
      </c>
      <c r="AF13" s="269">
        <f t="shared" si="36"/>
        <v>0</v>
      </c>
      <c r="AG13" s="269">
        <f t="shared" si="36"/>
        <v>0</v>
      </c>
      <c r="AH13" s="269">
        <f t="shared" si="36"/>
        <v>0</v>
      </c>
      <c r="AI13" s="269">
        <f t="shared" si="36"/>
        <v>0</v>
      </c>
      <c r="AJ13" s="269">
        <f t="shared" si="36"/>
        <v>0</v>
      </c>
      <c r="AK13" s="269">
        <f t="shared" si="36"/>
        <v>0</v>
      </c>
      <c r="AL13" s="269">
        <f t="shared" si="36"/>
        <v>0</v>
      </c>
      <c r="AM13" s="269">
        <f t="shared" si="36"/>
        <v>0</v>
      </c>
      <c r="AN13" s="269">
        <f t="shared" si="36"/>
        <v>0</v>
      </c>
      <c r="AO13" s="269">
        <f t="shared" si="36"/>
        <v>0</v>
      </c>
      <c r="AP13" s="269">
        <f t="shared" si="36"/>
        <v>0</v>
      </c>
      <c r="AQ13" s="269">
        <f t="shared" si="36"/>
        <v>0</v>
      </c>
      <c r="AR13" s="269">
        <f t="shared" ref="AR13:AX13" si="37">SUBTOTAL(3,AR11:AR11)</f>
        <v>1</v>
      </c>
      <c r="AS13" s="269">
        <f t="shared" si="37"/>
        <v>1</v>
      </c>
      <c r="AT13" s="269">
        <f t="shared" si="37"/>
        <v>1</v>
      </c>
      <c r="AU13" s="269">
        <f t="shared" si="37"/>
        <v>1</v>
      </c>
      <c r="AV13" s="269">
        <f t="shared" si="37"/>
        <v>1</v>
      </c>
      <c r="AW13" s="269">
        <f t="shared" si="37"/>
        <v>1</v>
      </c>
      <c r="AX13" s="269">
        <f t="shared" si="37"/>
        <v>1</v>
      </c>
      <c r="AY13" s="269">
        <f>SUBTOTAL(9,AY11:AY11)</f>
        <v>0</v>
      </c>
      <c r="AZ13" s="269">
        <f>SUBTOTAL(9,AZ11:AZ11)</f>
        <v>0</v>
      </c>
      <c r="BA13" s="269">
        <f>SUBTOTAL(3,BA11:BA11)</f>
        <v>1</v>
      </c>
      <c r="BB13" s="269">
        <f>SUBTOTAL(3,BB11:BB11)</f>
        <v>1</v>
      </c>
      <c r="BC13" s="269">
        <f>SUBTOTAL(3,BC11:BC11)</f>
        <v>1</v>
      </c>
      <c r="BD13" s="269">
        <f t="shared" ref="BD13:BR13" si="38">SUBTOTAL(9,BD11:BD11)</f>
        <v>0</v>
      </c>
      <c r="BE13" s="269">
        <f t="shared" si="38"/>
        <v>0</v>
      </c>
      <c r="BF13" s="269">
        <f t="shared" si="38"/>
        <v>0</v>
      </c>
      <c r="BG13" s="269">
        <f t="shared" si="38"/>
        <v>0</v>
      </c>
      <c r="BH13" s="269">
        <f t="shared" si="38"/>
        <v>0</v>
      </c>
      <c r="BI13" s="269">
        <f t="shared" si="38"/>
        <v>0</v>
      </c>
      <c r="BJ13" s="269">
        <f t="shared" si="38"/>
        <v>0</v>
      </c>
      <c r="BK13" s="269">
        <f t="shared" si="38"/>
        <v>0</v>
      </c>
      <c r="BL13" s="269">
        <f t="shared" si="38"/>
        <v>0</v>
      </c>
      <c r="BM13" s="269">
        <f t="shared" si="38"/>
        <v>0</v>
      </c>
      <c r="BN13" s="269">
        <f t="shared" si="38"/>
        <v>0</v>
      </c>
      <c r="BO13" s="269">
        <f t="shared" si="38"/>
        <v>0</v>
      </c>
      <c r="BP13" s="269">
        <f t="shared" si="38"/>
        <v>0</v>
      </c>
      <c r="BQ13" s="269">
        <f t="shared" si="38"/>
        <v>0</v>
      </c>
      <c r="BR13" s="269">
        <f t="shared" si="38"/>
        <v>0</v>
      </c>
      <c r="BS13" s="269">
        <f>SUBTOTAL(3,BS11:BS11)</f>
        <v>0</v>
      </c>
      <c r="BT13" s="269">
        <f>SUBTOTAL(3,BT11:BT11)</f>
        <v>0</v>
      </c>
      <c r="BU13" s="269">
        <f>SUBTOTAL(3,BU11:BU11)</f>
        <v>0</v>
      </c>
      <c r="BV13" s="269">
        <f>SUBTOTAL(9,BV11:BV11)</f>
        <v>0</v>
      </c>
      <c r="BW13" s="269">
        <f>SUBTOTAL(3,BW11:BW11)</f>
        <v>0</v>
      </c>
      <c r="BX13" s="269">
        <f>SUBTOTAL(9,BX11:BX11)</f>
        <v>0</v>
      </c>
      <c r="BY13" s="272"/>
      <c r="BZ13" s="272"/>
      <c r="CA13" s="272"/>
      <c r="CB13" s="272"/>
      <c r="CC13" s="272"/>
      <c r="CD13" s="272"/>
      <c r="CE13" s="272"/>
      <c r="CF13" s="272"/>
      <c r="CG13" s="272"/>
      <c r="CH13" s="272"/>
      <c r="CI13" s="272"/>
      <c r="CJ13" s="272"/>
      <c r="CK13" s="272"/>
      <c r="CL13" s="269">
        <f>SUBTOTAL(9,CL11:CL11)</f>
        <v>0</v>
      </c>
      <c r="CM13" s="269">
        <f>SUBTOTAL(3,CM11:CM11)</f>
        <v>1</v>
      </c>
      <c r="CO13" s="271">
        <f>SUBTOTAL(3,CO11:CO11)</f>
        <v>1</v>
      </c>
      <c r="CP13" s="269">
        <f>SUBTOTAL(9,CP11:CP11)</f>
        <v>0</v>
      </c>
      <c r="CQ13" s="269">
        <f>SUBTOTAL(9,CQ11:CQ11)</f>
        <v>0</v>
      </c>
      <c r="CR13" s="273"/>
      <c r="CS13" s="272"/>
      <c r="CV13" s="272"/>
      <c r="CW13" s="272"/>
      <c r="CZ13" s="269">
        <f>SUBTOTAL(3,CZ11:CZ11)</f>
        <v>1</v>
      </c>
      <c r="DB13" s="269">
        <f>SUBTOTAL(3,DB11:DB11)</f>
        <v>1</v>
      </c>
      <c r="DD13" s="269">
        <f>SUBTOTAL(3,DD11:DD11)</f>
        <v>1</v>
      </c>
      <c r="DF13" s="269">
        <f>SUBTOTAL(3,DF11:DF11)</f>
        <v>1</v>
      </c>
      <c r="DH13" s="269">
        <f>SUBTOTAL(3,DH11:DH11)</f>
        <v>1</v>
      </c>
      <c r="DP13" s="269" t="e">
        <f>SUBTOTAL(9,DP11:DP11)</f>
        <v>#REF!</v>
      </c>
      <c r="DQ13" s="269" t="e">
        <f>SUBTOTAL(9,DQ11:DQ11)</f>
        <v>#REF!</v>
      </c>
      <c r="DR13" s="269">
        <f>SUBTOTAL(3,DR11:DR11)</f>
        <v>0</v>
      </c>
      <c r="DS13" s="269" t="e">
        <f>SUBTOTAL(9,DS11:DS11)</f>
        <v>#REF!</v>
      </c>
      <c r="DT13" s="269" t="e">
        <f>SUBTOTAL(9,DT11:DT11)</f>
        <v>#REF!</v>
      </c>
      <c r="DU13" s="269" t="e">
        <f>SUBTOTAL(9,DU11:DU11)</f>
        <v>#REF!</v>
      </c>
      <c r="DV13" s="269" t="e">
        <f>SUBTOTAL(9,DV11:DV11)</f>
        <v>#REF!</v>
      </c>
      <c r="DW13" s="269">
        <f>SUBTOTAL(3,DW11:DW11)</f>
        <v>0</v>
      </c>
      <c r="DX13" s="269" t="e">
        <f>SUBTOTAL(9,DX11:DX11)</f>
        <v>#REF!</v>
      </c>
      <c r="DY13" s="269" t="e">
        <f>SUBTOTAL(9,DY11:DY11)</f>
        <v>#REF!</v>
      </c>
      <c r="DZ13" s="269" t="e">
        <f>SUBTOTAL(9,DZ11:DZ11)</f>
        <v>#REF!</v>
      </c>
      <c r="EA13" s="269" t="e">
        <f>SUBTOTAL(9,EA11:EA11)</f>
        <v>#REF!</v>
      </c>
      <c r="EB13" s="269">
        <f>SUBTOTAL(3,EB11:EB11)</f>
        <v>0</v>
      </c>
      <c r="EC13" s="269" t="e">
        <f>SUBTOTAL(9,EC11:EC11)</f>
        <v>#REF!</v>
      </c>
      <c r="ED13" s="269" t="e">
        <f>SUBTOTAL(9,ED11:ED11)</f>
        <v>#REF!</v>
      </c>
      <c r="EE13" s="269" t="e">
        <f>SUBTOTAL(9,EE11:EE11)</f>
        <v>#REF!</v>
      </c>
      <c r="EF13" s="269" t="e">
        <f>SUBTOTAL(9,EF11:EF11)</f>
        <v>#REF!</v>
      </c>
      <c r="EG13" s="269">
        <f>SUBTOTAL(3,EG11:EG11)</f>
        <v>1</v>
      </c>
      <c r="EH13" s="269" t="e">
        <f t="shared" ref="EH13:EX13" si="39">SUBTOTAL(9,EH11:EH11)</f>
        <v>#REF!</v>
      </c>
      <c r="EI13" s="269" t="e">
        <f t="shared" si="39"/>
        <v>#REF!</v>
      </c>
      <c r="EJ13" s="269">
        <f t="shared" si="39"/>
        <v>0</v>
      </c>
      <c r="EK13" s="269" t="e">
        <f t="shared" si="39"/>
        <v>#REF!</v>
      </c>
      <c r="EL13" s="269" t="e">
        <f t="shared" si="39"/>
        <v>#REF!</v>
      </c>
      <c r="EM13" s="269" t="e">
        <f t="shared" si="39"/>
        <v>#REF!</v>
      </c>
      <c r="EN13" s="269" t="e">
        <f t="shared" si="39"/>
        <v>#REF!</v>
      </c>
      <c r="EO13" s="269" t="e">
        <f t="shared" si="39"/>
        <v>#REF!</v>
      </c>
      <c r="EP13" s="269" t="e">
        <f t="shared" si="39"/>
        <v>#REF!</v>
      </c>
      <c r="EQ13" s="269" t="e">
        <f t="shared" si="39"/>
        <v>#REF!</v>
      </c>
      <c r="ER13" s="269" t="e">
        <f t="shared" si="39"/>
        <v>#REF!</v>
      </c>
      <c r="ES13" s="269" t="e">
        <f t="shared" si="39"/>
        <v>#REF!</v>
      </c>
      <c r="ET13" s="269" t="e">
        <f t="shared" si="39"/>
        <v>#REF!</v>
      </c>
      <c r="EU13" s="269" t="e">
        <f t="shared" si="39"/>
        <v>#REF!</v>
      </c>
      <c r="EV13" s="269" t="e">
        <f t="shared" si="39"/>
        <v>#REF!</v>
      </c>
      <c r="EW13" s="269" t="e">
        <f t="shared" si="39"/>
        <v>#REF!</v>
      </c>
      <c r="EX13" s="269" t="e">
        <f t="shared" si="39"/>
        <v>#REF!</v>
      </c>
      <c r="EY13" s="269">
        <f t="shared" ref="EY13:FE13" si="40">SUBTOTAL(3,EY11:EY11)</f>
        <v>1</v>
      </c>
      <c r="EZ13" s="269">
        <f t="shared" si="40"/>
        <v>1</v>
      </c>
      <c r="FA13" s="269">
        <f t="shared" si="40"/>
        <v>1</v>
      </c>
      <c r="FB13" s="269">
        <f t="shared" si="40"/>
        <v>1</v>
      </c>
      <c r="FC13" s="269">
        <f t="shared" si="40"/>
        <v>1</v>
      </c>
      <c r="FD13" s="269">
        <f t="shared" si="40"/>
        <v>1</v>
      </c>
      <c r="FE13" s="269">
        <f t="shared" si="40"/>
        <v>1</v>
      </c>
      <c r="FF13" s="269" t="e">
        <f>SUBTOTAL(9,FF11:FF11)</f>
        <v>#REF!</v>
      </c>
      <c r="FG13" s="269" t="e">
        <f>SUBTOTAL(9,FG11:FG11)</f>
        <v>#REF!</v>
      </c>
      <c r="FH13" s="269" t="e">
        <f>SUBTOTAL(9,FH11:FH11)</f>
        <v>#REF!</v>
      </c>
      <c r="FI13" s="269">
        <f>SUBTOTAL(3,FI11:FI11)</f>
        <v>0</v>
      </c>
      <c r="FJ13" s="269">
        <f>SUBTOTAL(3,FJ11:FJ11)</f>
        <v>0</v>
      </c>
      <c r="FK13" s="269">
        <f>SUBTOTAL(3,FK11:FK11)</f>
        <v>0</v>
      </c>
      <c r="FL13" s="269">
        <f>SUBTOTAL(3,FL11:FL11)</f>
        <v>0</v>
      </c>
      <c r="FM13" s="269" t="e">
        <f>SUBTOTAL(9,FM11:FM11)</f>
        <v>#REF!</v>
      </c>
      <c r="FN13" s="269" t="e">
        <f>SUBTOTAL(9,FN11:FN11)</f>
        <v>#REF!</v>
      </c>
      <c r="FO13" s="269">
        <f>SUBTOTAL(9,FO11:FO11)</f>
        <v>0</v>
      </c>
      <c r="FP13" s="269">
        <f>SUBTOTAL(9,FP11:FP11)</f>
        <v>0</v>
      </c>
      <c r="FQ13" s="269">
        <f>SUBTOTAL(3,FQ11:FQ11)</f>
        <v>0</v>
      </c>
      <c r="FR13" s="269">
        <f>SUBTOTAL(9,FR11:FR11)</f>
        <v>0</v>
      </c>
      <c r="FS13" s="269">
        <f>SUBTOTAL(3,FS11:FS11)</f>
        <v>0</v>
      </c>
      <c r="FT13" s="269">
        <f t="shared" ref="FT13:GG13" si="41">SUBTOTAL(9,FT11:FT11)</f>
        <v>0</v>
      </c>
      <c r="FU13" s="269">
        <f t="shared" si="41"/>
        <v>0</v>
      </c>
      <c r="FV13" s="269">
        <f t="shared" si="41"/>
        <v>0</v>
      </c>
      <c r="FW13" s="269">
        <f t="shared" si="41"/>
        <v>0</v>
      </c>
      <c r="FX13" s="269">
        <f t="shared" si="41"/>
        <v>0</v>
      </c>
      <c r="FY13" s="269">
        <f t="shared" si="41"/>
        <v>0</v>
      </c>
      <c r="FZ13" s="269">
        <f t="shared" si="41"/>
        <v>0</v>
      </c>
      <c r="GA13" s="269">
        <f t="shared" si="41"/>
        <v>0</v>
      </c>
      <c r="GB13" s="269">
        <f t="shared" si="41"/>
        <v>0</v>
      </c>
      <c r="GC13" s="269">
        <f t="shared" si="41"/>
        <v>0</v>
      </c>
      <c r="GD13" s="269">
        <f t="shared" si="41"/>
        <v>0</v>
      </c>
      <c r="GE13" s="269">
        <f t="shared" si="41"/>
        <v>0</v>
      </c>
      <c r="GF13" s="269">
        <f t="shared" si="41"/>
        <v>0</v>
      </c>
      <c r="GG13" s="269">
        <f t="shared" si="41"/>
        <v>0</v>
      </c>
      <c r="GH13" s="269">
        <f>SUBTOTAL(3,GH11:GH11)</f>
        <v>0</v>
      </c>
      <c r="GI13" s="269">
        <f>SUBTOTAL(3,GI11:GI11)</f>
        <v>0</v>
      </c>
      <c r="GJ13" s="269">
        <f>SUBTOTAL(3,GJ11:GJ11)</f>
        <v>0</v>
      </c>
      <c r="GK13" s="269">
        <f>SUBTOTAL(9,GK11:GK11)</f>
        <v>0</v>
      </c>
      <c r="GL13" s="269">
        <f>SUBTOTAL(9,GL11:GL11)</f>
        <v>0</v>
      </c>
      <c r="GM13" s="269">
        <f>SUBTOTAL(3,GM11:GM11)</f>
        <v>0</v>
      </c>
      <c r="GN13" s="269">
        <f>SUBTOTAL(3,GN11:GN11)</f>
        <v>0</v>
      </c>
      <c r="GO13" s="269">
        <f>SUBTOTAL(9,GO11:GO11)</f>
        <v>0</v>
      </c>
      <c r="GP13" s="269">
        <f>SUBTOTAL(9,GP11:GP11)</f>
        <v>0</v>
      </c>
      <c r="GR13" s="272"/>
      <c r="GS13" s="272"/>
      <c r="GT13" s="272"/>
      <c r="GU13" s="269">
        <f>SUBTOTAL(9,GU11:GU11)</f>
        <v>0</v>
      </c>
      <c r="GV13" s="269" t="e">
        <f>SUBTOTAL(9,GV11:GV11)</f>
        <v>#REF!</v>
      </c>
      <c r="GW13" s="269" t="e">
        <f>SUBTOTAL(9,GW11:GW11)</f>
        <v>#REF!</v>
      </c>
    </row>
    <row r="14" spans="1:883" ht="30" customHeight="1" x14ac:dyDescent="0.2"/>
    <row r="15" spans="1:883" ht="30" customHeight="1" x14ac:dyDescent="0.2"/>
    <row r="16" spans="1:883"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56yvgWardZPuBOufKZVkWhZLdDfG5nv9R9oM4YWYIoczpufxXwBF7jd/0eEjBXfPif4iqe8RkcDscG2zcLN1nQ==" saltValue="RCTgfFUnZN6/bNhQbd0Q3Q==" spinCount="100000" sheet="1" objects="1" scenarios="1"/>
  <mergeCells count="9">
    <mergeCell ref="EH4:EK4"/>
    <mergeCell ref="AF4:AH4"/>
    <mergeCell ref="AB4:AD4"/>
    <mergeCell ref="BY5:CD5"/>
    <mergeCell ref="CE5:CJ5"/>
    <mergeCell ref="BD3:BD5"/>
    <mergeCell ref="DL3:DN4"/>
    <mergeCell ref="EE4:EG4"/>
    <mergeCell ref="CZ3:DI3"/>
  </mergeCells>
  <phoneticPr fontId="1"/>
  <conditionalFormatting sqref="O6:BD11">
    <cfRule type="expression" dxfId="3" priority="1">
      <formula>($D6="改修")</formula>
    </cfRule>
  </conditionalFormatting>
  <conditionalFormatting sqref="BE6:BX11">
    <cfRule type="expression" dxfId="2" priority="21">
      <formula>OR($D6="新築",$D6="登録")</formula>
    </cfRule>
  </conditionalFormatting>
  <conditionalFormatting sqref="DP6:FN11">
    <cfRule type="expression" dxfId="1" priority="2">
      <formula>OR($D6="改修",$D6="登録")</formula>
    </cfRule>
  </conditionalFormatting>
  <conditionalFormatting sqref="FO6:GP11">
    <cfRule type="expression" dxfId="0" priority="6">
      <formula>OR($D6="新築",$D6="登録")</formula>
    </cfRule>
  </conditionalFormatting>
  <dataValidations xWindow="1008" yWindow="779" count="57">
    <dataValidation type="list" allowBlank="1" showInputMessage="1" showErrorMessage="1" sqref="G11" xr:uid="{473F92FF-A209-4E55-8371-0BE11AFD1F73}">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J6:GJ11" xr:uid="{53A8214B-8456-41A0-A9AF-86879F4D7127}">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I6:GI11" xr:uid="{D4CE8DF2-5F60-45D3-ABA9-5DFC8E9A7431}">
      <formula1>7</formula1>
    </dataValidation>
    <dataValidation allowBlank="1" showErrorMessage="1" sqref="GN6:GN11" xr:uid="{D5A61522-3855-449A-84F3-A198310D7FA1}"/>
    <dataValidation operator="greaterThanOrEqual" allowBlank="1" showInputMessage="1" showErrorMessage="1" error="整数値で入力" sqref="FS6:FS11" xr:uid="{BB31F99A-55EC-4D2D-950D-59585008D1B1}"/>
    <dataValidation allowBlank="1" showInputMessage="1" showErrorMessage="1" error="0.3以上が補助対象、実木材使用量以下の数値を入力" sqref="FQ6:FQ11" xr:uid="{19CF9101-75FD-4F3F-BA47-86DEBC926B36}"/>
    <dataValidation type="list" allowBlank="1" showInputMessage="1" showErrorMessage="1" prompt="EO列に畳事業者名を入力してください。" sqref="FD6:FD10" xr:uid="{FF8F69D8-81E2-4190-AE2C-A175F1F39BE0}">
      <formula1>"1"</formula1>
    </dataValidation>
    <dataValidation type="list" allowBlank="1" showInputMessage="1" showErrorMessage="1" prompt="EN列の木製建具事業者名も入力してください。" sqref="FC6:FC10" xr:uid="{F6D77454-6AF5-4F99-9D94-64B774DB45C2}">
      <formula1>"1,2"</formula1>
    </dataValidation>
    <dataValidation type="list" allowBlank="1" showInputMessage="1" showErrorMessage="1" prompt="EM列の左官材料の種類も選択してください。" sqref="FA6:FA10" xr:uid="{E40B8C3F-584E-418C-B1AC-DE23B334082E}">
      <formula1>"1,2"</formula1>
    </dataValidation>
    <dataValidation type="list" allowBlank="1" showInputMessage="1" showErrorMessage="1" prompt="EL列の瓦の種類も選択してください。" sqref="FB6:FB10" xr:uid="{62318911-94BD-4E6C-A1E8-9C396921F5F0}">
      <formula1>"2"</formula1>
    </dataValidation>
    <dataValidation type="list" allowBlank="1" showErrorMessage="1" sqref="FJ6:FJ11 GM6:GM11" xr:uid="{F064B1D6-E66C-4C65-8AE6-60129A6C99BE}">
      <formula1>"モルタル塗,漆喰塗,土壁塗,そとん壁,じゅらく塗,珪藻土塗,その他"</formula1>
    </dataValidation>
    <dataValidation type="list" allowBlank="1" showErrorMessage="1" sqref="FI6:FI11" xr:uid="{F7866D5C-A40C-4999-92EE-151D1EC92B42}">
      <formula1>"平板瓦,和瓦,S瓦"</formula1>
    </dataValidation>
    <dataValidation operator="greaterThanOrEqual" allowBlank="1" showInputMessage="1" showErrorMessage="1" error="県産材の実使用量より大きな値は入力しないでください。" sqref="EJ6:EJ10" xr:uid="{38B0000D-AC24-4EE4-A4E8-4E88738109AE}"/>
    <dataValidation operator="lessThanOrEqual" allowBlank="1" showInputMessage="1" showErrorMessage="1" error="県産材の実使用量より大きな値は入力しないでください。" sqref="EB6:EB10" xr:uid="{04DB4DF7-4C0D-487E-9FFB-E34C2AAC77E1}"/>
    <dataValidation operator="lessThanOrEqual" allowBlank="1" showInputMessage="1" showErrorMessage="1" error="県産材の実使用量より大きな値は入力しないでください（整数値入力）。" sqref="AJ11:AK11 S11 BA11:BC11 AG11 AC11 AR11:AX11 AN11:AO11 DW6:DW10 V11:W11 Y11:Z11" xr:uid="{494023FA-0FCD-43D8-A3EA-DEA371DEE3D6}"/>
    <dataValidation allowBlank="1" showInputMessage="1" showErrorMessage="1" error="実木材使用量より大きな値は入力しないでください。補助対象は10m3以上です（整数値で入力）。" sqref="P11 DR6:DR10" xr:uid="{88E9F08E-B0A9-4277-B812-643CEA29DAE6}"/>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8F5FF93F-6A22-4662-B91C-71D761BC83B1}">
      <formula1>7</formula1>
    </dataValidation>
    <dataValidation type="list" allowBlank="1" showInputMessage="1" showErrorMessage="1" prompt="AX列の左官材料の種類も選択してください。" sqref="AT6:AT10" xr:uid="{06E9CDF8-E0DE-468D-94D2-85DC249404F0}">
      <formula1>"1,2"</formula1>
    </dataValidation>
    <dataValidation type="list" allowBlank="1" showInputMessage="1" showErrorMessage="1" prompt="AW列の瓦の種類も選択してください。" sqref="AU6:AU10" xr:uid="{DC34A294-596B-4582-9A79-622B71E6B6EF}">
      <formula1>"2"</formula1>
    </dataValidation>
    <dataValidation allowBlank="1" showInputMessage="1" showErrorMessage="1" prompt="自動計算" sqref="E6:E11 Q6:R11 AH6:AI11 T6:U11 AY6:AZ11 AP6:AQ11 BH6:BI11 BQ6:BR11 BV6:BV11 BX6:BX11 CL6:CL11 AL6:AM11 BD6:BD11 AD6:AF11 AA6:AB11 B6:B11 BL6:BM11 FF6:FH11 GE6:GG11 FY6:GA11 FT6:FV11 DS6:DU11 EV6:EX11 EQ6:ES11 DX6:DZ11 FM6:FN11 GO6:GP11 GK6:GL11 GU6:GW11 EC6:EE11 EK6:EN11 EG6:EH11 X11" xr:uid="{E521082C-FB28-4C31-A410-D54F1C6CAF25}"/>
    <dataValidation type="list" allowBlank="1" showInputMessage="1" showErrorMessage="1" sqref="BW6:BW11 BB6:BC10" xr:uid="{265B88C1-8269-4574-9B56-1CF241F12318}">
      <formula1>"モルタル塗,漆喰塗,土壁塗,そとん壁,じゅらく塗,珪藻土塗,その他"</formula1>
    </dataValidation>
    <dataValidation type="list" allowBlank="1" showInputMessage="1" showErrorMessage="1" sqref="BA6:BA10" xr:uid="{19078342-DDA0-45F0-9B88-B3B59EA41F58}">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3A1DD3E9-3A7B-4BEE-9BF0-FFE30386437D}">
      <formula1>"新築,改修,登録"</formula1>
    </dataValidation>
    <dataValidation type="list" allowBlank="1" showInputMessage="1" showErrorMessage="1" sqref="CO6:CO10" xr:uid="{495C0A8D-59BF-4B11-8925-BB09F296691A}">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C05F6113-2442-493E-8FE0-99912F110F90}">
      <formula1>3</formula1>
    </dataValidation>
    <dataValidation type="whole" operator="greaterThanOrEqual" allowBlank="1" showInputMessage="1" showErrorMessage="1" error="７未満の値は入力しないでください。（補助対象となるのは最低７平方メートル以上です）" sqref="BS6:BS11 GH6:GH11" xr:uid="{85527CAC-A38C-4EAF-B7B5-09ED543B1852}">
      <formula1>7</formula1>
    </dataValidation>
    <dataValidation type="whole" operator="greaterThanOrEqual" allowBlank="1" showInputMessage="1" showErrorMessage="1" error="整数値で入力" sqref="BG6:BG11 FR6:FR11" xr:uid="{62B1035F-21D5-4D19-A399-328DB6E595A6}">
      <formula1>0</formula1>
    </dataValidation>
    <dataValidation type="list" allowBlank="1" showInputMessage="1" showErrorMessage="1" sqref="AS6:AS10 EZ6:EZ10" xr:uid="{C6885EC7-7041-4CD2-8B70-C4FA7C710C80}">
      <formula1>"2"</formula1>
    </dataValidation>
    <dataValidation type="list" allowBlank="1" showInputMessage="1" showErrorMessage="1" sqref="AV6:AV10 AX6:AX10 FE6:FE10" xr:uid="{720F613E-CD2C-454C-A5C7-7B4C7BCD32E3}">
      <formula1>"1,2"</formula1>
    </dataValidation>
    <dataValidation type="list" allowBlank="1" showInputMessage="1" showErrorMessage="1" sqref="AR6:AR10 EY6:EY10" xr:uid="{BBD701A3-D28C-43A7-B3F8-1EF3F7DA2817}">
      <formula1>"4"</formula1>
    </dataValidation>
    <dataValidation type="whole" operator="greaterThanOrEqual" allowBlank="1" showInputMessage="1" showErrorMessage="1" error="10以上の整数値を入力してください。" sqref="O6:O10 DP6:DP10" xr:uid="{97ACF4A2-1D7B-4CD3-9EFE-69F5C7208D20}">
      <formula1>10</formula1>
    </dataValidation>
    <dataValidation type="whole" operator="greaterThanOrEqual" allowBlank="1" showInputMessage="1" showErrorMessage="1" error="県産材の実使用量より大きな値は入力しないでください。" sqref="AG6:AG10 EI6:EI10" xr:uid="{1DDAEBF8-5768-4D30-895E-64F0433521C2}">
      <formula1>0</formula1>
    </dataValidation>
    <dataValidation type="list" allowBlank="1" showInputMessage="1" showErrorMessage="1" sqref="M6:M10" xr:uid="{4A16CF86-4BFC-4175-9DE6-C6C1715B16AF}">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EE99DA18-7AD4-461C-91E6-3E939B912935}">
      <formula1>"債,支→債,債→支"</formula1>
    </dataValidation>
    <dataValidation type="date" operator="greaterThanOrEqual" allowBlank="1" showInputMessage="1" showErrorMessage="1" error="日付以外の内容は入力できません" sqref="CJ10 BZ10 CA6:CA10 CB10 CC6:CC10 CD10 CF10 CG6:CG10 CH10 CI6:CI10 BY6:BY10" xr:uid="{8A89F849-CD0C-4BA1-84F5-9C1117F8D98C}">
      <formula1>1</formula1>
    </dataValidation>
    <dataValidation type="list" allowBlank="1" showInputMessage="1" showErrorMessage="1" sqref="CR6:CR10" xr:uid="{578AB822-9967-4CE1-AF1F-FB2DF90027C1}">
      <formula1>"要,不要"</formula1>
    </dataValidation>
    <dataValidation type="decimal" operator="greaterThanOrEqual" allowBlank="1" showInputMessage="1" showErrorMessage="1" error="数値以外は入力できません" sqref="CP6:CQ10" xr:uid="{BCC03C3E-073E-4171-B450-B22F778EDBCE}">
      <formula1>0</formula1>
    </dataValidation>
    <dataValidation type="date" operator="greaterThanOrEqual" allowBlank="1" showInputMessage="1" showErrorMessage="1" error="日付以外は入力できません" sqref="CS6:CS10 CV6:CW11 GR6:GT11" xr:uid="{D1062FE8-F7B9-421C-81A9-EB65770300BD}">
      <formula1>1</formula1>
    </dataValidation>
    <dataValidation type="date" operator="greaterThanOrEqual" allowBlank="1" showInputMessage="1" showErrorMessage="1" error="日付以外の値は入力できません" sqref="H6:H11" xr:uid="{B6C27BF4-63B7-4626-BAD4-87420FA367A4}">
      <formula1>1</formula1>
    </dataValidation>
    <dataValidation type="list" allowBlank="1" showInputMessage="1" showErrorMessage="1" sqref="GQ6:GQ11" xr:uid="{C679073B-5610-481F-B808-5A4BF0222C73}">
      <formula1>"実績,取下,取消"</formula1>
    </dataValidation>
    <dataValidation type="list" allowBlank="1" showInputMessage="1" showErrorMessage="1" sqref="CU6:CU11" xr:uid="{4FC81E63-C0BE-4101-88E2-A36312E0F9C1}">
      <formula1>"若年子育て,三世代近居,三世代同居"</formula1>
    </dataValidation>
    <dataValidation type="list" allowBlank="1" showInputMessage="1" showErrorMessage="1" sqref="BJ6:BK11 BN6:BP11 AJ6:AK10 AW6:AW10 AN6:AO10 EO6:EP10 GB6:GD11 FW6:FX11 ET6:EU10" xr:uid="{209FA2A1-0C32-4658-9D56-D95172DF6C8A}">
      <formula1>"1"</formula1>
    </dataValidation>
    <dataValidation type="decimal" operator="greaterThanOrEqual" allowBlank="1" showInputMessage="1" showErrorMessage="1" sqref="BE6:BE11 FO6:FO11" xr:uid="{4444CAF7-9C9B-4FF7-8942-853A714C0A9C}">
      <formula1>0</formula1>
    </dataValidation>
    <dataValidation type="whole" operator="lessThanOrEqual" allowBlank="1" showInputMessage="1" showErrorMessage="1" error="県産材の実使用量より大きな値は入力しないでください。" sqref="EA6:EA10 Z6:Z10" xr:uid="{490334D0-7E2B-4086-A3F4-C8F8246185A7}">
      <formula1>U6</formula1>
    </dataValidation>
    <dataValidation imeMode="halfAlpha" allowBlank="1" showInputMessage="1" showErrorMessage="1" sqref="L1:L1048576 J1:J1048576" xr:uid="{154A172A-20AF-46CE-92C7-125BEAC984CE}"/>
    <dataValidation type="whole" allowBlank="1" showInputMessage="1" showErrorMessage="1" error="実木材使用量より大きな値は入力しないでください。補助対象は10m3以上です（整数値で入力）。" sqref="P6:P10 DQ6:DQ10" xr:uid="{45074C89-DE0C-43BB-BC35-0FA46530F789}">
      <formula1>10</formula1>
      <formula2>O6</formula2>
    </dataValidation>
    <dataValidation type="whole" operator="lessThanOrEqual" allowBlank="1" showInputMessage="1" showErrorMessage="1" error="県産材の実使用量より大きな値は入力しないでください（整数値入力）。" sqref="DV6:DV10" xr:uid="{B7B4A6FA-2BD6-402B-9C65-CB62CF4E5FD0}">
      <formula1>DQ6</formula1>
    </dataValidation>
    <dataValidation type="decimal" allowBlank="1" showInputMessage="1" showErrorMessage="1" error="0.3以上が補助対象、実木材使用量以下の数値を入力" sqref="BF6:BF11 FP6:FP11" xr:uid="{F2E493FF-A6ED-4699-A695-8910CD2A4BAC}">
      <formula1>0.3</formula1>
      <formula2>BE6</formula2>
    </dataValidation>
    <dataValidation type="whole" operator="lessThanOrEqual" allowBlank="1" showInputMessage="1" showErrorMessage="1" error="県産材の実使用量より大きな値は入力しないでください（整数値入力）。" sqref="S6:S10" xr:uid="{5D5A99E7-23F5-4665-A7FD-B0D1D9CEB58F}">
      <formula1>P6</formula1>
    </dataValidation>
    <dataValidation type="date" operator="greaterThanOrEqual" allowBlank="1" showInputMessage="1" showErrorMessage="1" error="申請日より前の日付や、日付以外の内容は入力できません" sqref="CE6:CE10" xr:uid="{27AFD145-CC41-4FA0-854C-BFD66875612E}">
      <formula1>BY6</formula1>
    </dataValidation>
    <dataValidation type="date" operator="greaterThanOrEqual" allowBlank="1" showInputMessage="1" showErrorMessage="1" error="申請日より前の日付や、日付以外の内容は入力できません" sqref="CK6:CK10" xr:uid="{22D4401A-BB9F-42C9-A52C-2AEE66E06BBB}">
      <formula1>H6</formula1>
    </dataValidation>
    <dataValidation type="decimal" operator="lessThanOrEqual" allowBlank="1" showInputMessage="1" showErrorMessage="1" error="県産材の実使用量より大きな値は入力しないでください。" sqref="AC6:AC10 EF6:EF10" xr:uid="{B4F343AD-E55F-4D52-BF3B-27B836A3F83E}">
      <formula1>S6</formula1>
    </dataValidation>
    <dataValidation operator="greaterThanOrEqual" allowBlank="1" showInputMessage="1" showErrorMessage="1" error="10以上の整数値を入力してください。" sqref="O11 DP11:DR11 DV11:DW11 EA11:EB11 EI11:EJ11 EF11 EO11:EP11 ET11:EU11 EY11:FE11 FK11:FL11" xr:uid="{A8E07E0C-F144-4C89-8755-D94E2790EA14}"/>
    <dataValidation operator="greaterThanOrEqual" allowBlank="1" showInputMessage="1" showErrorMessage="1" error="日付以外の内容は入力できません" sqref="CD6:CD9 BZ6:BZ9 CB6:CB9 CH6:CH9 CJ6:CJ9 CF6:CF9 BY11:CK11" xr:uid="{D586ED71-450F-46E5-904C-B9A4C84C0F24}"/>
    <dataValidation operator="greaterThanOrEqual" allowBlank="1" showInputMessage="1" showErrorMessage="1" error="数値以外は入力できません" sqref="CP11:CT11 CX11:CY11" xr:uid="{3EAC5EA9-35FB-47A2-BAFC-42AFCF1F5402}"/>
    <dataValidation type="whole" operator="lessThanOrEqual" allowBlank="1" showInputMessage="1" showErrorMessage="1" error="県産材の実使用量より大きな値は入力しないでください。" sqref="V6:X10" xr:uid="{416454D2-3C25-4976-BAD1-7C3053FFBCF6}">
      <formula1>S6</formula1>
    </dataValidation>
    <dataValidation type="whole" operator="lessThanOrEqual" allowBlank="1" showInputMessage="1" showErrorMessage="1" error="県産材の実使用量より大きな値は入力しないでください。" sqref="Y6:Y10" xr:uid="{E27C7231-219A-4524-A6F2-BD11420E836A}">
      <formula1>U6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
  <sheetViews>
    <sheetView zoomScale="112" zoomScaleNormal="112" workbookViewId="0">
      <selection activeCell="K3" sqref="K3"/>
    </sheetView>
  </sheetViews>
  <sheetFormatPr defaultColWidth="9" defaultRowHeight="14.4" x14ac:dyDescent="0.2"/>
  <cols>
    <col min="1" max="1" width="5.6640625" style="298" customWidth="1"/>
    <col min="2" max="2" width="5.109375" style="298" bestFit="1" customWidth="1"/>
    <col min="3" max="3" width="2.44140625" style="298" bestFit="1" customWidth="1"/>
    <col min="4" max="4" width="3.33203125" style="298" bestFit="1" customWidth="1"/>
    <col min="5" max="5" width="2.44140625" style="298" bestFit="1" customWidth="1"/>
    <col min="6" max="6" width="3.33203125" style="298" bestFit="1" customWidth="1"/>
    <col min="7" max="7" width="2.44140625" style="298" bestFit="1" customWidth="1"/>
    <col min="8" max="8" width="3.33203125" style="298" bestFit="1" customWidth="1"/>
    <col min="9" max="10" width="12.6640625" style="298" customWidth="1"/>
    <col min="11" max="11" width="35.88671875" style="292" customWidth="1"/>
    <col min="12" max="12" width="9" style="292" bestFit="1" customWidth="1"/>
    <col min="13" max="13" width="9" style="292" customWidth="1"/>
    <col min="14" max="14" width="37.88671875" style="292" customWidth="1"/>
    <col min="15" max="18" width="9" style="292" customWidth="1"/>
    <col min="19" max="19" width="5.109375" style="298" bestFit="1" customWidth="1"/>
    <col min="20" max="20" width="2.44140625" style="298" bestFit="1" customWidth="1"/>
    <col min="21" max="21" width="3.33203125" style="298" bestFit="1" customWidth="1"/>
    <col min="22" max="22" width="2.44140625" style="298" bestFit="1" customWidth="1"/>
    <col min="23" max="23" width="3.33203125" style="298" bestFit="1" customWidth="1"/>
    <col min="24" max="24" width="2.44140625" style="298" bestFit="1" customWidth="1"/>
    <col min="25" max="25" width="3.33203125" style="298" bestFit="1" customWidth="1"/>
    <col min="26" max="26" width="5.109375" style="298" bestFit="1" customWidth="1"/>
    <col min="27" max="27" width="2.44140625" style="298" bestFit="1" customWidth="1"/>
    <col min="28" max="28" width="3.33203125" style="298" bestFit="1" customWidth="1"/>
    <col min="29" max="29" width="2.44140625" style="298" bestFit="1" customWidth="1"/>
    <col min="30" max="30" width="3.33203125" style="298" bestFit="1" customWidth="1"/>
    <col min="31" max="31" width="2.44140625" style="298" bestFit="1" customWidth="1"/>
    <col min="32" max="32" width="3.33203125" style="298" bestFit="1" customWidth="1"/>
    <col min="33" max="33" width="24.88671875" style="292" customWidth="1"/>
    <col min="34" max="34" width="30.88671875" style="292" customWidth="1"/>
    <col min="35" max="35" width="21" style="292" customWidth="1"/>
    <col min="36" max="39" width="12.109375" style="292" customWidth="1"/>
    <col min="40" max="40" width="5.109375" style="292" bestFit="1" customWidth="1"/>
    <col min="41" max="41" width="22" style="292" customWidth="1"/>
    <col min="42" max="42" width="5.109375" style="292" bestFit="1" customWidth="1"/>
    <col min="43" max="43" width="28.109375" style="292" customWidth="1"/>
    <col min="44" max="44" width="11.33203125" style="292" bestFit="1" customWidth="1"/>
    <col min="45" max="45" width="15.6640625" style="292" customWidth="1"/>
    <col min="46" max="46" width="17.88671875" style="292" bestFit="1" customWidth="1"/>
    <col min="47" max="47" width="10.6640625" style="292" customWidth="1"/>
    <col min="48" max="48" width="16.33203125" style="292" customWidth="1"/>
    <col min="49" max="49" width="17.33203125" style="292" customWidth="1"/>
    <col min="50" max="50" width="10.6640625" style="292" customWidth="1"/>
    <col min="51" max="53" width="13.6640625" style="299" customWidth="1"/>
    <col min="54" max="54" width="11.6640625" style="300" customWidth="1"/>
    <col min="55" max="16384" width="9" style="292"/>
  </cols>
  <sheetData>
    <row r="1" spans="1:54" ht="14.25" customHeight="1" x14ac:dyDescent="0.2">
      <c r="A1" s="530" t="s">
        <v>433</v>
      </c>
      <c r="B1" s="538" t="s">
        <v>434</v>
      </c>
      <c r="C1" s="539"/>
      <c r="D1" s="539"/>
      <c r="E1" s="539"/>
      <c r="F1" s="539"/>
      <c r="G1" s="539"/>
      <c r="H1" s="540"/>
      <c r="I1" s="532" t="s">
        <v>435</v>
      </c>
      <c r="J1" s="534" t="s">
        <v>441</v>
      </c>
      <c r="K1" s="544"/>
      <c r="L1" s="535"/>
      <c r="M1" s="534" t="s">
        <v>1</v>
      </c>
      <c r="N1" s="535"/>
      <c r="O1" s="305" t="s">
        <v>24</v>
      </c>
      <c r="P1" s="305" t="s">
        <v>118</v>
      </c>
      <c r="Q1" s="305" t="s">
        <v>152</v>
      </c>
      <c r="R1" s="305" t="s">
        <v>448</v>
      </c>
      <c r="S1" s="538" t="s">
        <v>451</v>
      </c>
      <c r="T1" s="539"/>
      <c r="U1" s="539"/>
      <c r="V1" s="539"/>
      <c r="W1" s="539"/>
      <c r="X1" s="539"/>
      <c r="Y1" s="540"/>
      <c r="Z1" s="538" t="s">
        <v>450</v>
      </c>
      <c r="AA1" s="539"/>
      <c r="AB1" s="539"/>
      <c r="AC1" s="539"/>
      <c r="AD1" s="539"/>
      <c r="AE1" s="539"/>
      <c r="AF1" s="540"/>
      <c r="AG1" s="534" t="s">
        <v>452</v>
      </c>
      <c r="AH1" s="544"/>
      <c r="AI1" s="535"/>
      <c r="AJ1" s="538" t="s">
        <v>242</v>
      </c>
      <c r="AK1" s="314"/>
      <c r="AL1" s="314"/>
      <c r="AM1" s="315"/>
      <c r="AN1" s="534" t="s">
        <v>453</v>
      </c>
      <c r="AO1" s="535"/>
      <c r="AP1" s="534" t="s">
        <v>456</v>
      </c>
      <c r="AQ1" s="535"/>
      <c r="AR1" s="305" t="s">
        <v>458</v>
      </c>
      <c r="AS1" s="534" t="s">
        <v>460</v>
      </c>
      <c r="AT1" s="535"/>
      <c r="AU1" s="548" t="s">
        <v>464</v>
      </c>
      <c r="AV1" s="546" t="s">
        <v>436</v>
      </c>
      <c r="AW1" s="548" t="s">
        <v>467</v>
      </c>
      <c r="AX1" s="546" t="s">
        <v>466</v>
      </c>
      <c r="AY1" s="551" t="s">
        <v>437</v>
      </c>
      <c r="AZ1" s="551" t="s">
        <v>438</v>
      </c>
      <c r="BA1" s="551" t="s">
        <v>439</v>
      </c>
      <c r="BB1" s="536" t="s">
        <v>465</v>
      </c>
    </row>
    <row r="2" spans="1:54" x14ac:dyDescent="0.2">
      <c r="A2" s="531"/>
      <c r="B2" s="541"/>
      <c r="C2" s="542"/>
      <c r="D2" s="542"/>
      <c r="E2" s="542"/>
      <c r="F2" s="542"/>
      <c r="G2" s="542"/>
      <c r="H2" s="543"/>
      <c r="I2" s="533"/>
      <c r="J2" s="303" t="s">
        <v>440</v>
      </c>
      <c r="K2" s="304" t="s">
        <v>10</v>
      </c>
      <c r="L2" s="304" t="s">
        <v>442</v>
      </c>
      <c r="M2" s="304" t="s">
        <v>444</v>
      </c>
      <c r="N2" s="304" t="s">
        <v>445</v>
      </c>
      <c r="O2" s="304"/>
      <c r="P2" s="304" t="s">
        <v>446</v>
      </c>
      <c r="Q2" s="304" t="s">
        <v>447</v>
      </c>
      <c r="R2" s="304" t="s">
        <v>449</v>
      </c>
      <c r="S2" s="541"/>
      <c r="T2" s="542"/>
      <c r="U2" s="542"/>
      <c r="V2" s="542"/>
      <c r="W2" s="542"/>
      <c r="X2" s="542"/>
      <c r="Y2" s="543"/>
      <c r="Z2" s="541"/>
      <c r="AA2" s="542"/>
      <c r="AB2" s="542"/>
      <c r="AC2" s="542"/>
      <c r="AD2" s="542"/>
      <c r="AE2" s="542"/>
      <c r="AF2" s="543"/>
      <c r="AG2" s="304" t="s">
        <v>3</v>
      </c>
      <c r="AH2" s="304" t="s">
        <v>4</v>
      </c>
      <c r="AI2" s="304" t="s">
        <v>38</v>
      </c>
      <c r="AJ2" s="545"/>
      <c r="AK2" s="303" t="s">
        <v>468</v>
      </c>
      <c r="AL2" s="303" t="s">
        <v>469</v>
      </c>
      <c r="AM2" s="303" t="s">
        <v>470</v>
      </c>
      <c r="AN2" s="304" t="s">
        <v>454</v>
      </c>
      <c r="AO2" s="304" t="s">
        <v>455</v>
      </c>
      <c r="AP2" s="304" t="s">
        <v>457</v>
      </c>
      <c r="AQ2" s="304" t="s">
        <v>52</v>
      </c>
      <c r="AR2" s="303" t="s">
        <v>459</v>
      </c>
      <c r="AS2" s="304" t="s">
        <v>461</v>
      </c>
      <c r="AT2" s="304" t="s">
        <v>462</v>
      </c>
      <c r="AU2" s="549"/>
      <c r="AV2" s="547"/>
      <c r="AW2" s="549"/>
      <c r="AX2" s="550"/>
      <c r="AY2" s="552"/>
      <c r="AZ2" s="552"/>
      <c r="BA2" s="552"/>
      <c r="BB2" s="537"/>
    </row>
    <row r="3" spans="1:54" x14ac:dyDescent="0.2">
      <c r="A3" s="293"/>
      <c r="B3" s="306" t="s">
        <v>238</v>
      </c>
      <c r="C3" s="307"/>
      <c r="D3" s="307" t="s">
        <v>7</v>
      </c>
      <c r="E3" s="307"/>
      <c r="F3" s="307" t="s">
        <v>237</v>
      </c>
      <c r="G3" s="307"/>
      <c r="H3" s="308" t="s">
        <v>6</v>
      </c>
      <c r="I3" s="301" t="str">
        <f>IF('【様式第2号】事業計画書兼チェックシート（新築）'!N12="","",'【様式第2号】事業計画書兼チェックシート（新築）'!N12)</f>
        <v/>
      </c>
      <c r="J3" s="301" t="str">
        <f>IF('【様式第2号】事業計画書兼チェックシート（新築）'!O10="","",'【様式第2号】事業計画書兼チェックシート（新築）'!O10)</f>
        <v/>
      </c>
      <c r="K3" s="302" t="str">
        <f>IF('【様式第2号】事業計画書兼チェックシート（新築）'!N11="","",'【様式第2号】事業計画書兼チェックシート（新築）'!N11)</f>
        <v/>
      </c>
      <c r="L3" s="302" t="str">
        <f>IF('【様式第2号】事業計画書兼チェックシート（新築）'!N14="","",'【様式第2号】事業計画書兼チェックシート（新築）'!N14)</f>
        <v/>
      </c>
      <c r="M3" s="302" t="str">
        <f>IF('【様式第2号】事業計画書兼チェックシート（新築）'!M29="","",'【様式第2号】事業計画書兼チェックシート（新築）'!M29)</f>
        <v/>
      </c>
      <c r="N3" s="302" t="str">
        <f>IF('【様式第2号】事業計画書兼チェックシート（新築）'!I30="","",'【様式第2号】事業計画書兼チェックシート（新築）'!I30)</f>
        <v/>
      </c>
      <c r="O3" s="302" t="str">
        <f>IF('【様式第2号】事業計画書兼チェックシート（新築）'!I32="","",'【様式第2号】事業計画書兼チェックシート（新築）'!I32)</f>
        <v/>
      </c>
      <c r="P3" s="302" t="str">
        <f>IF('【様式第2号】事業計画書兼チェックシート（新築）'!S32="","",'【様式第2号】事業計画書兼チェックシート（新築）'!S32)</f>
        <v/>
      </c>
      <c r="Q3" s="302" t="str">
        <f>IF('【様式第2号】事業計画書兼チェックシート（新築）'!I33="","",'【様式第2号】事業計画書兼チェックシート（新築）'!I33)</f>
        <v/>
      </c>
      <c r="R3" s="309" t="str">
        <f>IF(Q3="","",P3/Q3)</f>
        <v/>
      </c>
      <c r="S3" s="310" t="s">
        <v>238</v>
      </c>
      <c r="T3" s="311" t="str">
        <f>IF('【様式第2号】事業計画書兼チェックシート（新築）'!N38="","",'【様式第2号】事業計画書兼チェックシート（新築）'!N38)</f>
        <v/>
      </c>
      <c r="U3" s="311" t="s">
        <v>7</v>
      </c>
      <c r="V3" s="311" t="str">
        <f>IF('【様式第2号】事業計画書兼チェックシート（新築）'!S38="","",'【様式第2号】事業計画書兼チェックシート（新築）'!S38)</f>
        <v/>
      </c>
      <c r="W3" s="311" t="s">
        <v>237</v>
      </c>
      <c r="X3" s="311" t="str">
        <f>IF('【様式第2号】事業計画書兼チェックシート（新築）'!V38="","",'【様式第2号】事業計画書兼チェックシート（新築）'!V38)</f>
        <v/>
      </c>
      <c r="Y3" s="312" t="s">
        <v>6</v>
      </c>
      <c r="Z3" s="310" t="s">
        <v>238</v>
      </c>
      <c r="AA3" s="311" t="str">
        <f>IF('【様式第2号】事業計画書兼チェックシート（新築）'!N39="","",'【様式第2号】事業計画書兼チェックシート（新築）'!N39)</f>
        <v/>
      </c>
      <c r="AB3" s="311" t="s">
        <v>7</v>
      </c>
      <c r="AC3" s="311" t="str">
        <f>IF('【様式第2号】事業計画書兼チェックシート（新築）'!S39="","",'【様式第2号】事業計画書兼チェックシート（新築）'!S39)</f>
        <v/>
      </c>
      <c r="AD3" s="311" t="s">
        <v>237</v>
      </c>
      <c r="AE3" s="311" t="str">
        <f>IF('【様式第2号】事業計画書兼チェックシート（新築）'!V39="","",'【様式第2号】事業計画書兼チェックシート（新築）'!V39)</f>
        <v/>
      </c>
      <c r="AF3" s="312" t="s">
        <v>6</v>
      </c>
      <c r="AG3" s="302" t="str">
        <f>IF('【様式第2号】事業計画書兼チェックシート（新築）'!I43="","",'【様式第2号】事業計画書兼チェックシート（新築）'!I43)</f>
        <v/>
      </c>
      <c r="AH3" s="302" t="str">
        <f>IF('【様式第2号】事業計画書兼チェックシート（新築）'!I44="","",'【様式第2号】事業計画書兼チェックシート（新築）'!I44)</f>
        <v/>
      </c>
      <c r="AI3" s="302" t="str">
        <f>IF('【様式第2号】事業計画書兼チェックシート（新築）'!I45="","",'【様式第2号】事業計画書兼チェックシート（新築）'!I45)</f>
        <v/>
      </c>
      <c r="AJ3" s="302" t="str">
        <f>IF('【様式第2号】事業計画書兼チェックシート（新築）'!U54="","",'【様式第2号】事業計画書兼チェックシート（新築）'!U54)</f>
        <v/>
      </c>
      <c r="AK3" s="302">
        <f>IF(AJ3="T-G1",1,0)</f>
        <v>0</v>
      </c>
      <c r="AL3" s="302">
        <f>IF(AJ3="T-G2",1,0)</f>
        <v>0</v>
      </c>
      <c r="AM3" s="302">
        <f>IF(AJ3="T-G3",1,0)</f>
        <v>0</v>
      </c>
      <c r="AN3" s="302">
        <f>IF('【様式第2号】事業計画書兼チェックシート（新築）'!B57="",0,1)</f>
        <v>0</v>
      </c>
      <c r="AO3" s="302" t="str">
        <f>IF('【様式第2号】事業計画書兼チェックシート（新築）'!U57="","",'【様式第2号】事業計画書兼チェックシート（新築）'!U57)</f>
        <v/>
      </c>
      <c r="AP3" s="302">
        <f>IF('【様式第2号】事業計画書兼チェックシート（新築）'!B60="",0,1)</f>
        <v>0</v>
      </c>
      <c r="AQ3" s="302" t="str">
        <f>IF('【様式第2号】事業計画書兼チェックシート（新築）'!U60="","",'【様式第2号】事業計画書兼チェックシート（新築）'!U60)</f>
        <v/>
      </c>
      <c r="AR3" s="302">
        <f>IF('【様式第2号】事業計画書兼チェックシート（新築）'!B68="",0,1)</f>
        <v>0</v>
      </c>
      <c r="AS3" s="302">
        <f>IF('【様式第2号】事業計画書兼チェックシート（新築）'!B91="",0,1)</f>
        <v>0</v>
      </c>
      <c r="AT3" s="302">
        <f>IF('【様式第2号】事業計画書兼チェックシート（新築）'!B91="",IF('【様式第2号】事業計画書兼チェックシート（新築）'!B66="",0,1),0)</f>
        <v>0</v>
      </c>
      <c r="AU3" s="313" t="str">
        <f>IF('【様式第2号】事業計画書兼チェックシート（新築）'!T240="","",'【様式第2号】事業計画書兼チェックシート（新築）'!T240*10000)</f>
        <v/>
      </c>
      <c r="AV3" s="294"/>
      <c r="AW3" s="294"/>
      <c r="AX3" s="295"/>
      <c r="AY3" s="296"/>
      <c r="AZ3" s="296"/>
      <c r="BA3" s="296"/>
      <c r="BB3" s="297"/>
    </row>
    <row r="4" spans="1:54" x14ac:dyDescent="0.2">
      <c r="B4" s="291" t="s">
        <v>471</v>
      </c>
    </row>
  </sheetData>
  <sheetProtection algorithmName="SHA-512" hashValue="STJ10OjaLjeuePOyUtjFDEn8PaeExvX6A66Ber9tkCrSx7iXk5wamhw9TKtfzLBpboxTuwRJgRcHKNhOU5GDlA==" saltValue="bIWCHxPjc39xJs/UMeB2qg==" spinCount="100000" sheet="1" objects="1" scenarios="1"/>
  <mergeCells count="20">
    <mergeCell ref="AY1:AY2"/>
    <mergeCell ref="AZ1:AZ2"/>
    <mergeCell ref="BA1:BA2"/>
    <mergeCell ref="AU1:AU2"/>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【様式第2号】事業計画書兼チェックシート（新築）</vt:lpstr>
      <vt:lpstr>【様式第６号】（別紙）補助金併用一覧</vt:lpstr>
      <vt:lpstr>交付申請書（計画書連動）（未来型）</vt:lpstr>
      <vt:lpstr>交付申請書（計画書連動）（住まいる）</vt:lpstr>
      <vt:lpstr>住まいる台帳コピー</vt:lpstr>
      <vt:lpstr>未来型台帳コピー</vt:lpstr>
      <vt:lpstr>'【様式第2号】事業計画書兼チェックシート（新築）'!Print_Area</vt:lpstr>
      <vt:lpstr>'【様式第６号】（別紙）補助金併用一覧'!Print_Area</vt:lpstr>
      <vt:lpstr>'交付申請書（計画書連動）（住まいる）'!Print_Area</vt:lpstr>
      <vt:lpstr>'交付申請書（計画書連動）（未来型）'!Print_Area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2024-03-15T02:25:29Z</cp:lastPrinted>
  <dcterms:created xsi:type="dcterms:W3CDTF">2017-01-19T07:37:02Z</dcterms:created>
  <dcterms:modified xsi:type="dcterms:W3CDTF">2024-04-17T01:52:01Z</dcterms:modified>
</cp:coreProperties>
</file>