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企画担当\03_とっとり住まいる支援事業\01 交付要綱\R5.4\様式\"/>
    </mc:Choice>
  </mc:AlternateContent>
  <bookViews>
    <workbookView xWindow="0" yWindow="0" windowWidth="19500" windowHeight="10845" tabRatio="920" activeTab="3"/>
  </bookViews>
  <sheets>
    <sheet name="【様式第６号の２】事業報告書兼チェックシート" sheetId="11" r:id="rId1"/>
    <sheet name="実績報告書鑑（申請日、交付決定日及び番号要入力）" sheetId="12" r:id="rId2"/>
    <sheet name="要入力　交付決定状況入力シート" sheetId="16" r:id="rId3"/>
    <sheet name="台帳コピー" sheetId="18" r:id="rId4"/>
    <sheet name="【様式第６号の２】（別紙）補助金併用一覧" sheetId="17" state="hidden" r:id="rId5"/>
  </sheets>
  <definedNames>
    <definedName name="_xlnm.Print_Area" localSheetId="4">'【様式第６号の２】（別紙）補助金併用一覧'!$A$1:$E$33</definedName>
    <definedName name="_xlnm.Print_Area" localSheetId="0">【様式第６号の２】事業報告書兼チェックシート!$A$1:$AA$227</definedName>
    <definedName name="_xlnm.Print_Area" localSheetId="1">'実績報告書鑑（申請日、交付決定日及び番号要入力）'!$A$1:$Z$47</definedName>
    <definedName name="_xlnm.Print_Area" localSheetId="2">'要入力　交付決定状況入力シート'!$A$1:$K$15</definedName>
  </definedNames>
  <calcPr calcId="162913"/>
</workbook>
</file>

<file path=xl/calcChain.xml><?xml version="1.0" encoding="utf-8"?>
<calcChain xmlns="http://schemas.openxmlformats.org/spreadsheetml/2006/main">
  <c r="FC11" i="18" l="1"/>
  <c r="FD11" i="18"/>
  <c r="FF11" i="18"/>
  <c r="FH11" i="18"/>
  <c r="FI11" i="18"/>
  <c r="FK11" i="18"/>
  <c r="FJ11" i="18" s="1"/>
  <c r="FL11" i="18"/>
  <c r="FM11" i="18"/>
  <c r="FN11" i="18"/>
  <c r="FP11" i="18"/>
  <c r="FO11" i="18" s="1"/>
  <c r="FQ11" i="18"/>
  <c r="FR11" i="18"/>
  <c r="FS11" i="18"/>
  <c r="FT11" i="18"/>
  <c r="FV11" i="18"/>
  <c r="FW11" i="18"/>
  <c r="FX11" i="18"/>
  <c r="FU11" i="18" s="1"/>
  <c r="FY11" i="18" s="1"/>
  <c r="FZ11" i="18"/>
  <c r="GA11" i="18"/>
  <c r="GC11" i="18"/>
  <c r="GD11" i="18" s="1"/>
  <c r="GI11" i="18"/>
  <c r="GJ11" i="18" l="1"/>
  <c r="GK11" i="18" s="1"/>
  <c r="AY13" i="18"/>
  <c r="D59" i="11" l="1"/>
  <c r="D37" i="11" l="1"/>
  <c r="EW13" i="18" l="1"/>
  <c r="D9" i="16" l="1"/>
  <c r="GA13" i="18"/>
  <c r="FX13" i="18"/>
  <c r="FW13" i="18"/>
  <c r="FE13" i="18"/>
  <c r="FC13" i="18"/>
  <c r="W2" i="12"/>
  <c r="T2" i="12"/>
  <c r="Q2" i="12"/>
  <c r="GB13" i="18"/>
  <c r="FG13" i="18"/>
  <c r="EZ13" i="18"/>
  <c r="EY13" i="18"/>
  <c r="EX13" i="18"/>
  <c r="EC13" i="18"/>
  <c r="DW13" i="18"/>
  <c r="DU13" i="18"/>
  <c r="DO13" i="18"/>
  <c r="DJ13" i="18"/>
  <c r="DE13" i="18"/>
  <c r="CV13" i="18"/>
  <c r="CM13" i="18"/>
  <c r="CL13" i="18"/>
  <c r="CK13" i="18"/>
  <c r="CI13" i="18"/>
  <c r="BS13" i="18"/>
  <c r="BQ13" i="18"/>
  <c r="BP13" i="18"/>
  <c r="BO13" i="18"/>
  <c r="BL13" i="18"/>
  <c r="BK13" i="18"/>
  <c r="BJ13" i="18"/>
  <c r="BG13" i="18"/>
  <c r="BF13" i="18"/>
  <c r="BE13" i="18"/>
  <c r="BC13" i="18"/>
  <c r="BB13" i="18"/>
  <c r="BA13" i="18"/>
  <c r="AX13" i="18"/>
  <c r="AW13" i="18"/>
  <c r="AT13" i="18"/>
  <c r="AS13" i="18"/>
  <c r="AR13" i="18"/>
  <c r="AQ13" i="18"/>
  <c r="AP13" i="18"/>
  <c r="AO13" i="18"/>
  <c r="AN13" i="18"/>
  <c r="AK13" i="18"/>
  <c r="AJ13" i="18"/>
  <c r="AG13" i="18"/>
  <c r="AF13" i="18"/>
  <c r="AC13" i="18"/>
  <c r="Y13" i="18"/>
  <c r="X13" i="18"/>
  <c r="V13" i="18"/>
  <c r="S13" i="18"/>
  <c r="P13" i="18"/>
  <c r="O13" i="18"/>
  <c r="K13" i="18"/>
  <c r="DB13" i="18"/>
  <c r="G13" i="18"/>
  <c r="D13" i="18"/>
  <c r="EV13" i="18"/>
  <c r="EU13" i="18"/>
  <c r="ER13" i="18"/>
  <c r="EQ13" i="18"/>
  <c r="EP13" i="18"/>
  <c r="EO13" i="18"/>
  <c r="EN13" i="18"/>
  <c r="EM13" i="18"/>
  <c r="EJ13" i="18"/>
  <c r="EG13" i="18"/>
  <c r="EE13" i="18"/>
  <c r="EB13" i="18"/>
  <c r="EA13" i="18"/>
  <c r="DZ13" i="18"/>
  <c r="DV13" i="18"/>
  <c r="DS13" i="18"/>
  <c r="DR13" i="18"/>
  <c r="DQ13" i="18"/>
  <c r="DM13" i="18"/>
  <c r="DL13" i="18"/>
  <c r="DI13" i="18"/>
  <c r="DH13" i="18"/>
  <c r="DD13" i="18"/>
  <c r="DC13" i="18"/>
  <c r="BT13" i="18"/>
  <c r="BI13" i="18"/>
  <c r="BD13" i="18"/>
  <c r="AU13" i="18"/>
  <c r="AM13" i="18"/>
  <c r="AI13" i="18"/>
  <c r="AE13" i="18"/>
  <c r="AD13" i="18"/>
  <c r="AB13" i="18"/>
  <c r="Z13" i="18"/>
  <c r="W13" i="18"/>
  <c r="U13" i="18"/>
  <c r="T13" i="18"/>
  <c r="R13" i="18"/>
  <c r="Q13" i="18"/>
  <c r="E11" i="18"/>
  <c r="E13" i="18" s="1"/>
  <c r="B11" i="18"/>
  <c r="B13" i="18" s="1"/>
  <c r="GJ10" i="18"/>
  <c r="GI10" i="18"/>
  <c r="GC10" i="18"/>
  <c r="FU10" i="18"/>
  <c r="FO10" i="18"/>
  <c r="FJ10" i="18"/>
  <c r="FH10" i="18"/>
  <c r="FA10" i="18"/>
  <c r="ES10" i="18"/>
  <c r="EK10" i="18" s="1"/>
  <c r="EI10" i="18"/>
  <c r="EF10" i="18"/>
  <c r="EA10" i="18"/>
  <c r="DU10" i="18"/>
  <c r="DR10" i="18"/>
  <c r="DM10" i="18"/>
  <c r="DH10" i="18"/>
  <c r="DF10" i="18"/>
  <c r="DT10" i="18" s="1"/>
  <c r="BT10" i="18"/>
  <c r="GD10" i="18" s="1"/>
  <c r="BN10" i="18"/>
  <c r="BI10" i="18"/>
  <c r="BE10" i="18"/>
  <c r="BD10" i="18"/>
  <c r="AZ10" i="18"/>
  <c r="FB10" i="18" s="1"/>
  <c r="AU10" i="18"/>
  <c r="AM10" i="18" s="1"/>
  <c r="AI10" i="18"/>
  <c r="AH10" i="18"/>
  <c r="AE10" i="18"/>
  <c r="AB10" i="18"/>
  <c r="Z10" i="18"/>
  <c r="X10" i="18"/>
  <c r="U10" i="18"/>
  <c r="R10" i="18"/>
  <c r="Q10" i="18"/>
  <c r="DG10" i="18" s="1"/>
  <c r="E10" i="18"/>
  <c r="B10" i="18"/>
  <c r="GC9" i="18"/>
  <c r="FU9" i="18"/>
  <c r="FY9" i="18" s="1"/>
  <c r="FO9" i="18"/>
  <c r="FJ9" i="18"/>
  <c r="FH9" i="18"/>
  <c r="ES9" i="18"/>
  <c r="ET9" i="18" s="1"/>
  <c r="EK9" i="18"/>
  <c r="EF9" i="18"/>
  <c r="EA9" i="18"/>
  <c r="DU9" i="18"/>
  <c r="DR9" i="18"/>
  <c r="DM9" i="18"/>
  <c r="DH9" i="18"/>
  <c r="DF9" i="18"/>
  <c r="DP9" i="18" s="1"/>
  <c r="BT9" i="18"/>
  <c r="GD9" i="18" s="1"/>
  <c r="BN9" i="18"/>
  <c r="BI9" i="18"/>
  <c r="BE9" i="18"/>
  <c r="BD9" i="18"/>
  <c r="FI9" i="18" s="1"/>
  <c r="AU9" i="18"/>
  <c r="AV9" i="18" s="1"/>
  <c r="AI9" i="18"/>
  <c r="AE9" i="18"/>
  <c r="AB9" i="18"/>
  <c r="Z9" i="18"/>
  <c r="X9" i="18"/>
  <c r="U9" i="18"/>
  <c r="R9" i="18"/>
  <c r="Q9" i="18"/>
  <c r="E9" i="18"/>
  <c r="B9" i="18"/>
  <c r="GJ8" i="18"/>
  <c r="GI8" i="18"/>
  <c r="GC8" i="18"/>
  <c r="FU8" i="18"/>
  <c r="FY8" i="18" s="1"/>
  <c r="FO8" i="18"/>
  <c r="FS8" i="18" s="1"/>
  <c r="FJ8" i="18"/>
  <c r="FH8" i="18"/>
  <c r="FA8" i="18"/>
  <c r="ET8" i="18"/>
  <c r="ES8" i="18"/>
  <c r="EK8" i="18" s="1"/>
  <c r="EF8" i="18"/>
  <c r="EA8" i="18"/>
  <c r="DU8" i="18"/>
  <c r="DR8" i="18"/>
  <c r="DM8" i="18"/>
  <c r="DH8" i="18"/>
  <c r="DF8" i="18"/>
  <c r="BT8" i="18"/>
  <c r="BN8" i="18"/>
  <c r="BR8" i="18" s="1"/>
  <c r="BI8" i="18"/>
  <c r="BE8" i="18"/>
  <c r="BD8" i="18"/>
  <c r="FI8" i="18" s="1"/>
  <c r="AU8" i="18"/>
  <c r="AV8" i="18" s="1"/>
  <c r="AI8" i="18"/>
  <c r="AL8" i="18" s="1"/>
  <c r="AE8" i="18"/>
  <c r="AB8" i="18"/>
  <c r="Z8" i="18"/>
  <c r="X8" i="18"/>
  <c r="U8" i="18"/>
  <c r="R8" i="18"/>
  <c r="Q8" i="18"/>
  <c r="AH8" i="18" s="1"/>
  <c r="E8" i="18"/>
  <c r="B8" i="18"/>
  <c r="FU7" i="18"/>
  <c r="FO7" i="18"/>
  <c r="FS7" i="18" s="1"/>
  <c r="FM7" i="18"/>
  <c r="FJ7" i="18"/>
  <c r="FH7" i="18"/>
  <c r="FA7" i="18"/>
  <c r="ES7" i="18"/>
  <c r="ET7" i="18" s="1"/>
  <c r="EF7" i="18"/>
  <c r="EA7" i="18"/>
  <c r="DU7" i="18"/>
  <c r="DR7" i="18"/>
  <c r="DM7" i="18"/>
  <c r="DH7" i="18"/>
  <c r="DF7" i="18"/>
  <c r="DP7" i="18" s="1"/>
  <c r="BN7" i="18"/>
  <c r="BI7" i="18"/>
  <c r="BE7" i="18"/>
  <c r="BD7" i="18"/>
  <c r="AZ7" i="18"/>
  <c r="AU7" i="18"/>
  <c r="AV7" i="18" s="1"/>
  <c r="AM7" i="18"/>
  <c r="AI7" i="18"/>
  <c r="AE7" i="18"/>
  <c r="AB7" i="18"/>
  <c r="Z7" i="18"/>
  <c r="X7" i="18"/>
  <c r="U7" i="18"/>
  <c r="R7" i="18"/>
  <c r="Q7" i="18"/>
  <c r="AD7" i="18" s="1"/>
  <c r="E7" i="18"/>
  <c r="B7" i="18"/>
  <c r="GC6" i="18"/>
  <c r="FU6" i="18"/>
  <c r="FY6" i="18" s="1"/>
  <c r="FO6" i="18"/>
  <c r="FJ6" i="18"/>
  <c r="FH6" i="18"/>
  <c r="ES6" i="18"/>
  <c r="ET6" i="18" s="1"/>
  <c r="EK6" i="18"/>
  <c r="EF6" i="18"/>
  <c r="EA6" i="18"/>
  <c r="DX6" i="18"/>
  <c r="DU6" i="18"/>
  <c r="DR6" i="18"/>
  <c r="DM6" i="18"/>
  <c r="DK6" i="18"/>
  <c r="DH6" i="18"/>
  <c r="DF6" i="18"/>
  <c r="EI6" i="18" s="1"/>
  <c r="BT6" i="18"/>
  <c r="BN6" i="18"/>
  <c r="BR6" i="18" s="1"/>
  <c r="BI6" i="18"/>
  <c r="BE6" i="18"/>
  <c r="BD6" i="18"/>
  <c r="FI6" i="18" s="1"/>
  <c r="AU6" i="18"/>
  <c r="AV6" i="18" s="1"/>
  <c r="AI6" i="18"/>
  <c r="AE6" i="18"/>
  <c r="AB6" i="18"/>
  <c r="Z6" i="18"/>
  <c r="X6" i="18"/>
  <c r="U6" i="18"/>
  <c r="R6" i="18"/>
  <c r="Q6" i="18"/>
  <c r="DG6" i="18" s="1"/>
  <c r="E6" i="18"/>
  <c r="B6" i="18"/>
  <c r="DP6" i="18" l="1"/>
  <c r="FM8" i="18"/>
  <c r="BM10" i="18"/>
  <c r="FT10" i="18" s="1"/>
  <c r="T7" i="18"/>
  <c r="DG9" i="18"/>
  <c r="BR10" i="18"/>
  <c r="FZ10" i="18" s="1"/>
  <c r="FS10" i="18"/>
  <c r="FZ6" i="18"/>
  <c r="EU7" i="18"/>
  <c r="BR9" i="18"/>
  <c r="FZ9" i="18" s="1"/>
  <c r="W6" i="18"/>
  <c r="DQ6" i="18" s="1"/>
  <c r="AD6" i="18"/>
  <c r="AA6" i="18" s="1"/>
  <c r="GD6" i="18"/>
  <c r="W8" i="18"/>
  <c r="AD8" i="18"/>
  <c r="AA8" i="18" s="1"/>
  <c r="EU8" i="18"/>
  <c r="FZ8" i="18"/>
  <c r="W9" i="18"/>
  <c r="DQ9" i="18" s="1"/>
  <c r="AH9" i="18"/>
  <c r="EE9" i="18" s="1"/>
  <c r="AV10" i="18"/>
  <c r="AL6" i="18"/>
  <c r="EJ6" i="18" s="1"/>
  <c r="DT6" i="18"/>
  <c r="DY6" i="18" s="1"/>
  <c r="ED6" i="18"/>
  <c r="ED7" i="18"/>
  <c r="FY7" i="18"/>
  <c r="GD8" i="18"/>
  <c r="BH9" i="18"/>
  <c r="FN9" i="18" s="1"/>
  <c r="ED9" i="18"/>
  <c r="FS9" i="18"/>
  <c r="AL10" i="18"/>
  <c r="EJ10" i="18" s="1"/>
  <c r="ET10" i="18"/>
  <c r="T6" i="18"/>
  <c r="DL6" i="18" s="1"/>
  <c r="FM6" i="18"/>
  <c r="AA7" i="18"/>
  <c r="T8" i="18"/>
  <c r="AZ8" i="18" s="1"/>
  <c r="BH8" i="18"/>
  <c r="FN8" i="18" s="1"/>
  <c r="ED8" i="18"/>
  <c r="T9" i="18"/>
  <c r="EU9" i="18"/>
  <c r="DT9" i="18"/>
  <c r="EI9" i="18"/>
  <c r="BH10" i="18"/>
  <c r="FN10" i="18" s="1"/>
  <c r="FY10" i="18"/>
  <c r="EU6" i="18"/>
  <c r="GK10" i="18"/>
  <c r="FB7" i="18"/>
  <c r="GK8" i="18"/>
  <c r="FV13" i="18"/>
  <c r="FU13" i="18"/>
  <c r="FF13" i="18"/>
  <c r="EF13" i="18"/>
  <c r="FD13" i="18"/>
  <c r="BR13" i="18"/>
  <c r="DL7" i="18"/>
  <c r="FA13" i="18"/>
  <c r="FB13" i="18"/>
  <c r="EE8" i="18"/>
  <c r="ET13" i="18"/>
  <c r="EK13" i="18"/>
  <c r="ES13" i="18"/>
  <c r="BM13" i="18"/>
  <c r="AH7" i="18"/>
  <c r="EE7" i="18" s="1"/>
  <c r="DG8" i="18"/>
  <c r="DT8" i="18"/>
  <c r="AL9" i="18"/>
  <c r="EJ9" i="18" s="1"/>
  <c r="DK10" i="18"/>
  <c r="DX10" i="18"/>
  <c r="DY10" i="18" s="1"/>
  <c r="FI10" i="18"/>
  <c r="AA13" i="18"/>
  <c r="BN13" i="18"/>
  <c r="DN13" i="18"/>
  <c r="EL13" i="18"/>
  <c r="AH6" i="18"/>
  <c r="EE6" i="18" s="1"/>
  <c r="FS6" i="18"/>
  <c r="W7" i="18"/>
  <c r="DQ7" i="18" s="1"/>
  <c r="BH7" i="18"/>
  <c r="FN7" i="18" s="1"/>
  <c r="DG7" i="18"/>
  <c r="DT7" i="18"/>
  <c r="EI8" i="18"/>
  <c r="EJ8" i="18" s="1"/>
  <c r="AM9" i="18"/>
  <c r="BM9" i="18"/>
  <c r="FT9" i="18" s="1"/>
  <c r="DK9" i="18"/>
  <c r="DL9" i="18" s="1"/>
  <c r="DX9" i="18"/>
  <c r="DY9" i="18" s="1"/>
  <c r="AV13" i="18"/>
  <c r="DG13" i="18"/>
  <c r="BH6" i="18"/>
  <c r="FN6" i="18" s="1"/>
  <c r="AL7" i="18"/>
  <c r="EI7" i="18"/>
  <c r="AM8" i="18"/>
  <c r="BM8" i="18"/>
  <c r="FT8" i="18" s="1"/>
  <c r="DK8" i="18"/>
  <c r="DL8" i="18" s="1"/>
  <c r="DX8" i="18"/>
  <c r="FM10" i="18"/>
  <c r="BH13" i="18"/>
  <c r="BM7" i="18"/>
  <c r="FT7" i="18" s="1"/>
  <c r="DK7" i="18"/>
  <c r="DX7" i="18"/>
  <c r="FI7" i="18"/>
  <c r="FM9" i="18"/>
  <c r="AD10" i="18"/>
  <c r="AA10" i="18" s="1"/>
  <c r="DP10" i="18"/>
  <c r="AM6" i="18"/>
  <c r="BM6" i="18"/>
  <c r="EK7" i="18"/>
  <c r="AD9" i="18"/>
  <c r="AA9" i="18" s="1"/>
  <c r="T10" i="18"/>
  <c r="DL10" i="18" s="1"/>
  <c r="CH10" i="18"/>
  <c r="ED10" i="18"/>
  <c r="EE10" i="18" s="1"/>
  <c r="AH13" i="18"/>
  <c r="EH13" i="18"/>
  <c r="BR7" i="18"/>
  <c r="FZ7" i="18" s="1"/>
  <c r="DP8" i="18"/>
  <c r="W10" i="18"/>
  <c r="AL13" i="18"/>
  <c r="GC7" i="18" l="1"/>
  <c r="GJ7" i="18" s="1"/>
  <c r="DZ9" i="18"/>
  <c r="DZ6" i="18"/>
  <c r="DZ10" i="18"/>
  <c r="EU10" i="18"/>
  <c r="DY7" i="18"/>
  <c r="DZ7" i="18" s="1"/>
  <c r="DQ8" i="18"/>
  <c r="FT6" i="18"/>
  <c r="FH13" i="18"/>
  <c r="FI13" i="18"/>
  <c r="AZ9" i="18"/>
  <c r="DQ10" i="18"/>
  <c r="DY8" i="18"/>
  <c r="DZ8" i="18" s="1"/>
  <c r="BT7" i="18"/>
  <c r="CH8" i="18"/>
  <c r="FB8" i="18"/>
  <c r="AZ6" i="18"/>
  <c r="DP13" i="18"/>
  <c r="ED13" i="18"/>
  <c r="DT13" i="18"/>
  <c r="DK13" i="18"/>
  <c r="DF13" i="18"/>
  <c r="EI13" i="18"/>
  <c r="EJ7" i="18"/>
  <c r="FY13" i="18" l="1"/>
  <c r="FZ13" i="18"/>
  <c r="GD7" i="18"/>
  <c r="CH7" i="18"/>
  <c r="GI7" i="18"/>
  <c r="GK7" i="18" s="1"/>
  <c r="CH13" i="18"/>
  <c r="AZ13" i="18"/>
  <c r="GI9" i="18"/>
  <c r="CH9" i="18"/>
  <c r="FA9" i="18" s="1"/>
  <c r="GJ9" i="18" s="1"/>
  <c r="GI6" i="18"/>
  <c r="CH6" i="18"/>
  <c r="FA6" i="18" s="1"/>
  <c r="GJ6" i="18" s="1"/>
  <c r="DY13" i="18"/>
  <c r="DX13" i="18"/>
  <c r="GK9" i="18" l="1"/>
  <c r="FB9" i="18"/>
  <c r="GK6" i="18"/>
  <c r="FB6" i="18"/>
  <c r="B82" i="11" l="1"/>
  <c r="C52" i="11" l="1"/>
  <c r="H45" i="12" l="1"/>
  <c r="H32" i="12"/>
  <c r="H33" i="12"/>
  <c r="C207" i="11"/>
  <c r="H38" i="12" s="1"/>
  <c r="C200" i="11"/>
  <c r="H31" i="12" s="1"/>
  <c r="C199" i="11"/>
  <c r="H30" i="12" s="1"/>
  <c r="C198" i="11"/>
  <c r="H29" i="12" s="1"/>
  <c r="E72" i="11"/>
  <c r="E48" i="11" l="1"/>
  <c r="AB47" i="11"/>
  <c r="AB46" i="11"/>
  <c r="AB45" i="11"/>
  <c r="D8" i="17" l="1"/>
  <c r="D7" i="17"/>
  <c r="AB11" i="11" l="1"/>
  <c r="C212" i="11" l="1"/>
  <c r="H43" i="12" s="1"/>
  <c r="C211" i="11"/>
  <c r="H42" i="12" s="1"/>
  <c r="C210" i="11"/>
  <c r="H41" i="12" s="1"/>
  <c r="C209" i="11"/>
  <c r="H40" i="12" s="1"/>
  <c r="C204" i="11"/>
  <c r="C9" i="16" l="1"/>
  <c r="Q23" i="12" l="1"/>
  <c r="C203" i="11"/>
  <c r="H34" i="12" s="1"/>
  <c r="GI13" i="18" l="1"/>
  <c r="H23" i="12"/>
  <c r="AA23" i="12" s="1"/>
  <c r="F12" i="16"/>
  <c r="AA17" i="12" l="1"/>
  <c r="C213" i="11"/>
  <c r="H44" i="12" s="1"/>
  <c r="AA2" i="12"/>
  <c r="AB211" i="11" l="1"/>
  <c r="C197" i="11" l="1"/>
  <c r="Y162" i="11" l="1"/>
  <c r="AB221" i="11" l="1"/>
  <c r="Y87" i="11" l="1"/>
  <c r="H28" i="12" l="1"/>
  <c r="AB167" i="11"/>
  <c r="AB168" i="11"/>
  <c r="Y179" i="11" l="1"/>
  <c r="Y172" i="11"/>
  <c r="AB225" i="11" l="1"/>
  <c r="AB224" i="11"/>
  <c r="AB223" i="11"/>
  <c r="AB222" i="11"/>
  <c r="AB29" i="11" l="1"/>
  <c r="AB179" i="11"/>
  <c r="AC156" i="11"/>
  <c r="AC173" i="11"/>
  <c r="AC164" i="11"/>
  <c r="AB161" i="11"/>
  <c r="Y88" i="11" l="1"/>
  <c r="Y89" i="11" s="1"/>
  <c r="AB31" i="11"/>
  <c r="Y118" i="11" l="1"/>
  <c r="O11" i="12"/>
  <c r="O12" i="12"/>
  <c r="O10" i="12"/>
  <c r="P9" i="12"/>
  <c r="BG29" i="11"/>
  <c r="B5" i="12" s="1"/>
  <c r="FR13" i="18" l="1"/>
  <c r="AB36" i="11"/>
  <c r="AB35" i="11"/>
  <c r="AB61" i="11"/>
  <c r="FQ13" i="18" l="1"/>
  <c r="FP13" i="18"/>
  <c r="U85" i="11"/>
  <c r="AB78" i="11"/>
  <c r="AB42" i="11"/>
  <c r="AB41" i="11"/>
  <c r="AB40" i="11"/>
  <c r="Y37" i="11"/>
  <c r="AB34" i="11"/>
  <c r="AB33" i="11"/>
  <c r="AB32" i="11"/>
  <c r="AB30" i="11"/>
  <c r="AB13" i="11"/>
  <c r="AB12" i="11"/>
  <c r="AB10" i="11"/>
  <c r="AB8" i="11"/>
  <c r="FO13" i="18" l="1"/>
  <c r="Y100" i="11"/>
  <c r="H3" i="16"/>
  <c r="G3" i="16"/>
  <c r="AB141" i="11"/>
  <c r="Y149" i="11"/>
  <c r="AB89" i="11"/>
  <c r="C205" i="11" l="1"/>
  <c r="H36" i="12" s="1"/>
  <c r="C206" i="11"/>
  <c r="FL13" i="18"/>
  <c r="FS13" i="18"/>
  <c r="FT13" i="18"/>
  <c r="FI11" i="11"/>
  <c r="K185" i="11"/>
  <c r="H6" i="16"/>
  <c r="J6" i="16" s="1"/>
  <c r="G6" i="16"/>
  <c r="H4" i="16"/>
  <c r="J4" i="16" s="1"/>
  <c r="G4" i="16"/>
  <c r="H5" i="16"/>
  <c r="J5" i="16" s="1"/>
  <c r="G5" i="16"/>
  <c r="J3" i="16"/>
  <c r="C208" i="11"/>
  <c r="H39" i="12" s="1"/>
  <c r="AB185" i="11"/>
  <c r="AB140" i="11"/>
  <c r="AB138" i="11"/>
  <c r="AB139" i="11"/>
  <c r="AB137" i="11"/>
  <c r="H37" i="12" l="1"/>
  <c r="AB206" i="11"/>
  <c r="H9" i="16"/>
  <c r="Q24" i="12" s="1"/>
  <c r="Q25" i="12" s="1"/>
  <c r="FK13" i="18"/>
  <c r="G9" i="16"/>
  <c r="H24" i="12" s="1"/>
  <c r="H25" i="12" s="1"/>
  <c r="FJ13" i="18" l="1"/>
  <c r="FM13" i="18" l="1"/>
  <c r="FN13" i="18" l="1"/>
  <c r="GC13" i="18" l="1"/>
  <c r="GD13" i="18"/>
  <c r="GJ13" i="18" l="1"/>
  <c r="GK13" i="18"/>
</calcChain>
</file>

<file path=xl/comments1.xml><?xml version="1.0" encoding="utf-8"?>
<comments xmlns="http://schemas.openxmlformats.org/spreadsheetml/2006/main">
  <authors>
    <author>鳥取県庁</author>
  </authors>
  <commentList>
    <comment ref="N11" authorId="0" shapeId="0">
      <text>
        <r>
          <rPr>
            <b/>
            <sz val="9"/>
            <color indexed="81"/>
            <rFont val="ＭＳ Ｐゴシック"/>
            <family val="3"/>
            <charset val="128"/>
          </rPr>
          <t>実績報告では転居後の住所を記載して下さい。</t>
        </r>
      </text>
    </comment>
    <comment ref="J221" authorId="0" shapeId="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<sst xmlns="http://schemas.openxmlformats.org/spreadsheetml/2006/main" count="679" uniqueCount="447">
  <si>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</si>
  <si>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</si>
  <si>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</si>
  <si>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</si>
  <si>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</si>
  <si>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</si>
  <si>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氏名</t>
    <rPh sb="0" eb="2">
      <t>シメイ</t>
    </rPh>
    <phoneticPr fontId="1"/>
  </si>
  <si>
    <t>申請者世帯</t>
    <rPh sb="0" eb="3">
      <t>シンセイシャ</t>
    </rPh>
    <rPh sb="3" eb="5">
      <t>セタイ</t>
    </rPh>
    <phoneticPr fontId="1"/>
  </si>
  <si>
    <t>日</t>
    <rPh sb="0" eb="1">
      <t>ニチ</t>
    </rPh>
    <phoneticPr fontId="1"/>
  </si>
  <si>
    <t>年</t>
    <rPh sb="0" eb="1">
      <t>ネン</t>
    </rPh>
    <phoneticPr fontId="1"/>
  </si>
  <si>
    <t>電話</t>
    <rPh sb="0" eb="2">
      <t>デンワ</t>
    </rPh>
    <phoneticPr fontId="1"/>
  </si>
  <si>
    <t>〒</t>
    <phoneticPr fontId="1"/>
  </si>
  <si>
    <t>　－　　　－　</t>
    <phoneticPr fontId="1"/>
  </si>
  <si>
    <t>　県が交付する文書は、下記に送付してください。</t>
    <rPh sb="1" eb="2">
      <t>ケン</t>
    </rPh>
    <rPh sb="3" eb="5">
      <t>コウフ</t>
    </rPh>
    <rPh sb="7" eb="9">
      <t>ブンショ</t>
    </rPh>
    <rPh sb="11" eb="13">
      <t>カキ</t>
    </rPh>
    <rPh sb="14" eb="16">
      <t>ソウフ</t>
    </rPh>
    <phoneticPr fontId="1"/>
  </si>
  <si>
    <t>住所</t>
    <rPh sb="0" eb="2">
      <t>ジュウショ</t>
    </rPh>
    <phoneticPr fontId="1"/>
  </si>
  <si>
    <t>申請者</t>
    <rPh sb="0" eb="3">
      <t>シンセイシャ</t>
    </rPh>
    <phoneticPr fontId="1"/>
  </si>
  <si>
    <t>記</t>
    <rPh sb="0" eb="1">
      <t>キ</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</si>
  <si>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</si>
  <si>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</si>
  <si>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</si>
  <si>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添付書類</t>
    <rPh sb="0" eb="2">
      <t>テンプ</t>
    </rPh>
    <rPh sb="2" eb="4">
      <t>ショルイ</t>
    </rPh>
    <phoneticPr fontId="1"/>
  </si>
  <si>
    <t>担当者</t>
    <rPh sb="0" eb="3">
      <t>タントウシャ</t>
    </rPh>
    <phoneticPr fontId="1"/>
  </si>
  <si>
    <t>連絡先電話</t>
    <rPh sb="0" eb="3">
      <t>レンラクサキ</t>
    </rPh>
    <rPh sb="3" eb="5">
      <t>デンワ</t>
    </rPh>
    <phoneticPr fontId="1"/>
  </si>
  <si>
    <t>共通事項</t>
    <rPh sb="0" eb="2">
      <t>キョウツウ</t>
    </rPh>
    <rPh sb="2" eb="4">
      <t>ジコウ</t>
    </rPh>
    <phoneticPr fontId="1"/>
  </si>
  <si>
    <t>申請者　</t>
    <rPh sb="0" eb="3">
      <t>シンセイシャ</t>
    </rPh>
    <phoneticPr fontId="1"/>
  </si>
  <si>
    <t>月</t>
    <rPh sb="0" eb="1">
      <t>ツキ</t>
    </rPh>
    <phoneticPr fontId="1"/>
  </si>
  <si>
    <t>連絡先</t>
  </si>
  <si>
    <t>工法</t>
    <rPh sb="0" eb="2">
      <t>コウホウ</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</si>
  <si>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</si>
  <si>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</si>
  <si>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</si>
  <si>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</si>
  <si>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</si>
  <si>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</si>
  <si>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</si>
  <si>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</si>
  <si>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</si>
  <si>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</si>
  <si>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t>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</si>
  <si>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</si>
  <si>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</si>
  <si>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他の補助金の利用有無</t>
    <rPh sb="0" eb="1">
      <t>ホカ</t>
    </rPh>
    <rPh sb="2" eb="5">
      <t>ホジョキン</t>
    </rPh>
    <rPh sb="6" eb="8">
      <t>リヨウ</t>
    </rPh>
    <rPh sb="8" eb="10">
      <t>ウム</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</si>
  <si>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</si>
  <si>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＜注意事項＞</t>
    <rPh sb="1" eb="3">
      <t>チュウイ</t>
    </rPh>
    <rPh sb="3" eb="5">
      <t>ジコウ</t>
    </rPh>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</si>
  <si>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</si>
  <si>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</si>
  <si>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</si>
  <si>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</si>
  <si>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</si>
  <si>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</si>
  <si>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</si>
  <si>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</si>
  <si>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② 婚姻後10年以内の世帯</t>
    <rPh sb="2" eb="4">
      <t>コンイン</t>
    </rPh>
    <rPh sb="4" eb="5">
      <t>ゴ</t>
    </rPh>
    <rPh sb="7" eb="8">
      <t>ネン</t>
    </rPh>
    <rPh sb="8" eb="10">
      <t>イナイ</t>
    </rPh>
    <rPh sb="11" eb="13">
      <t>セタイ</t>
    </rPh>
    <phoneticPr fontId="1"/>
  </si>
  <si>
    <t>次の①②のどちらかに該当すること。</t>
    <phoneticPr fontId="1"/>
  </si>
  <si>
    <t>万円</t>
    <rPh sb="0" eb="2">
      <t>マンエン</t>
    </rPh>
    <phoneticPr fontId="1"/>
  </si>
  <si>
    <t>３　子育て世帯等　（補助金額：１０万円）</t>
    <rPh sb="2" eb="4">
      <t>コソダ</t>
    </rPh>
    <rPh sb="5" eb="7">
      <t>セタイ</t>
    </rPh>
    <rPh sb="7" eb="8">
      <t>トウ</t>
    </rPh>
    <rPh sb="10" eb="14">
      <t>ホジョキンガク</t>
    </rPh>
    <rPh sb="17" eb="19">
      <t>マンエン</t>
    </rPh>
    <phoneticPr fontId="1"/>
  </si>
  <si>
    <t>　　補助対象となる建具・・・・・・・・・</t>
    <rPh sb="2" eb="4">
      <t>ホジョ</t>
    </rPh>
    <rPh sb="4" eb="6">
      <t>タイショウ</t>
    </rPh>
    <rPh sb="9" eb="11">
      <t>タテグ</t>
    </rPh>
    <phoneticPr fontId="1"/>
  </si>
  <si>
    <t>　　補助対象とならない建具・・・・・・</t>
    <rPh sb="2" eb="4">
      <t>ホジョ</t>
    </rPh>
    <rPh sb="4" eb="6">
      <t>タイショウ</t>
    </rPh>
    <rPh sb="11" eb="13">
      <t>タテグ</t>
    </rPh>
    <phoneticPr fontId="1"/>
  </si>
  <si>
    <t>框戸、格子戸、障子、襖、欄間　　等</t>
    <rPh sb="0" eb="2">
      <t>カマチド</t>
    </rPh>
    <rPh sb="3" eb="6">
      <t>コウシド</t>
    </rPh>
    <rPh sb="7" eb="9">
      <t>ショウジ</t>
    </rPh>
    <rPh sb="10" eb="11">
      <t>フスマ</t>
    </rPh>
    <rPh sb="12" eb="14">
      <t>ランマ</t>
    </rPh>
    <rPh sb="16" eb="17">
      <t>トウ</t>
    </rPh>
    <phoneticPr fontId="1"/>
  </si>
  <si>
    <t>戸襖、フラッシュ戸　等</t>
    <rPh sb="0" eb="1">
      <t>ト</t>
    </rPh>
    <rPh sb="1" eb="2">
      <t>フスマ</t>
    </rPh>
    <rPh sb="8" eb="9">
      <t>ト</t>
    </rPh>
    <rPh sb="10" eb="11">
      <t>トウ</t>
    </rPh>
    <phoneticPr fontId="1"/>
  </si>
  <si>
    <t>４　三世代同居等世帯　（補助金額：１０万円）</t>
    <rPh sb="2" eb="3">
      <t>サン</t>
    </rPh>
    <rPh sb="3" eb="5">
      <t>セダイ</t>
    </rPh>
    <rPh sb="5" eb="7">
      <t>ドウキョ</t>
    </rPh>
    <rPh sb="7" eb="8">
      <t>トウ</t>
    </rPh>
    <rPh sb="8" eb="10">
      <t>セタイ</t>
    </rPh>
    <phoneticPr fontId="1"/>
  </si>
  <si>
    <t>あなたの補助金申請額は</t>
    <rPh sb="4" eb="7">
      <t>ホジョキン</t>
    </rPh>
    <rPh sb="7" eb="9">
      <t>シンセイ</t>
    </rPh>
    <rPh sb="9" eb="10">
      <t>ガク</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</si>
  <si>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</si>
  <si>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</si>
  <si>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</si>
  <si>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</si>
  <si>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とっとり住まいる支援事業補助金　提出書類　一覧表</t>
    <rPh sb="4" eb="5">
      <t>ス</t>
    </rPh>
    <rPh sb="8" eb="15">
      <t>シエンジギョウホジョキン</t>
    </rPh>
    <rPh sb="16" eb="18">
      <t>テイシュツ</t>
    </rPh>
    <rPh sb="18" eb="20">
      <t>ショルイ</t>
    </rPh>
    <rPh sb="21" eb="23">
      <t>イチラン</t>
    </rPh>
    <rPh sb="23" eb="24">
      <t>ヒョウ</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</si>
  <si>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</si>
  <si>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</si>
  <si>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</si>
  <si>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</si>
  <si>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入力欄がある項目は、色付きの欄に記入してください。</t>
    <rPh sb="0" eb="2">
      <t>ニュウリョク</t>
    </rPh>
    <rPh sb="2" eb="3">
      <t>ラン</t>
    </rPh>
    <rPh sb="6" eb="8">
      <t>コウモク</t>
    </rPh>
    <rPh sb="10" eb="12">
      <t>イロツ</t>
    </rPh>
    <rPh sb="14" eb="15">
      <t>ラン</t>
    </rPh>
    <rPh sb="16" eb="18">
      <t>キニュウ</t>
    </rPh>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</si>
  <si>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</si>
  <si>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</si>
  <si>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</si>
  <si>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③交付申請の時点では、直系親族世帯と近居ではないこと。</t>
    <rPh sb="1" eb="3">
      <t>コウフ</t>
    </rPh>
    <rPh sb="3" eb="5">
      <t>シンセイ</t>
    </rPh>
    <rPh sb="6" eb="8">
      <t>ジテン</t>
    </rPh>
    <rPh sb="11" eb="13">
      <t>チョッケイ</t>
    </rPh>
    <rPh sb="13" eb="15">
      <t>シンゾク</t>
    </rPh>
    <rPh sb="15" eb="17">
      <t>セタイ</t>
    </rPh>
    <rPh sb="18" eb="20">
      <t>キンキョ</t>
    </rPh>
    <phoneticPr fontId="1"/>
  </si>
  <si>
    <t>万円</t>
    <rPh sb="0" eb="2">
      <t>マンエン</t>
    </rPh>
    <phoneticPr fontId="1"/>
  </si>
  <si>
    <t>②交付申請の時点では、直系親族世帯と同居でないこと。</t>
    <rPh sb="1" eb="5">
      <t>コウフシンセイ</t>
    </rPh>
    <rPh sb="6" eb="8">
      <t>ジテン</t>
    </rPh>
    <rPh sb="11" eb="13">
      <t>チョッケイ</t>
    </rPh>
    <rPh sb="13" eb="15">
      <t>シンゾク</t>
    </rPh>
    <rPh sb="15" eb="17">
      <t>セタイ</t>
    </rPh>
    <rPh sb="18" eb="20">
      <t>ドウキョ</t>
    </rPh>
    <phoneticPr fontId="1"/>
  </si>
  <si>
    <t>①子育て世帯等であること。</t>
    <rPh sb="1" eb="3">
      <t>コソダ</t>
    </rPh>
    <rPh sb="4" eb="6">
      <t>セタイ</t>
    </rPh>
    <rPh sb="6" eb="7">
      <t>トウ</t>
    </rPh>
    <phoneticPr fontId="1"/>
  </si>
  <si>
    <t>プレカット工場名</t>
    <rPh sb="5" eb="7">
      <t>コウジョウ</t>
    </rPh>
    <rPh sb="7" eb="8">
      <t>メイ</t>
    </rPh>
    <phoneticPr fontId="1"/>
  </si>
  <si>
    <t>m2</t>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</si>
  <si>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</si>
  <si>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</si>
  <si>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t>木製建具の見付面積</t>
    <rPh sb="0" eb="2">
      <t>モクセイ</t>
    </rPh>
    <rPh sb="2" eb="4">
      <t>タテグ</t>
    </rPh>
    <rPh sb="5" eb="7">
      <t>ミツケ</t>
    </rPh>
    <rPh sb="7" eb="9">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</si>
  <si>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</si>
  <si>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</si>
  <si>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</si>
  <si>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</si>
  <si>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</si>
  <si>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</si>
  <si>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＜実績報告時の提出書類＞県産材の産地証明書の写し</t>
    <rPh sb="1" eb="3">
      <t>ジッセキ</t>
    </rPh>
    <rPh sb="3" eb="5">
      <t>ホウコク</t>
    </rPh>
    <rPh sb="5" eb="6">
      <t>ジ</t>
    </rPh>
    <rPh sb="7" eb="9">
      <t>テイシュツ</t>
    </rPh>
    <rPh sb="9" eb="11">
      <t>ショルイ</t>
    </rPh>
    <rPh sb="12" eb="13">
      <t>ケン</t>
    </rPh>
    <rPh sb="13" eb="15">
      <t>サンザイ</t>
    </rPh>
    <rPh sb="16" eb="18">
      <t>サンチ</t>
    </rPh>
    <rPh sb="18" eb="21">
      <t>ショウメイショ</t>
    </rPh>
    <rPh sb="22" eb="23">
      <t>ウツ</t>
    </rPh>
    <phoneticPr fontId="1"/>
  </si>
  <si>
    <t>鳥取市</t>
    <rPh sb="0" eb="3">
      <t>トットリシ</t>
    </rPh>
    <phoneticPr fontId="1"/>
  </si>
  <si>
    <t>米子市</t>
    <rPh sb="0" eb="3">
      <t>ヨナゴシ</t>
    </rPh>
    <phoneticPr fontId="1"/>
  </si>
  <si>
    <t>倉吉市</t>
    <rPh sb="0" eb="3">
      <t>クラヨシシ</t>
    </rPh>
    <phoneticPr fontId="1"/>
  </si>
  <si>
    <t>境港市</t>
    <rPh sb="0" eb="3">
      <t>サカイミナトシ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</si>
  <si>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</si>
  <si>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</si>
  <si>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</si>
  <si>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</si>
  <si>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</si>
  <si>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</si>
  <si>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</si>
  <si>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</si>
  <si>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</si>
  <si>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</si>
  <si>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</si>
  <si>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</si>
  <si>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</si>
  <si>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</si>
  <si>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</si>
  <si>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</si>
  <si>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</si>
  <si>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</si>
  <si>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</si>
  <si>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</si>
  <si>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</si>
  <si>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</si>
  <si>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</si>
  <si>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</si>
  <si>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</si>
  <si>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自ら居住（改修後に居住する場合を含む。）し、所有の権利を有する戸建住宅又は共同住宅の専有部分に係る工事であること。</t>
    <rPh sb="0" eb="1">
      <t>ミズカ</t>
    </rPh>
    <rPh sb="2" eb="4">
      <t>キョジュウ</t>
    </rPh>
    <rPh sb="5" eb="7">
      <t>カイシュウ</t>
    </rPh>
    <rPh sb="7" eb="8">
      <t>ゴ</t>
    </rPh>
    <rPh sb="9" eb="11">
      <t>キョジュウ</t>
    </rPh>
    <rPh sb="13" eb="15">
      <t>バアイ</t>
    </rPh>
    <rPh sb="16" eb="17">
      <t>フク</t>
    </rPh>
    <rPh sb="22" eb="24">
      <t>ショユウ</t>
    </rPh>
    <rPh sb="25" eb="27">
      <t>ケンリ</t>
    </rPh>
    <rPh sb="28" eb="29">
      <t>ユウ</t>
    </rPh>
    <rPh sb="31" eb="33">
      <t>コダテ</t>
    </rPh>
    <rPh sb="33" eb="35">
      <t>ジュウタク</t>
    </rPh>
    <rPh sb="35" eb="36">
      <t>マタ</t>
    </rPh>
    <rPh sb="37" eb="39">
      <t>キョウドウ</t>
    </rPh>
    <rPh sb="39" eb="41">
      <t>ジュウタク</t>
    </rPh>
    <rPh sb="42" eb="44">
      <t>センユウ</t>
    </rPh>
    <rPh sb="44" eb="46">
      <t>ブブン</t>
    </rPh>
    <rPh sb="47" eb="48">
      <t>カカ</t>
    </rPh>
    <rPh sb="49" eb="51">
      <t>コウジ</t>
    </rPh>
    <phoneticPr fontId="1"/>
  </si>
  <si>
    <t>※当該住宅と同一敷地内にあり、一体的に日常生活の用に供される車庫、物置、木塀等に係るものを含む。</t>
    <phoneticPr fontId="1"/>
  </si>
  <si>
    <t>様式第６号の２（第９条、第12条関係）</t>
    <rPh sb="0" eb="2">
      <t>ヨウシキ</t>
    </rPh>
    <rPh sb="2" eb="3">
      <t>ダイ</t>
    </rPh>
    <rPh sb="4" eb="5">
      <t>ゴウ</t>
    </rPh>
    <rPh sb="8" eb="9">
      <t>ダイ</t>
    </rPh>
    <rPh sb="10" eb="11">
      <t>ジョウ</t>
    </rPh>
    <rPh sb="12" eb="13">
      <t>ダイ</t>
    </rPh>
    <rPh sb="15" eb="16">
      <t>ジョウ</t>
    </rPh>
    <rPh sb="16" eb="18">
      <t>カンケイ</t>
    </rPh>
    <phoneticPr fontId="1"/>
  </si>
  <si>
    <t>工事種別</t>
    <rPh sb="0" eb="2">
      <t>コウジ</t>
    </rPh>
    <rPh sb="2" eb="4">
      <t>シュベツ</t>
    </rPh>
    <phoneticPr fontId="1"/>
  </si>
  <si>
    <t>建築工事届の要否</t>
    <rPh sb="0" eb="2">
      <t>ケンチク</t>
    </rPh>
    <rPh sb="2" eb="4">
      <t>コウジ</t>
    </rPh>
    <rPh sb="4" eb="5">
      <t>トドケ</t>
    </rPh>
    <rPh sb="6" eb="8">
      <t>ヨウヒ</t>
    </rPh>
    <phoneticPr fontId="1"/>
  </si>
  <si>
    <t>県産材を構造材若しくは下地材として０．３m3以上使用すること又は内外装材仕上げ材若しくは木塀として１m2以上使用すること。</t>
    <rPh sb="4" eb="7">
      <t>コウゾウザイ</t>
    </rPh>
    <rPh sb="7" eb="8">
      <t>モ</t>
    </rPh>
    <rPh sb="11" eb="14">
      <t>シタジザイ</t>
    </rPh>
    <rPh sb="22" eb="24">
      <t>イジョウ</t>
    </rPh>
    <rPh sb="24" eb="26">
      <t>シヨウ</t>
    </rPh>
    <rPh sb="30" eb="31">
      <t>マタ</t>
    </rPh>
    <rPh sb="32" eb="35">
      <t>ナイガイソウ</t>
    </rPh>
    <rPh sb="35" eb="36">
      <t>ザイ</t>
    </rPh>
    <rPh sb="36" eb="38">
      <t>シア</t>
    </rPh>
    <rPh sb="39" eb="40">
      <t>ザイ</t>
    </rPh>
    <rPh sb="40" eb="41">
      <t>モ</t>
    </rPh>
    <rPh sb="44" eb="45">
      <t>キ</t>
    </rPh>
    <rPh sb="45" eb="46">
      <t>ヘイ</t>
    </rPh>
    <rPh sb="52" eb="54">
      <t>イジョウ</t>
    </rPh>
    <rPh sb="54" eb="56">
      <t>シヨウ</t>
    </rPh>
    <phoneticPr fontId="1"/>
  </si>
  <si>
    <t>見付面積の算出過程及び結果並びに使用場所がわかる立面図、展開図等の書類</t>
  </si>
  <si>
    <r>
      <t>・県産材の構造材又は下地材を0.3m3以上使用する場合、１m3につき２万円が交付されます</t>
    </r>
    <r>
      <rPr>
        <sz val="10"/>
        <color rgb="FFFF0000"/>
        <rFont val="ＭＳ Ｐ明朝"/>
        <family val="1"/>
        <charset val="128"/>
      </rPr>
      <t>(0.1m3未満は切捨て）</t>
    </r>
    <r>
      <rPr>
        <sz val="10"/>
        <color theme="1"/>
        <rFont val="ＭＳ Ｐ明朝"/>
        <family val="1"/>
        <charset val="128"/>
      </rPr>
      <t>。</t>
    </r>
    <rPh sb="1" eb="3">
      <t>ケンサン</t>
    </rPh>
    <rPh sb="3" eb="4">
      <t>ザイ</t>
    </rPh>
    <rPh sb="5" eb="8">
      <t>コウゾウザイ</t>
    </rPh>
    <rPh sb="8" eb="9">
      <t>マタ</t>
    </rPh>
    <rPh sb="10" eb="13">
      <t>シタジザイ</t>
    </rPh>
    <rPh sb="19" eb="21">
      <t>イジョウ</t>
    </rPh>
    <rPh sb="21" eb="23">
      <t>シヨウ</t>
    </rPh>
    <rPh sb="25" eb="27">
      <t>バアイ</t>
    </rPh>
    <rPh sb="35" eb="37">
      <t>マンエン</t>
    </rPh>
    <rPh sb="38" eb="40">
      <t>コウフ</t>
    </rPh>
    <rPh sb="50" eb="52">
      <t>ミマン</t>
    </rPh>
    <rPh sb="53" eb="55">
      <t>キリス</t>
    </rPh>
    <phoneticPr fontId="1"/>
  </si>
  <si>
    <r>
      <t>・県産内外装材、県産木塀を１m2以上使用する場合、</t>
    </r>
    <r>
      <rPr>
        <sz val="10"/>
        <color rgb="FFFF0000"/>
        <rFont val="ＭＳ Ｐ明朝"/>
        <family val="1"/>
        <charset val="128"/>
      </rPr>
      <t>見付面積</t>
    </r>
    <r>
      <rPr>
        <sz val="10"/>
        <color theme="1"/>
        <rFont val="ＭＳ Ｐ明朝"/>
        <family val="1"/>
        <charset val="128"/>
      </rPr>
      <t>１m2につき２千円が交付されます</t>
    </r>
    <r>
      <rPr>
        <sz val="10"/>
        <color rgb="FFFF0000"/>
        <rFont val="ＭＳ Ｐ明朝"/>
        <family val="1"/>
        <charset val="128"/>
      </rPr>
      <t>(1m2未満は切捨て）</t>
    </r>
    <r>
      <rPr>
        <sz val="10"/>
        <color theme="1"/>
        <rFont val="ＭＳ Ｐ明朝"/>
        <family val="1"/>
        <charset val="128"/>
      </rPr>
      <t>。</t>
    </r>
    <rPh sb="1" eb="3">
      <t>ケンサン</t>
    </rPh>
    <rPh sb="3" eb="4">
      <t>ナイ</t>
    </rPh>
    <rPh sb="4" eb="7">
      <t>ガイソウザイ</t>
    </rPh>
    <rPh sb="8" eb="10">
      <t>ケンサン</t>
    </rPh>
    <rPh sb="10" eb="11">
      <t>モク</t>
    </rPh>
    <rPh sb="11" eb="12">
      <t>ベイ</t>
    </rPh>
    <rPh sb="16" eb="18">
      <t>イジョウ</t>
    </rPh>
    <rPh sb="18" eb="20">
      <t>シヨウ</t>
    </rPh>
    <rPh sb="22" eb="24">
      <t>バアイ</t>
    </rPh>
    <rPh sb="25" eb="27">
      <t>ミツケ</t>
    </rPh>
    <rPh sb="27" eb="29">
      <t>メンセキ</t>
    </rPh>
    <rPh sb="36" eb="38">
      <t>センエン</t>
    </rPh>
    <rPh sb="39" eb="41">
      <t>コウフ</t>
    </rPh>
    <phoneticPr fontId="1"/>
  </si>
  <si>
    <t>・県産材の構造材又は下地材、県産内外装材、県産木塀の補助上限額は25万円になります。</t>
    <rPh sb="1" eb="2">
      <t>ケン</t>
    </rPh>
    <rPh sb="2" eb="4">
      <t>サンザイ</t>
    </rPh>
    <rPh sb="5" eb="8">
      <t>コウゾウザイ</t>
    </rPh>
    <rPh sb="8" eb="9">
      <t>マタ</t>
    </rPh>
    <rPh sb="10" eb="13">
      <t>シタジザイ</t>
    </rPh>
    <rPh sb="14" eb="16">
      <t>ケンサン</t>
    </rPh>
    <rPh sb="16" eb="17">
      <t>ナイ</t>
    </rPh>
    <rPh sb="17" eb="20">
      <t>ガイソウザイ</t>
    </rPh>
    <rPh sb="21" eb="23">
      <t>ケンサン</t>
    </rPh>
    <rPh sb="23" eb="24">
      <t>モク</t>
    </rPh>
    <rPh sb="24" eb="25">
      <t>ベイ</t>
    </rPh>
    <rPh sb="26" eb="28">
      <t>ホジョ</t>
    </rPh>
    <rPh sb="28" eb="31">
      <t>ジョウゲンガク</t>
    </rPh>
    <rPh sb="34" eb="36">
      <t>マンエン</t>
    </rPh>
    <phoneticPr fontId="1"/>
  </si>
  <si>
    <t>②県産材の構造材又は下地材の使用材積</t>
    <rPh sb="5" eb="8">
      <t>コウゾウザイ</t>
    </rPh>
    <rPh sb="8" eb="9">
      <t>マタ</t>
    </rPh>
    <rPh sb="10" eb="13">
      <t>シタジザイ</t>
    </rPh>
    <rPh sb="16" eb="18">
      <t>ザイセキ</t>
    </rPh>
    <phoneticPr fontId="1"/>
  </si>
  <si>
    <r>
      <t>③県産内外装材、県産木塀の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</si>
  <si>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④改修することで直系親族世帯と新たに近居すること。</t>
    <rPh sb="1" eb="3">
      <t>カイシュウ</t>
    </rPh>
    <rPh sb="8" eb="14">
      <t>チョッケイシンゾクセタイ</t>
    </rPh>
    <rPh sb="15" eb="16">
      <t>アラ</t>
    </rPh>
    <phoneticPr fontId="1"/>
  </si>
  <si>
    <t>⑤改修することで直系親族世帯と新たに同居すること。</t>
    <rPh sb="1" eb="3">
      <t>カイシュウ</t>
    </rPh>
    <rPh sb="8" eb="14">
      <t>チョッケイシンゾクセタイ</t>
    </rPh>
    <rPh sb="15" eb="16">
      <t>アラ</t>
    </rPh>
    <phoneticPr fontId="1"/>
  </si>
  <si>
    <t>⑥改修することで直系親族の子育て世帯等と新たに同居する世帯であること。</t>
    <phoneticPr fontId="1"/>
  </si>
  <si>
    <t>①建築大工技能</t>
    <rPh sb="1" eb="3">
      <t>ケンチク</t>
    </rPh>
    <rPh sb="3" eb="5">
      <t>ダイク</t>
    </rPh>
    <rPh sb="5" eb="7">
      <t>ギノウ</t>
    </rPh>
    <phoneticPr fontId="1"/>
  </si>
  <si>
    <t>建築大工技能を活用した見付面積</t>
    <rPh sb="0" eb="2">
      <t>ケンチク</t>
    </rPh>
    <rPh sb="2" eb="4">
      <t>ダイク</t>
    </rPh>
    <rPh sb="4" eb="6">
      <t>ギノウ</t>
    </rPh>
    <rPh sb="7" eb="9">
      <t>カツヨウ</t>
    </rPh>
    <rPh sb="11" eb="13">
      <t>ミツケ</t>
    </rPh>
    <rPh sb="13" eb="15">
      <t>メンセキ</t>
    </rPh>
    <phoneticPr fontId="1"/>
  </si>
  <si>
    <t>m2</t>
  </si>
  <si>
    <t>次の①～③に掲げる伝統技能のうち、いずれか２以上が使用された場合に最大15万円を支援する。</t>
    <rPh sb="0" eb="1">
      <t>ツギ</t>
    </rPh>
    <rPh sb="6" eb="7">
      <t>カカ</t>
    </rPh>
    <rPh sb="9" eb="11">
      <t>デントウ</t>
    </rPh>
    <rPh sb="11" eb="13">
      <t>ギノウ</t>
    </rPh>
    <rPh sb="22" eb="24">
      <t>イジョウ</t>
    </rPh>
    <rPh sb="25" eb="27">
      <t>シヨウ</t>
    </rPh>
    <rPh sb="30" eb="32">
      <t>バアイ</t>
    </rPh>
    <rPh sb="33" eb="35">
      <t>サイダイ</t>
    </rPh>
    <rPh sb="37" eb="39">
      <t>マンエン</t>
    </rPh>
    <rPh sb="40" eb="42">
      <t>シエン</t>
    </rPh>
    <phoneticPr fontId="1"/>
  </si>
  <si>
    <t>見付面積１m2あたり11,000円を支援する。（1m2未満切捨て）</t>
    <rPh sb="0" eb="2">
      <t>ミツケ</t>
    </rPh>
    <rPh sb="2" eb="4">
      <t>メンセキ</t>
    </rPh>
    <rPh sb="16" eb="17">
      <t>エン</t>
    </rPh>
    <rPh sb="18" eb="20">
      <t>シエン</t>
    </rPh>
    <rPh sb="27" eb="29">
      <t>ミマン</t>
    </rPh>
    <rPh sb="29" eb="31">
      <t>キリス</t>
    </rPh>
    <phoneticPr fontId="1"/>
  </si>
  <si>
    <t>見付面積１m2あたり19,000円を支援する。（1m2未満切捨て）</t>
    <rPh sb="0" eb="2">
      <t>ミツケ</t>
    </rPh>
    <rPh sb="2" eb="4">
      <t>メンセキ</t>
    </rPh>
    <rPh sb="16" eb="17">
      <t>エン</t>
    </rPh>
    <rPh sb="18" eb="20">
      <t>シエン</t>
    </rPh>
    <phoneticPr fontId="1"/>
  </si>
  <si>
    <r>
      <t>県産材を使用し、かつ、建築大工技能を活用して室内の見え掛かり部分（床材、壁材、天井材等）の仕上げ改修を行う部分の見付面積（柱、はり等の構造材の見付面積を除く。）と外壁の下見板張りの</t>
    </r>
    <r>
      <rPr>
        <sz val="11"/>
        <color rgb="FFFF0000"/>
        <rFont val="ＭＳ Ｐ明朝"/>
        <family val="1"/>
        <charset val="128"/>
      </rPr>
      <t>見付面積の合計が７m2以上のものに限る</t>
    </r>
    <r>
      <rPr>
        <sz val="11"/>
        <color theme="1"/>
        <rFont val="ＭＳ Ｐ明朝"/>
        <family val="1"/>
        <charset val="128"/>
      </rPr>
      <t>。</t>
    </r>
    <phoneticPr fontId="1"/>
  </si>
  <si>
    <r>
      <t>県内に本拠地を置く建具業者が製作した</t>
    </r>
    <r>
      <rPr>
        <sz val="11"/>
        <color rgb="FFFF0000"/>
        <rFont val="ＭＳ Ｐ明朝"/>
        <family val="1"/>
        <charset val="128"/>
      </rPr>
      <t>木製建具を見付面積３m2以上使用</t>
    </r>
    <r>
      <rPr>
        <sz val="11"/>
        <color theme="1"/>
        <rFont val="ＭＳ Ｐ明朝"/>
        <family val="1"/>
        <charset val="128"/>
      </rPr>
      <t>したもの</t>
    </r>
    <phoneticPr fontId="1"/>
  </si>
  <si>
    <t>②左官仕上げ</t>
    <rPh sb="1" eb="3">
      <t>サカン</t>
    </rPh>
    <rPh sb="3" eb="5">
      <t>シア</t>
    </rPh>
    <phoneticPr fontId="1"/>
  </si>
  <si>
    <t>③木製建具</t>
    <rPh sb="1" eb="3">
      <t>モクセイ</t>
    </rPh>
    <rPh sb="3" eb="5">
      <t>タテグ</t>
    </rPh>
    <phoneticPr fontId="1"/>
  </si>
  <si>
    <t>５　伝統技能活用改修　（補助金額：上限15万円）</t>
    <rPh sb="2" eb="4">
      <t>デントウ</t>
    </rPh>
    <rPh sb="4" eb="6">
      <t>ギノウ</t>
    </rPh>
    <rPh sb="6" eb="8">
      <t>カツヨウ</t>
    </rPh>
    <rPh sb="8" eb="10">
      <t>カイシュウ</t>
    </rPh>
    <rPh sb="17" eb="19">
      <t>ジョウゲン</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</si>
  <si>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</si>
  <si>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日本農林規格県産材（ＪＡＳ格付及び含水率20%以下）であることを証明する書類</t>
    </r>
    <rPh sb="10" eb="11">
      <t>マタ</t>
    </rPh>
    <phoneticPr fontId="1"/>
  </si>
  <si>
    <t>事実婚の場合は、住民票上の続柄に記載があり、かつ、生計を同一にした日から10年以内のときに限る。</t>
    <rPh sb="0" eb="3">
      <t>ジジツコン</t>
    </rPh>
    <rPh sb="4" eb="6">
      <t>バアイ</t>
    </rPh>
    <rPh sb="8" eb="11">
      <t>ジュウミンヒョウ</t>
    </rPh>
    <rPh sb="11" eb="12">
      <t>ジョウ</t>
    </rPh>
    <rPh sb="13" eb="15">
      <t>ツヅキガラ</t>
    </rPh>
    <rPh sb="16" eb="18">
      <t>キサイ</t>
    </rPh>
    <rPh sb="45" eb="46">
      <t>カギ</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</si>
  <si>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</si>
  <si>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</si>
  <si>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都道府県名</t>
    <rPh sb="0" eb="4">
      <t>トドウフケン</t>
    </rPh>
    <rPh sb="4" eb="5">
      <t>メイ</t>
    </rPh>
    <phoneticPr fontId="1"/>
  </si>
  <si>
    <t>知事</t>
    <rPh sb="0" eb="2">
      <t>チジ</t>
    </rPh>
    <phoneticPr fontId="1"/>
  </si>
  <si>
    <t>登録番号</t>
    <rPh sb="0" eb="2">
      <t>トウロク</t>
    </rPh>
    <rPh sb="2" eb="4">
      <t>バンゴウ</t>
    </rPh>
    <phoneticPr fontId="1"/>
  </si>
  <si>
    <t>※工事監理者　建築士法（昭和25年法律第202号）第２条第８項に規定する工事監理をする者をいう。</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</si>
  <si>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申請時住所の小学校区</t>
    <rPh sb="0" eb="3">
      <t>シンセイジ</t>
    </rPh>
    <rPh sb="3" eb="5">
      <t>ジュウショ</t>
    </rPh>
    <rPh sb="6" eb="9">
      <t>ショウガッコウ</t>
    </rPh>
    <rPh sb="9" eb="10">
      <t>ク</t>
    </rPh>
    <phoneticPr fontId="1"/>
  </si>
  <si>
    <t>建設地の小学校区</t>
    <rPh sb="0" eb="3">
      <t>ケンセツチ</t>
    </rPh>
    <rPh sb="4" eb="7">
      <t>ショウガッコウ</t>
    </rPh>
    <rPh sb="7" eb="8">
      <t>ク</t>
    </rPh>
    <phoneticPr fontId="1"/>
  </si>
  <si>
    <t>同居、近居対象の親族世帯</t>
    <rPh sb="0" eb="2">
      <t>ドウキョ</t>
    </rPh>
    <rPh sb="3" eb="5">
      <t>キンキョ</t>
    </rPh>
    <rPh sb="5" eb="7">
      <t>タイショウ</t>
    </rPh>
    <rPh sb="8" eb="10">
      <t>シンゾク</t>
    </rPh>
    <rPh sb="10" eb="12">
      <t>セタイ</t>
    </rPh>
    <phoneticPr fontId="1"/>
  </si>
  <si>
    <t>小学校区</t>
    <rPh sb="0" eb="3">
      <t>ショウガッコウ</t>
    </rPh>
    <rPh sb="3" eb="4">
      <t>ク</t>
    </rPh>
    <phoneticPr fontId="1"/>
  </si>
  <si>
    <t>※改修費の１／２（千円未満切捨て）又は補助金計算額のうちどちらか低い額が上限額になります。</t>
    <rPh sb="1" eb="4">
      <t>カイシュウヒ</t>
    </rPh>
    <rPh sb="9" eb="11">
      <t>センエン</t>
    </rPh>
    <rPh sb="11" eb="13">
      <t>ミマン</t>
    </rPh>
    <rPh sb="13" eb="15">
      <t>キリス</t>
    </rPh>
    <rPh sb="17" eb="18">
      <t>マタ</t>
    </rPh>
    <rPh sb="19" eb="22">
      <t>ホジョキン</t>
    </rPh>
    <rPh sb="22" eb="24">
      <t>ケイサン</t>
    </rPh>
    <rPh sb="24" eb="25">
      <t>ガク</t>
    </rPh>
    <rPh sb="32" eb="33">
      <t>ヒク</t>
    </rPh>
    <rPh sb="34" eb="35">
      <t>ガク</t>
    </rPh>
    <rPh sb="36" eb="39">
      <t>ジョウゲンガク</t>
    </rPh>
    <phoneticPr fontId="1"/>
  </si>
  <si>
    <r>
      <t>上記左官の</t>
    </r>
    <r>
      <rPr>
        <sz val="11"/>
        <rFont val="ＭＳ Ｐ明朝"/>
        <family val="1"/>
        <charset val="128"/>
      </rPr>
      <t>こて塗り</t>
    </r>
    <r>
      <rPr>
        <sz val="11"/>
        <color theme="1"/>
        <rFont val="ＭＳ Ｐ明朝"/>
        <family val="1"/>
        <charset val="128"/>
      </rPr>
      <t>面積</t>
    </r>
    <rPh sb="0" eb="2">
      <t>ジョウキ</t>
    </rPh>
    <rPh sb="2" eb="4">
      <t>サカン</t>
    </rPh>
    <rPh sb="7" eb="8">
      <t>ヌ</t>
    </rPh>
    <rPh sb="9" eb="11">
      <t>メンセキ</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</si>
  <si>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</si>
  <si>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（別途提出する県産材の産地証明書で証明できる場合を除く。）</t>
    <rPh sb="1" eb="3">
      <t>ベット</t>
    </rPh>
    <rPh sb="3" eb="5">
      <t>テイシュツ</t>
    </rPh>
    <rPh sb="7" eb="10">
      <t>ケンサンザイ</t>
    </rPh>
    <rPh sb="11" eb="13">
      <t>サンチ</t>
    </rPh>
    <rPh sb="13" eb="16">
      <t>ショウメイショ</t>
    </rPh>
    <rPh sb="17" eb="19">
      <t>ショウメイ</t>
    </rPh>
    <rPh sb="22" eb="24">
      <t>バアイ</t>
    </rPh>
    <rPh sb="25" eb="26">
      <t>ノゾ</t>
    </rPh>
    <phoneticPr fontId="1"/>
  </si>
  <si>
    <t>その他、この住宅の改修にあたり関連法令に適合していること。</t>
    <rPh sb="2" eb="3">
      <t>タ</t>
    </rPh>
    <rPh sb="6" eb="8">
      <t>ジュウタク</t>
    </rPh>
    <rPh sb="9" eb="11">
      <t>カイシュウ</t>
    </rPh>
    <rPh sb="15" eb="17">
      <t>カンレン</t>
    </rPh>
    <rPh sb="17" eb="19">
      <t>ホウレイ</t>
    </rPh>
    <rPh sb="20" eb="22">
      <t>テキゴウ</t>
    </rPh>
    <phoneticPr fontId="1"/>
  </si>
  <si>
    <t>外壁の場合はモルタル塗、漆喰塗、その他のこて塗仕上げ</t>
    <phoneticPr fontId="1"/>
  </si>
  <si>
    <t>内壁の場合はモルタル塗、漆喰塗、土塗壁、じゅらく塗、</t>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</si>
  <si>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</si>
  <si>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＜実績報告時の提出書類＞施工状況の写真（建築主名記載の工事看板入り）</t>
    <rPh sb="1" eb="3">
      <t>ジッセキ</t>
    </rPh>
    <rPh sb="3" eb="5">
      <t>ホウコク</t>
    </rPh>
    <rPh sb="5" eb="6">
      <t>ジ</t>
    </rPh>
    <rPh sb="7" eb="9">
      <t>テイシュツ</t>
    </rPh>
    <rPh sb="9" eb="11">
      <t>ショルイ</t>
    </rPh>
    <rPh sb="12" eb="14">
      <t>セコウ</t>
    </rPh>
    <rPh sb="14" eb="16">
      <t>ジョウキョウ</t>
    </rPh>
    <rPh sb="17" eb="19">
      <t>シャシン</t>
    </rPh>
    <rPh sb="20" eb="22">
      <t>ケンチク</t>
    </rPh>
    <rPh sb="22" eb="23">
      <t>ヌシ</t>
    </rPh>
    <rPh sb="23" eb="24">
      <t>メイ</t>
    </rPh>
    <rPh sb="24" eb="26">
      <t>キサイ</t>
    </rPh>
    <rPh sb="27" eb="29">
      <t>コウジ</t>
    </rPh>
    <rPh sb="29" eb="31">
      <t>カンバン</t>
    </rPh>
    <rPh sb="31" eb="32">
      <t>イ</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</si>
  <si>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</si>
  <si>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t>　私は、とっとり住まいる支援事業補助金交付要綱を熟読し、交付申請（実績報告）内容について下記のとおり確認しました。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4" eb="26">
      <t>ジュクドク</t>
    </rPh>
    <rPh sb="28" eb="30">
      <t>コウフ</t>
    </rPh>
    <rPh sb="30" eb="32">
      <t>シンセイ</t>
    </rPh>
    <rPh sb="33" eb="35">
      <t>ジッセキ</t>
    </rPh>
    <rPh sb="35" eb="37">
      <t>ホウコク</t>
    </rPh>
    <rPh sb="38" eb="40">
      <t>ナイヨウ</t>
    </rPh>
    <phoneticPr fontId="1"/>
  </si>
  <si>
    <t>要綱を熟読し、補助対象要件を確認した。</t>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</si>
  <si>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</si>
  <si>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過去に環境にやさしい木の住まい建設等資金補助金若しくは本事業の助成を受けていない住宅又は当該補助金を受けた住宅で助成（額の確定日）から10年以上が経過していること。</t>
    <rPh sb="0" eb="2">
      <t>カコ</t>
    </rPh>
    <rPh sb="3" eb="5">
      <t>カンキョウ</t>
    </rPh>
    <rPh sb="10" eb="11">
      <t>キ</t>
    </rPh>
    <rPh sb="12" eb="13">
      <t>ス</t>
    </rPh>
    <rPh sb="15" eb="18">
      <t>ケンセツナド</t>
    </rPh>
    <rPh sb="18" eb="20">
      <t>シキン</t>
    </rPh>
    <rPh sb="20" eb="23">
      <t>ホジョキン</t>
    </rPh>
    <rPh sb="23" eb="24">
      <t>モ</t>
    </rPh>
    <rPh sb="27" eb="28">
      <t>ホン</t>
    </rPh>
    <rPh sb="28" eb="30">
      <t>ジギョウ</t>
    </rPh>
    <rPh sb="31" eb="33">
      <t>ジョセイ</t>
    </rPh>
    <rPh sb="34" eb="35">
      <t>ウ</t>
    </rPh>
    <rPh sb="40" eb="42">
      <t>ジュウタク</t>
    </rPh>
    <rPh sb="42" eb="43">
      <t>マタ</t>
    </rPh>
    <rPh sb="44" eb="46">
      <t>トウガイ</t>
    </rPh>
    <rPh sb="46" eb="49">
      <t>ホジョキン</t>
    </rPh>
    <rPh sb="50" eb="51">
      <t>ウ</t>
    </rPh>
    <rPh sb="53" eb="55">
      <t>ジュウタク</t>
    </rPh>
    <rPh sb="56" eb="58">
      <t>ジョセイ</t>
    </rPh>
    <rPh sb="59" eb="60">
      <t>ガク</t>
    </rPh>
    <rPh sb="61" eb="64">
      <t>カクテイビ</t>
    </rPh>
    <rPh sb="69" eb="70">
      <t>ネン</t>
    </rPh>
    <rPh sb="70" eb="72">
      <t>イジョウ</t>
    </rPh>
    <rPh sb="73" eb="75">
      <t>ケイカ</t>
    </rPh>
    <phoneticPr fontId="1"/>
  </si>
  <si>
    <r>
      <t>珪藻土塗その他のこて塗仕上げで</t>
    </r>
    <r>
      <rPr>
        <sz val="11"/>
        <color rgb="FFFF0000"/>
        <rFont val="ＭＳ Ｐ明朝"/>
        <family val="1"/>
        <charset val="128"/>
      </rPr>
      <t>7m2以上施工</t>
    </r>
    <rPh sb="18" eb="20">
      <t>イジョウ</t>
    </rPh>
    <rPh sb="20" eb="22">
      <t>セコウ</t>
    </rPh>
    <phoneticPr fontId="1"/>
  </si>
  <si>
    <t>こて塗り面積１m2あたり13,000円を支援する。（1m2未満切捨て）</t>
    <rPh sb="2" eb="3">
      <t>ヌ</t>
    </rPh>
    <rPh sb="4" eb="6">
      <t>メンセキ</t>
    </rPh>
    <rPh sb="18" eb="19">
      <t>エン</t>
    </rPh>
    <rPh sb="20" eb="22">
      <t>シエン</t>
    </rPh>
    <phoneticPr fontId="1"/>
  </si>
  <si>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</si>
  <si>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次の（１）（２）（３）のいずれかに該当すること。</t>
    <rPh sb="0" eb="1">
      <t>ツギ</t>
    </rPh>
    <rPh sb="17" eb="19">
      <t>ガイトウ</t>
    </rPh>
    <phoneticPr fontId="1"/>
  </si>
  <si>
    <t>（１） ①②③④の全てに該当</t>
    <rPh sb="9" eb="10">
      <t>スベ</t>
    </rPh>
    <rPh sb="12" eb="14">
      <t>ガイトウ</t>
    </rPh>
    <phoneticPr fontId="1"/>
  </si>
  <si>
    <t>（２） ①②⑤の全てに該当</t>
    <rPh sb="8" eb="9">
      <t>スベ</t>
    </rPh>
    <rPh sb="11" eb="13">
      <t>ガイトウ</t>
    </rPh>
    <phoneticPr fontId="1"/>
  </si>
  <si>
    <t>（３） ②⑥の両方に該当</t>
    <rPh sb="7" eb="9">
      <t>リョウホウ</t>
    </rPh>
    <rPh sb="10" eb="12">
      <t>ガイトウ</t>
    </rPh>
    <phoneticPr fontId="1"/>
  </si>
  <si>
    <t>工事監理者氏名</t>
  </si>
  <si>
    <t>＜実績報告時の提出書類＞各伝統技能に係る面積等の算出過程及び結果並びに使用場所がわかる立面図、展開図等の書類</t>
    <phoneticPr fontId="1"/>
  </si>
  <si>
    <t>とっとり住まいる支援事業建設等報告書【改修用】</t>
    <rPh sb="4" eb="5">
      <t>ス</t>
    </rPh>
    <rPh sb="8" eb="12">
      <t>シエンジギョウ</t>
    </rPh>
    <rPh sb="12" eb="14">
      <t>ケンセツ</t>
    </rPh>
    <rPh sb="14" eb="15">
      <t>トウ</t>
    </rPh>
    <rPh sb="15" eb="17">
      <t>ホウコク</t>
    </rPh>
    <rPh sb="17" eb="18">
      <t>ショ</t>
    </rPh>
    <rPh sb="19" eb="21">
      <t>カイシュウ</t>
    </rPh>
    <rPh sb="21" eb="22">
      <t>ヨウ</t>
    </rPh>
    <phoneticPr fontId="1"/>
  </si>
  <si>
    <t>実績報告用</t>
    <rPh sb="0" eb="2">
      <t>ジッセキ</t>
    </rPh>
    <rPh sb="2" eb="5">
      <t>ホウコクヨウ</t>
    </rPh>
    <phoneticPr fontId="1"/>
  </si>
  <si>
    <t>とっとり住まいる支援事業補助金　実績報告書</t>
    <rPh sb="4" eb="5">
      <t>ス</t>
    </rPh>
    <rPh sb="8" eb="15">
      <t>シエンジギョウホジョキン</t>
    </rPh>
    <rPh sb="16" eb="18">
      <t>ジッセキ</t>
    </rPh>
    <rPh sb="18" eb="21">
      <t>ホウコクショ</t>
    </rPh>
    <phoneticPr fontId="1"/>
  </si>
  <si>
    <t>とっとり住まいる支援事業建設等報告書【改修用】</t>
    <rPh sb="12" eb="14">
      <t>ケンセツ</t>
    </rPh>
    <rPh sb="14" eb="15">
      <t>ナド</t>
    </rPh>
    <rPh sb="15" eb="17">
      <t>ホウコク</t>
    </rPh>
    <rPh sb="19" eb="21">
      <t>カイシュウ</t>
    </rPh>
    <phoneticPr fontId="1"/>
  </si>
  <si>
    <t>完成写真及び口座振替依頼書</t>
    <rPh sb="0" eb="2">
      <t>カンセイ</t>
    </rPh>
    <rPh sb="2" eb="4">
      <t>シャシン</t>
    </rPh>
    <rPh sb="4" eb="5">
      <t>オヨ</t>
    </rPh>
    <rPh sb="6" eb="8">
      <t>コウザ</t>
    </rPh>
    <rPh sb="8" eb="10">
      <t>フリカエ</t>
    </rPh>
    <rPh sb="10" eb="13">
      <t>イライショ</t>
    </rPh>
    <phoneticPr fontId="1"/>
  </si>
  <si>
    <t>県産材の産地証明書の写し</t>
    <rPh sb="0" eb="3">
      <t>ケンサンザイ</t>
    </rPh>
    <rPh sb="4" eb="6">
      <t>サンチ</t>
    </rPh>
    <rPh sb="6" eb="9">
      <t>ショウメイショ</t>
    </rPh>
    <rPh sb="10" eb="11">
      <t>ウツ</t>
    </rPh>
    <phoneticPr fontId="1"/>
  </si>
  <si>
    <t>あなたが補助金実績報告で提出する書類は次のとおりです。</t>
    <rPh sb="4" eb="7">
      <t>ホジョキン</t>
    </rPh>
    <rPh sb="7" eb="9">
      <t>ジッセキ</t>
    </rPh>
    <rPh sb="9" eb="11">
      <t>ホウコク</t>
    </rPh>
    <rPh sb="12" eb="14">
      <t>テイシュツ</t>
    </rPh>
    <rPh sb="16" eb="18">
      <t>ショルイ</t>
    </rPh>
    <rPh sb="19" eb="20">
      <t>ツギ</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</si>
  <si>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phoneticPr fontId="1"/>
  </si>
  <si>
    <t>・とっとり住まいる支援事業建設等報告書（様式第６号の２）</t>
    <rPh sb="16" eb="18">
      <t>ホウコク</t>
    </rPh>
    <phoneticPr fontId="1"/>
  </si>
  <si>
    <t>とっとり住まいる支援事業補助金実績報告書</t>
    <rPh sb="4" eb="5">
      <t>ス</t>
    </rPh>
    <rPh sb="8" eb="12">
      <t>シエンジギョウ</t>
    </rPh>
    <rPh sb="12" eb="15">
      <t>ホジョキン</t>
    </rPh>
    <rPh sb="15" eb="17">
      <t>ジッセキ</t>
    </rPh>
    <rPh sb="17" eb="20">
      <t>ホウコクショ</t>
    </rPh>
    <phoneticPr fontId="1"/>
  </si>
  <si>
    <t>　令和　　年　　月　　日付第　　　　　　　　号による交付決定に係る事業の実績について、鳥取県補助金等交付規則第17条第１項の規定により、下記のとおり報告します。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1" eb="32">
      <t>カカ</t>
    </rPh>
    <rPh sb="33" eb="35">
      <t>ジギョウ</t>
    </rPh>
    <rPh sb="36" eb="38">
      <t>ジッセキ</t>
    </rPh>
    <rPh sb="43" eb="46">
      <t>トットリケン</t>
    </rPh>
    <rPh sb="46" eb="49">
      <t>ホジョキン</t>
    </rPh>
    <rPh sb="49" eb="50">
      <t>ナド</t>
    </rPh>
    <rPh sb="50" eb="52">
      <t>コウフ</t>
    </rPh>
    <rPh sb="52" eb="54">
      <t>キソク</t>
    </rPh>
    <rPh sb="54" eb="55">
      <t>ダイ</t>
    </rPh>
    <rPh sb="57" eb="58">
      <t>ジョウ</t>
    </rPh>
    <rPh sb="58" eb="59">
      <t>ダイ</t>
    </rPh>
    <rPh sb="60" eb="61">
      <t>コウ</t>
    </rPh>
    <rPh sb="62" eb="64">
      <t>キテイ</t>
    </rPh>
    <rPh sb="68" eb="70">
      <t>カキ</t>
    </rPh>
    <rPh sb="74" eb="76">
      <t>ホウコク</t>
    </rPh>
    <phoneticPr fontId="1"/>
  </si>
  <si>
    <t>交付決定額</t>
    <rPh sb="0" eb="2">
      <t>コウフ</t>
    </rPh>
    <rPh sb="2" eb="5">
      <t>ケッテイガク</t>
    </rPh>
    <phoneticPr fontId="1"/>
  </si>
  <si>
    <t>補助金等の名称</t>
    <rPh sb="0" eb="2">
      <t>ホジョ</t>
    </rPh>
    <rPh sb="2" eb="3">
      <t>キン</t>
    </rPh>
    <rPh sb="3" eb="4">
      <t>トウ</t>
    </rPh>
    <rPh sb="5" eb="7">
      <t>メイショウ</t>
    </rPh>
    <phoneticPr fontId="1"/>
  </si>
  <si>
    <t>交付決定</t>
    <rPh sb="0" eb="2">
      <t>コウフ</t>
    </rPh>
    <rPh sb="2" eb="4">
      <t>ケッテイ</t>
    </rPh>
    <phoneticPr fontId="1"/>
  </si>
  <si>
    <t>様式第３号（第17条関係）</t>
    <rPh sb="0" eb="2">
      <t>ヨウシキ</t>
    </rPh>
    <rPh sb="2" eb="3">
      <t>ダイ</t>
    </rPh>
    <rPh sb="4" eb="5">
      <t>ゴウ</t>
    </rPh>
    <rPh sb="6" eb="7">
      <t>ダイ</t>
    </rPh>
    <rPh sb="9" eb="10">
      <t>ジョウ</t>
    </rPh>
    <rPh sb="10" eb="12">
      <t>カンケイ</t>
    </rPh>
    <phoneticPr fontId="1"/>
  </si>
  <si>
    <t>実　　績</t>
    <rPh sb="0" eb="1">
      <t>ジツ</t>
    </rPh>
    <rPh sb="3" eb="4">
      <t>イサオ</t>
    </rPh>
    <phoneticPr fontId="1"/>
  </si>
  <si>
    <t>差　　額</t>
    <rPh sb="0" eb="1">
      <t>サ</t>
    </rPh>
    <rPh sb="3" eb="4">
      <t>ガク</t>
    </rPh>
    <phoneticPr fontId="1"/>
  </si>
  <si>
    <r>
      <t>交付決定通知書、額の確定通知書等の県が交付する文書の送付先　</t>
    </r>
    <r>
      <rPr>
        <sz val="9"/>
        <color theme="1"/>
        <rFont val="ＭＳ Ｐ明朝"/>
        <family val="1"/>
        <charset val="128"/>
      </rPr>
      <t>（申請者と同じ場合は記載不要）</t>
    </r>
    <rPh sb="0" eb="2">
      <t>コウフ</t>
    </rPh>
    <rPh sb="2" eb="4">
      <t>ケッテイ</t>
    </rPh>
    <rPh sb="4" eb="6">
      <t>ツウチ</t>
    </rPh>
    <rPh sb="6" eb="7">
      <t>ショ</t>
    </rPh>
    <rPh sb="8" eb="9">
      <t>ガク</t>
    </rPh>
    <rPh sb="10" eb="12">
      <t>カクテイ</t>
    </rPh>
    <rPh sb="12" eb="14">
      <t>ツウチ</t>
    </rPh>
    <rPh sb="14" eb="15">
      <t>ショ</t>
    </rPh>
    <rPh sb="15" eb="16">
      <t>トウ</t>
    </rPh>
    <rPh sb="17" eb="18">
      <t>ケン</t>
    </rPh>
    <rPh sb="19" eb="21">
      <t>コウフ</t>
    </rPh>
    <rPh sb="23" eb="25">
      <t>ブンショ</t>
    </rPh>
    <rPh sb="26" eb="28">
      <t>ソウフ</t>
    </rPh>
    <rPh sb="28" eb="29">
      <t>サキ</t>
    </rPh>
    <phoneticPr fontId="1"/>
  </si>
  <si>
    <r>
      <t>住所</t>
    </r>
    <r>
      <rPr>
        <sz val="8"/>
        <color theme="1"/>
        <rFont val="ＭＳ Ｐ明朝"/>
        <family val="1"/>
        <charset val="128"/>
      </rPr>
      <t xml:space="preserve">
（法人の場合は所在地）</t>
    </r>
    <rPh sb="0" eb="2">
      <t>ジュウショ</t>
    </rPh>
    <rPh sb="4" eb="6">
      <t>ホウジン</t>
    </rPh>
    <rPh sb="7" eb="9">
      <t>バアイ</t>
    </rPh>
    <rPh sb="10" eb="13">
      <t>ショザイチ</t>
    </rPh>
    <phoneticPr fontId="1"/>
  </si>
  <si>
    <r>
      <t>氏名</t>
    </r>
    <r>
      <rPr>
        <sz val="8"/>
        <color theme="1"/>
        <rFont val="ＭＳ Ｐ明朝"/>
        <family val="1"/>
        <charset val="128"/>
      </rPr>
      <t xml:space="preserve">
（法人の場合は名称・代表者）</t>
    </r>
    <rPh sb="0" eb="2">
      <t>シメイ</t>
    </rPh>
    <rPh sb="4" eb="6">
      <t>ホウジン</t>
    </rPh>
    <rPh sb="7" eb="9">
      <t>バアイ</t>
    </rPh>
    <rPh sb="10" eb="12">
      <t>メイショウ</t>
    </rPh>
    <rPh sb="13" eb="16">
      <t>ダイヒョウシャ</t>
    </rPh>
    <phoneticPr fontId="1"/>
  </si>
  <si>
    <t>（独）住宅金融支援機構の融資を受けている</t>
    <rPh sb="1" eb="2">
      <t>ドク</t>
    </rPh>
    <rPh sb="3" eb="5">
      <t>ジュウタク</t>
    </rPh>
    <rPh sb="5" eb="7">
      <t>キンユウ</t>
    </rPh>
    <rPh sb="7" eb="9">
      <t>シエン</t>
    </rPh>
    <rPh sb="9" eb="11">
      <t>キコウ</t>
    </rPh>
    <rPh sb="12" eb="14">
      <t>ユウシ</t>
    </rPh>
    <rPh sb="15" eb="16">
      <t>ウ</t>
    </rPh>
    <phoneticPr fontId="1"/>
  </si>
  <si>
    <t>回答選択</t>
    <rPh sb="0" eb="2">
      <t>カイトウ</t>
    </rPh>
    <rPh sb="2" eb="4">
      <t>センタク</t>
    </rPh>
    <phoneticPr fontId="1"/>
  </si>
  <si>
    <t>　令和　　年　　月　　日付第　　　　　　　　号による交付決定及び令和　年　月　日第　　　　　　号による変更承認に係る事業の実績について、鳥取県補助金等交付規則第17条第１項の規定により、下記のとおり報告します。</t>
    <rPh sb="1" eb="3">
      <t>レイワ</t>
    </rPh>
    <rPh sb="5" eb="6">
      <t>ネン</t>
    </rPh>
    <rPh sb="8" eb="9">
      <t>ガツ</t>
    </rPh>
    <rPh sb="11" eb="12">
      <t>ニチ</t>
    </rPh>
    <rPh sb="12" eb="13">
      <t>ヅ</t>
    </rPh>
    <rPh sb="13" eb="14">
      <t>ダイ</t>
    </rPh>
    <rPh sb="22" eb="23">
      <t>ゴウ</t>
    </rPh>
    <rPh sb="26" eb="28">
      <t>コウフ</t>
    </rPh>
    <rPh sb="28" eb="30">
      <t>ケッテイ</t>
    </rPh>
    <rPh sb="30" eb="31">
      <t>オヨ</t>
    </rPh>
    <rPh sb="32" eb="34">
      <t>レイワ</t>
    </rPh>
    <rPh sb="35" eb="36">
      <t>ネン</t>
    </rPh>
    <rPh sb="37" eb="38">
      <t>ガツ</t>
    </rPh>
    <rPh sb="39" eb="40">
      <t>ニチ</t>
    </rPh>
    <rPh sb="40" eb="41">
      <t>ダイ</t>
    </rPh>
    <rPh sb="47" eb="48">
      <t>ゴウ</t>
    </rPh>
    <rPh sb="51" eb="53">
      <t>ヘンコウ</t>
    </rPh>
    <rPh sb="53" eb="55">
      <t>ショウニン</t>
    </rPh>
    <rPh sb="56" eb="57">
      <t>カカ</t>
    </rPh>
    <rPh sb="58" eb="60">
      <t>ジギョウ</t>
    </rPh>
    <rPh sb="61" eb="63">
      <t>ジッセキ</t>
    </rPh>
    <rPh sb="68" eb="71">
      <t>トットリケン</t>
    </rPh>
    <rPh sb="71" eb="74">
      <t>ホジョキン</t>
    </rPh>
    <rPh sb="74" eb="75">
      <t>ナド</t>
    </rPh>
    <rPh sb="75" eb="77">
      <t>コウフ</t>
    </rPh>
    <rPh sb="77" eb="79">
      <t>キソク</t>
    </rPh>
    <rPh sb="79" eb="80">
      <t>ダイ</t>
    </rPh>
    <rPh sb="82" eb="83">
      <t>ジョウ</t>
    </rPh>
    <rPh sb="83" eb="84">
      <t>ダイ</t>
    </rPh>
    <rPh sb="85" eb="86">
      <t>コウ</t>
    </rPh>
    <rPh sb="87" eb="89">
      <t>キテイ</t>
    </rPh>
    <rPh sb="93" eb="95">
      <t>カキ</t>
    </rPh>
    <rPh sb="99" eb="101">
      <t>ホウコク</t>
    </rPh>
    <phoneticPr fontId="1"/>
  </si>
  <si>
    <t>←この欄で該当するものを選択</t>
    <rPh sb="3" eb="4">
      <t>ラン</t>
    </rPh>
    <rPh sb="5" eb="7">
      <t>ガイトウ</t>
    </rPh>
    <rPh sb="12" eb="14">
      <t>センタク</t>
    </rPh>
    <phoneticPr fontId="1"/>
  </si>
  <si>
    <t>県産材</t>
    <rPh sb="0" eb="3">
      <t>ケンサンザイ</t>
    </rPh>
    <phoneticPr fontId="1"/>
  </si>
  <si>
    <t>伝統技能活用</t>
    <rPh sb="0" eb="2">
      <t>デントウ</t>
    </rPh>
    <rPh sb="2" eb="4">
      <t>ギノウ</t>
    </rPh>
    <rPh sb="4" eb="6">
      <t>カツヨウ</t>
    </rPh>
    <phoneticPr fontId="1"/>
  </si>
  <si>
    <t>子育て世帯等</t>
    <rPh sb="0" eb="2">
      <t>コソダ</t>
    </rPh>
    <rPh sb="3" eb="5">
      <t>セタイ</t>
    </rPh>
    <rPh sb="5" eb="6">
      <t>ナド</t>
    </rPh>
    <phoneticPr fontId="1"/>
  </si>
  <si>
    <t>三世代同居等世帯</t>
    <rPh sb="0" eb="1">
      <t>サン</t>
    </rPh>
    <rPh sb="1" eb="3">
      <t>セダイ</t>
    </rPh>
    <rPh sb="3" eb="5">
      <t>ドウキョ</t>
    </rPh>
    <rPh sb="5" eb="6">
      <t>ナド</t>
    </rPh>
    <rPh sb="6" eb="8">
      <t>セタイ</t>
    </rPh>
    <phoneticPr fontId="1"/>
  </si>
  <si>
    <t>交付対象経費</t>
    <rPh sb="0" eb="2">
      <t>コウフ</t>
    </rPh>
    <rPh sb="2" eb="4">
      <t>タイショウ</t>
    </rPh>
    <rPh sb="4" eb="6">
      <t>ケイヒ</t>
    </rPh>
    <phoneticPr fontId="1"/>
  </si>
  <si>
    <t>交付決定額</t>
    <rPh sb="0" eb="2">
      <t>コウフ</t>
    </rPh>
    <rPh sb="2" eb="5">
      <t>ケッテイガク</t>
    </rPh>
    <phoneticPr fontId="1"/>
  </si>
  <si>
    <t>実績報告額</t>
    <rPh sb="0" eb="2">
      <t>ジッセキ</t>
    </rPh>
    <rPh sb="2" eb="4">
      <t>ホウコク</t>
    </rPh>
    <rPh sb="4" eb="5">
      <t>ガク</t>
    </rPh>
    <phoneticPr fontId="1"/>
  </si>
  <si>
    <t>補助金</t>
    <rPh sb="0" eb="3">
      <t>ホジョキン</t>
    </rPh>
    <phoneticPr fontId="1"/>
  </si>
  <si>
    <t>算定基準額</t>
    <rPh sb="0" eb="2">
      <t>サンテイ</t>
    </rPh>
    <rPh sb="2" eb="5">
      <t>キジュンガク</t>
    </rPh>
    <phoneticPr fontId="1"/>
  </si>
  <si>
    <t>交付申請時の改修工事費</t>
    <rPh sb="0" eb="2">
      <t>コウフ</t>
    </rPh>
    <rPh sb="2" eb="5">
      <t>シンセイジ</t>
    </rPh>
    <rPh sb="6" eb="8">
      <t>カイシュウ</t>
    </rPh>
    <rPh sb="8" eb="11">
      <t>コウジヒ</t>
    </rPh>
    <phoneticPr fontId="1"/>
  </si>
  <si>
    <t>↑単位に注意</t>
    <rPh sb="1" eb="3">
      <t>タンイ</t>
    </rPh>
    <rPh sb="4" eb="6">
      <t>チュウイ</t>
    </rPh>
    <phoneticPr fontId="1"/>
  </si>
  <si>
    <t>実績報告時の改修工事費</t>
    <rPh sb="0" eb="2">
      <t>ジッセキ</t>
    </rPh>
    <rPh sb="2" eb="4">
      <t>ホウコク</t>
    </rPh>
    <rPh sb="4" eb="5">
      <t>ジ</t>
    </rPh>
    <rPh sb="6" eb="8">
      <t>カイシュウ</t>
    </rPh>
    <rPh sb="8" eb="11">
      <t>コウジヒ</t>
    </rPh>
    <phoneticPr fontId="1"/>
  </si>
  <si>
    <t>交付決定額と実績報告額の比較結果</t>
    <rPh sb="0" eb="2">
      <t>コウフ</t>
    </rPh>
    <rPh sb="2" eb="5">
      <t>ケッテイガク</t>
    </rPh>
    <rPh sb="6" eb="8">
      <t>ジッセキ</t>
    </rPh>
    <rPh sb="8" eb="10">
      <t>ホウコク</t>
    </rPh>
    <rPh sb="10" eb="11">
      <t>ガク</t>
    </rPh>
    <rPh sb="12" eb="14">
      <t>ヒカク</t>
    </rPh>
    <rPh sb="14" eb="16">
      <t>ケッカ</t>
    </rPh>
    <phoneticPr fontId="1"/>
  </si>
  <si>
    <r>
      <rPr>
        <sz val="11"/>
        <color rgb="FF0000FF"/>
        <rFont val="ＭＳ 明朝"/>
        <family val="1"/>
        <charset val="128"/>
      </rPr>
      <t>青の欄のみ入力</t>
    </r>
    <r>
      <rPr>
        <sz val="11"/>
        <color theme="1"/>
        <rFont val="ＭＳ 明朝"/>
        <family val="1"/>
        <charset val="128"/>
      </rPr>
      <t>、黄色の欄は自動計算</t>
    </r>
    <rPh sb="0" eb="1">
      <t>アオ</t>
    </rPh>
    <rPh sb="2" eb="3">
      <t>ラン</t>
    </rPh>
    <rPh sb="5" eb="7">
      <t>ニュウリョク</t>
    </rPh>
    <rPh sb="8" eb="10">
      <t>キイロ</t>
    </rPh>
    <rPh sb="11" eb="12">
      <t>ラン</t>
    </rPh>
    <rPh sb="13" eb="15">
      <t>ジドウ</t>
    </rPh>
    <rPh sb="15" eb="17">
      <t>ケイサン</t>
    </rPh>
    <phoneticPr fontId="1"/>
  </si>
  <si>
    <t>いいえ</t>
  </si>
  <si>
    <t>↑単位に注意　万円単位で入力してください（200万円→200で入力、90万3千円→90.3で入力）</t>
    <rPh sb="1" eb="3">
      <t>タンイ</t>
    </rPh>
    <rPh sb="4" eb="6">
      <t>チュウイ</t>
    </rPh>
    <rPh sb="7" eb="9">
      <t>マンエン</t>
    </rPh>
    <rPh sb="9" eb="11">
      <t>タンイ</t>
    </rPh>
    <rPh sb="12" eb="14">
      <t>ニュウリョク</t>
    </rPh>
    <rPh sb="24" eb="26">
      <t>マンエン</t>
    </rPh>
    <rPh sb="31" eb="33">
      <t>ニュウリョク</t>
    </rPh>
    <rPh sb="36" eb="37">
      <t>マン</t>
    </rPh>
    <rPh sb="38" eb="40">
      <t>センエン</t>
    </rPh>
    <rPh sb="46" eb="48">
      <t>ニュウリョク</t>
    </rPh>
    <phoneticPr fontId="1"/>
  </si>
  <si>
    <t>実績報告（事業報告書から自動計算）</t>
    <rPh sb="0" eb="2">
      <t>ジッセキ</t>
    </rPh>
    <rPh sb="2" eb="4">
      <t>ホウコク</t>
    </rPh>
    <rPh sb="5" eb="7">
      <t>ジギョウ</t>
    </rPh>
    <rPh sb="7" eb="10">
      <t>ホウコクショ</t>
    </rPh>
    <rPh sb="12" eb="14">
      <t>ジドウ</t>
    </rPh>
    <rPh sb="14" eb="16">
      <t>ケイサン</t>
    </rPh>
    <phoneticPr fontId="1"/>
  </si>
  <si>
    <t>交付決定通知（変更を行った場合は変更承認通知）記載の額を入力してください（０円も入力、空白不可）。</t>
    <rPh sb="0" eb="2">
      <t>コウフ</t>
    </rPh>
    <rPh sb="2" eb="4">
      <t>ケッテイ</t>
    </rPh>
    <rPh sb="4" eb="6">
      <t>ツウチ</t>
    </rPh>
    <rPh sb="7" eb="9">
      <t>ヘンコウ</t>
    </rPh>
    <rPh sb="10" eb="11">
      <t>オコナ</t>
    </rPh>
    <rPh sb="13" eb="15">
      <t>バアイ</t>
    </rPh>
    <rPh sb="16" eb="18">
      <t>ヘンコウ</t>
    </rPh>
    <rPh sb="18" eb="20">
      <t>ショウニン</t>
    </rPh>
    <rPh sb="20" eb="22">
      <t>ツウチ</t>
    </rPh>
    <rPh sb="23" eb="25">
      <t>キサイ</t>
    </rPh>
    <rPh sb="26" eb="27">
      <t>ガク</t>
    </rPh>
    <rPh sb="28" eb="30">
      <t>ニュウリョク</t>
    </rPh>
    <rPh sb="38" eb="39">
      <t>エン</t>
    </rPh>
    <rPh sb="40" eb="42">
      <t>ニュウリョク</t>
    </rPh>
    <rPh sb="43" eb="45">
      <t>クウハク</t>
    </rPh>
    <rPh sb="45" eb="47">
      <t>フカ</t>
    </rPh>
    <phoneticPr fontId="1"/>
  </si>
  <si>
    <t>変更承認を受けている場合は、以下のAA19の内容をA17にコピペしてください。</t>
    <rPh sb="0" eb="2">
      <t>ヘンコウ</t>
    </rPh>
    <rPh sb="2" eb="4">
      <t>ショウニン</t>
    </rPh>
    <rPh sb="5" eb="6">
      <t>ウ</t>
    </rPh>
    <rPh sb="10" eb="12">
      <t>バアイ</t>
    </rPh>
    <rPh sb="14" eb="16">
      <t>イカ</t>
    </rPh>
    <rPh sb="22" eb="24">
      <t>ナイヨウ</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</si>
  <si>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</si>
  <si>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</si>
  <si>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</si>
  <si>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</si>
  <si>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その他</t>
    <rPh sb="2" eb="3">
      <t>タ</t>
    </rPh>
    <phoneticPr fontId="1"/>
  </si>
  <si>
    <t>・</t>
    <phoneticPr fontId="1"/>
  </si>
  <si>
    <t>地域型グリーン化住宅事業の補助対象経費に含む</t>
    <rPh sb="13" eb="15">
      <t>ホジョ</t>
    </rPh>
    <rPh sb="15" eb="17">
      <t>タイショウ</t>
    </rPh>
    <rPh sb="17" eb="19">
      <t>ケイヒ</t>
    </rPh>
    <rPh sb="20" eb="21">
      <t>フク</t>
    </rPh>
    <phoneticPr fontId="1"/>
  </si>
  <si>
    <t>地域型グリーン化住宅事業の補助対象経費に含まない</t>
    <rPh sb="13" eb="15">
      <t>ホジョ</t>
    </rPh>
    <rPh sb="15" eb="17">
      <t>タイショウ</t>
    </rPh>
    <rPh sb="17" eb="19">
      <t>ケイヒ</t>
    </rPh>
    <rPh sb="20" eb="21">
      <t>フク</t>
    </rPh>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</si>
  <si>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</si>
  <si>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r>
      <t xml:space="preserve">・補助対象住宅に転居後の世帯全員の住民票
</t>
    </r>
    <r>
      <rPr>
        <sz val="9"/>
        <color rgb="FFFF0000"/>
        <rFont val="ＭＳ Ｐ明朝"/>
        <family val="1"/>
        <charset val="128"/>
      </rPr>
      <t>　（続柄及び転居前の住所が記載されたもの）</t>
    </r>
    <phoneticPr fontId="1"/>
  </si>
  <si>
    <t>・申請者の戸籍抄本又は戸籍謄本</t>
    <rPh sb="1" eb="3">
      <t>シンセイ</t>
    </rPh>
    <rPh sb="3" eb="4">
      <t>シャ</t>
    </rPh>
    <rPh sb="5" eb="7">
      <t>コセキ</t>
    </rPh>
    <rPh sb="7" eb="9">
      <t>ショウホン</t>
    </rPh>
    <rPh sb="9" eb="10">
      <t>マタ</t>
    </rPh>
    <rPh sb="11" eb="13">
      <t>コセキ</t>
    </rPh>
    <rPh sb="13" eb="15">
      <t>トウホン</t>
    </rPh>
    <phoneticPr fontId="1"/>
  </si>
  <si>
    <t>・同居又は近居する直系親族世帯全員の住民票の写し　（補助対象住宅に転居後のもの）</t>
    <rPh sb="1" eb="3">
      <t>ドウキョ</t>
    </rPh>
    <rPh sb="3" eb="4">
      <t>マタ</t>
    </rPh>
    <rPh sb="5" eb="7">
      <t>キンキョ</t>
    </rPh>
    <rPh sb="9" eb="11">
      <t>チョッケイ</t>
    </rPh>
    <rPh sb="11" eb="13">
      <t>シンゾク</t>
    </rPh>
    <rPh sb="13" eb="15">
      <t>セタイ</t>
    </rPh>
    <rPh sb="15" eb="17">
      <t>ゼンイン</t>
    </rPh>
    <rPh sb="18" eb="21">
      <t>ジュウミンヒョウ</t>
    </rPh>
    <rPh sb="22" eb="23">
      <t>ウツ</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</si>
  <si>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</si>
  <si>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増改築</t>
    <rPh sb="0" eb="3">
      <t>ゾウカイチク</t>
    </rPh>
    <phoneticPr fontId="1"/>
  </si>
  <si>
    <t>車庫、物置、木塀等の工事</t>
    <rPh sb="0" eb="2">
      <t>シャコ</t>
    </rPh>
    <rPh sb="3" eb="5">
      <t>モノオキ</t>
    </rPh>
    <rPh sb="6" eb="7">
      <t>モク</t>
    </rPh>
    <rPh sb="7" eb="8">
      <t>ベイ</t>
    </rPh>
    <rPh sb="8" eb="9">
      <t>ナド</t>
    </rPh>
    <rPh sb="10" eb="12">
      <t>コウジ</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</si>
  <si>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</si>
  <si>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t>（実績報告時）交付申請時からの改修部分の図面、配置図の変更がある。</t>
    <rPh sb="1" eb="3">
      <t>ジッセキ</t>
    </rPh>
    <rPh sb="3" eb="5">
      <t>ホウコク</t>
    </rPh>
    <rPh sb="5" eb="6">
      <t>ジ</t>
    </rPh>
    <rPh sb="7" eb="9">
      <t>コウフ</t>
    </rPh>
    <rPh sb="9" eb="11">
      <t>シンセイ</t>
    </rPh>
    <rPh sb="11" eb="12">
      <t>ジ</t>
    </rPh>
    <rPh sb="15" eb="17">
      <t>カイシュウ</t>
    </rPh>
    <rPh sb="17" eb="19">
      <t>ブブン</t>
    </rPh>
    <rPh sb="20" eb="22">
      <t>ズメン</t>
    </rPh>
    <rPh sb="23" eb="26">
      <t>ハイチズ</t>
    </rPh>
    <rPh sb="27" eb="29">
      <t>ヘンコウ</t>
    </rPh>
    <phoneticPr fontId="1"/>
  </si>
  <si>
    <t>姓</t>
    <rPh sb="0" eb="1">
      <t>セイ</t>
    </rPh>
    <phoneticPr fontId="1"/>
  </si>
  <si>
    <t>補助対象を同一とする県費を財源とする他の補助事業を利用していないこと。</t>
    <phoneticPr fontId="1"/>
  </si>
  <si>
    <t>当該改修工事は省エネ改修（Re NE-ST改修）を含む工事である。</t>
    <rPh sb="0" eb="4">
      <t>トウガイカイシュウ</t>
    </rPh>
    <rPh sb="4" eb="6">
      <t>コウジ</t>
    </rPh>
    <rPh sb="7" eb="8">
      <t>ショウ</t>
    </rPh>
    <rPh sb="10" eb="12">
      <t>カイシュウ</t>
    </rPh>
    <rPh sb="21" eb="23">
      <t>カイシュウ</t>
    </rPh>
    <rPh sb="25" eb="26">
      <t>フク</t>
    </rPh>
    <rPh sb="27" eb="29">
      <t>コウジ</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</si>
  <si>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</si>
  <si>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</si>
  <si>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</si>
  <si>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とっとり健康省エネ住宅改修支援事業補助金</t>
    <rPh sb="4" eb="6">
      <t>ケンコウ</t>
    </rPh>
    <rPh sb="6" eb="7">
      <t>ショウ</t>
    </rPh>
    <rPh sb="9" eb="11">
      <t>ジュウタク</t>
    </rPh>
    <rPh sb="11" eb="13">
      <t>カイシュウ</t>
    </rPh>
    <rPh sb="13" eb="15">
      <t>シエン</t>
    </rPh>
    <rPh sb="15" eb="17">
      <t>ジギョウ</t>
    </rPh>
    <rPh sb="17" eb="20">
      <t>ホジョキン</t>
    </rPh>
    <phoneticPr fontId="1"/>
  </si>
  <si>
    <t>鳥取県生活環境部住まいまちづくり課</t>
    <rPh sb="0" eb="3">
      <t>トットリケン</t>
    </rPh>
    <rPh sb="3" eb="5">
      <t>セイカツ</t>
    </rPh>
    <rPh sb="5" eb="8">
      <t>カンキョウブ</t>
    </rPh>
    <rPh sb="8" eb="9">
      <t>ス</t>
    </rPh>
    <rPh sb="16" eb="17">
      <t>カ</t>
    </rPh>
    <phoneticPr fontId="1"/>
  </si>
  <si>
    <t>0857-26-7398</t>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</si>
  <si>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</si>
  <si>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</si>
  <si>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</si>
  <si>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</si>
  <si>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21"/>
  </si>
  <si>
    <t>区分</t>
    <rPh sb="0" eb="2">
      <t>クブン</t>
    </rPh>
    <phoneticPr fontId="21"/>
  </si>
  <si>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</si>
  <si>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</si>
  <si>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電子申請利用
（実績報告）</t>
    <rPh sb="0" eb="4">
      <t>デンシシンセイ</t>
    </rPh>
    <rPh sb="4" eb="6">
      <t>リヨウ</t>
    </rPh>
    <rPh sb="8" eb="10">
      <t>ジッセキ</t>
    </rPh>
    <rPh sb="10" eb="12">
      <t>ホウコク</t>
    </rPh>
    <phoneticPr fontId="1"/>
  </si>
  <si>
    <t>交付申請日
（登録の場合は、登録申請日）</t>
    <phoneticPr fontId="1"/>
  </si>
  <si>
    <t>申請者</t>
    <rPh sb="0" eb="3">
      <t>シンセイシャ</t>
    </rPh>
    <phoneticPr fontId="21"/>
  </si>
  <si>
    <t>建設地</t>
    <rPh sb="0" eb="3">
      <t>ケンセツチ</t>
    </rPh>
    <phoneticPr fontId="21"/>
  </si>
  <si>
    <t>新築助成（予定）</t>
    <rPh sb="0" eb="2">
      <t>シンチク</t>
    </rPh>
    <rPh sb="2" eb="4">
      <t>ジョセイ</t>
    </rPh>
    <rPh sb="5" eb="7">
      <t>ヨテイ</t>
    </rPh>
    <phoneticPr fontId="21"/>
  </si>
  <si>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</si>
  <si>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</si>
  <si>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21"/>
  </si>
  <si>
    <t>交付（登録）決定</t>
    <rPh sb="0" eb="2">
      <t>コウフ</t>
    </rPh>
    <rPh sb="3" eb="5">
      <t>トウロク</t>
    </rPh>
    <rPh sb="6" eb="8">
      <t>ケッテイ</t>
    </rPh>
    <phoneticPr fontId="21"/>
  </si>
  <si>
    <t>業者名</t>
    <rPh sb="0" eb="2">
      <t>ギョウシャ</t>
    </rPh>
    <rPh sb="2" eb="3">
      <t>メイ</t>
    </rPh>
    <phoneticPr fontId="21"/>
  </si>
  <si>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</si>
  <si>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</si>
  <si>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</si>
  <si>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</si>
  <si>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</si>
  <si>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</si>
  <si>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補助金併用</t>
    <rPh sb="0" eb="3">
      <t>ホジョキン</t>
    </rPh>
    <rPh sb="3" eb="5">
      <t>ヘイヨウ</t>
    </rPh>
    <phoneticPr fontId="31"/>
  </si>
  <si>
    <t>省エネルギー性能</t>
    <rPh sb="0" eb="1">
      <t>ショウ</t>
    </rPh>
    <rPh sb="6" eb="8">
      <t>セイノウ</t>
    </rPh>
    <phoneticPr fontId="1"/>
  </si>
  <si>
    <t>新築助成（実績）</t>
    <rPh sb="0" eb="2">
      <t>シンチク</t>
    </rPh>
    <rPh sb="2" eb="4">
      <t>ジョセイ</t>
    </rPh>
    <rPh sb="5" eb="7">
      <t>ジッセキ</t>
    </rPh>
    <phoneticPr fontId="21"/>
  </si>
  <si>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</si>
  <si>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</si>
  <si>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21"/>
  </si>
  <si>
    <t>郵便番号</t>
    <rPh sb="0" eb="4">
      <t>ユウビンバンゴウ</t>
    </rPh>
    <phoneticPr fontId="31"/>
  </si>
  <si>
    <t>住所</t>
    <rPh sb="0" eb="2">
      <t>ジュウショ</t>
    </rPh>
    <phoneticPr fontId="31"/>
  </si>
  <si>
    <t>電話</t>
    <rPh sb="0" eb="2">
      <t>デンワ</t>
    </rPh>
    <phoneticPr fontId="21"/>
  </si>
  <si>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</si>
  <si>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21"/>
  </si>
  <si>
    <t>機械等級区分構造材</t>
    <rPh sb="0" eb="2">
      <t>キカイ</t>
    </rPh>
    <rPh sb="2" eb="4">
      <t>トウキュウ</t>
    </rPh>
    <rPh sb="4" eb="6">
      <t>クブン</t>
    </rPh>
    <rPh sb="6" eb="9">
      <t>コウゾウザイ</t>
    </rPh>
    <phoneticPr fontId="21"/>
  </si>
  <si>
    <t>県産ＣＬＴ材</t>
    <rPh sb="0" eb="2">
      <t>ケンサン</t>
    </rPh>
    <rPh sb="5" eb="6">
      <t>ザイ</t>
    </rPh>
    <phoneticPr fontId="21"/>
  </si>
  <si>
    <t>県産内外装材</t>
    <rPh sb="0" eb="2">
      <t>ケンサン</t>
    </rPh>
    <rPh sb="2" eb="5">
      <t>ナイガイソウ</t>
    </rPh>
    <rPh sb="5" eb="6">
      <t>ザイ</t>
    </rPh>
    <phoneticPr fontId="21"/>
  </si>
  <si>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</si>
  <si>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</si>
  <si>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21"/>
  </si>
  <si>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</si>
  <si>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</si>
  <si>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</si>
  <si>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21"/>
  </si>
  <si>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</si>
  <si>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</si>
  <si>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</si>
  <si>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</si>
  <si>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21"/>
  </si>
  <si>
    <t>支払済取下取消判定</t>
    <rPh sb="0" eb="2">
      <t>シハライ</t>
    </rPh>
    <rPh sb="2" eb="3">
      <t>ズ</t>
    </rPh>
    <rPh sb="3" eb="4">
      <t>ト</t>
    </rPh>
    <rPh sb="4" eb="5">
      <t>サ</t>
    </rPh>
    <rPh sb="5" eb="6">
      <t>ト</t>
    </rPh>
    <rPh sb="6" eb="7">
      <t>ケ</t>
    </rPh>
    <rPh sb="7" eb="9">
      <t>ハンテイ</t>
    </rPh>
    <phoneticPr fontId="1"/>
  </si>
  <si>
    <t>建売住宅の申請判定</t>
    <rPh sb="0" eb="2">
      <t>タテウリ</t>
    </rPh>
    <rPh sb="2" eb="4">
      <t>ジュウタク</t>
    </rPh>
    <rPh sb="5" eb="7">
      <t>シンセイ</t>
    </rPh>
    <rPh sb="7" eb="9">
      <t>ハンテイ</t>
    </rPh>
    <phoneticPr fontId="1"/>
  </si>
  <si>
    <t>選択式</t>
    <rPh sb="0" eb="2">
      <t>センタク</t>
    </rPh>
    <rPh sb="2" eb="3">
      <t>シキ</t>
    </rPh>
    <phoneticPr fontId="1"/>
  </si>
  <si>
    <r>
      <t>市町村名</t>
    </r>
    <r>
      <rPr>
        <sz val="10"/>
        <color rgb="FFFF0000"/>
        <rFont val="ＭＳ Ｐゴシック"/>
        <family val="3"/>
        <charset val="128"/>
        <scheme val="minor"/>
      </rPr>
      <t>（選択式）</t>
    </r>
    <rPh sb="0" eb="4">
      <t>シチョウソンメイ</t>
    </rPh>
    <rPh sb="5" eb="7">
      <t>センタク</t>
    </rPh>
    <rPh sb="7" eb="8">
      <t>シキ</t>
    </rPh>
    <phoneticPr fontId="3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</si>
  <si>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</si>
  <si>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</si>
  <si>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</si>
  <si>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</si>
  <si>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</si>
  <si>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CLT使用量
(m3)</t>
    <rPh sb="3" eb="6">
      <t>シヨウリョウ</t>
    </rPh>
    <phoneticPr fontId="31"/>
  </si>
  <si>
    <t>算出値
(千円)</t>
    <rPh sb="0" eb="2">
      <t>サンシュツ</t>
    </rPh>
    <rPh sb="2" eb="3">
      <t>チ</t>
    </rPh>
    <rPh sb="5" eb="7">
      <t>センエン</t>
    </rPh>
    <phoneticPr fontId="31"/>
  </si>
  <si>
    <t>補助金額</t>
    <rPh sb="0" eb="3">
      <t>ホジョキン</t>
    </rPh>
    <rPh sb="3" eb="4">
      <t>ガク</t>
    </rPh>
    <phoneticPr fontId="1"/>
  </si>
  <si>
    <t>内外装材使用量
(m3)</t>
    <rPh sb="0" eb="3">
      <t>ナイガイソウ</t>
    </rPh>
    <rPh sb="3" eb="4">
      <t>ザイ</t>
    </rPh>
    <rPh sb="4" eb="7">
      <t>シヨウリョウ</t>
    </rPh>
    <phoneticPr fontId="31"/>
  </si>
  <si>
    <t>18歳以下</t>
    <rPh sb="2" eb="3">
      <t>サイ</t>
    </rPh>
    <rPh sb="3" eb="5">
      <t>イカ</t>
    </rPh>
    <phoneticPr fontId="31"/>
  </si>
  <si>
    <t>18歳以下なしかつ婚姻10年</t>
    <rPh sb="2" eb="3">
      <t>サイ</t>
    </rPh>
    <rPh sb="3" eb="5">
      <t>イカ</t>
    </rPh>
    <rPh sb="9" eb="11">
      <t>コンイン</t>
    </rPh>
    <rPh sb="13" eb="14">
      <t>ネン</t>
    </rPh>
    <phoneticPr fontId="31"/>
  </si>
  <si>
    <t xml:space="preserve">有
</t>
    <rPh sb="0" eb="1">
      <t>ア</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</si>
  <si>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</si>
  <si>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</si>
  <si>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</si>
  <si>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</si>
  <si>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</si>
  <si>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</si>
  <si>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</si>
  <si>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</si>
  <si>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</si>
  <si>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</si>
  <si>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</si>
  <si>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</si>
  <si>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</si>
  <si>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</si>
  <si>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</si>
  <si>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</si>
  <si>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</si>
  <si>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</si>
  <si>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</si>
  <si>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</si>
  <si>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</si>
  <si>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</si>
  <si>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</si>
  <si>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</si>
  <si>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</si>
  <si>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21"/>
  </si>
  <si>
    <t>着工</t>
    <rPh sb="0" eb="2">
      <t>チャッコウ</t>
    </rPh>
    <phoneticPr fontId="21"/>
  </si>
  <si>
    <t>完成</t>
    <rPh sb="0" eb="2">
      <t>カンセイ</t>
    </rPh>
    <phoneticPr fontId="21"/>
  </si>
  <si>
    <t>日付</t>
    <rPh sb="0" eb="2">
      <t>ヒヅケ</t>
    </rPh>
    <phoneticPr fontId="21"/>
  </si>
  <si>
    <t>金額</t>
    <rPh sb="0" eb="2">
      <t>キンガク</t>
    </rPh>
    <phoneticPr fontId="21"/>
  </si>
  <si>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</si>
  <si>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</si>
  <si>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</si>
  <si>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</si>
  <si>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</si>
  <si>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</si>
  <si>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</si>
  <si>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</si>
  <si>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</si>
  <si>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</si>
  <si>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</si>
  <si>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</si>
  <si>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</si>
  <si>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補助金名</t>
    <phoneticPr fontId="1"/>
  </si>
  <si>
    <t>交付主体</t>
    <phoneticPr fontId="1"/>
  </si>
  <si>
    <r>
      <t>外皮平均熱貫流率(U</t>
    </r>
    <r>
      <rPr>
        <vertAlign val="subscript"/>
        <sz val="10"/>
        <rFont val="ＭＳ Ｐゴシック"/>
        <family val="3"/>
        <charset val="128"/>
        <scheme val="minor"/>
      </rPr>
      <t>A</t>
    </r>
    <r>
      <rPr>
        <sz val="10"/>
        <rFont val="ＭＳ Ｐゴシック"/>
        <family val="3"/>
        <charset val="128"/>
        <scheme val="minor"/>
      </rPr>
      <t>値)</t>
    </r>
    <rPh sb="0" eb="4">
      <t>ガイヒヘイキン</t>
    </rPh>
    <rPh sb="4" eb="8">
      <t>ネツカンリュウリツ</t>
    </rPh>
    <phoneticPr fontId="1"/>
  </si>
  <si>
    <r>
      <t>冷房期の平均日射熱取得率(η</t>
    </r>
    <r>
      <rPr>
        <vertAlign val="subscript"/>
        <sz val="10"/>
        <rFont val="ＭＳ Ｐゴシック"/>
        <family val="3"/>
        <charset val="128"/>
        <scheme val="minor"/>
      </rPr>
      <t>AC</t>
    </r>
    <r>
      <rPr>
        <sz val="10"/>
        <rFont val="ＭＳ Ｐゴシック"/>
        <family val="3"/>
        <charset val="128"/>
        <scheme val="minor"/>
      </rPr>
      <t>値)</t>
    </r>
    <phoneticPr fontId="1"/>
  </si>
  <si>
    <t>一次エネルギー消費量(BEI)</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</si>
  <si>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</si>
  <si>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</si>
  <si>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</si>
  <si>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</si>
  <si>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</si>
  <si>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</si>
  <si>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</si>
  <si>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</si>
  <si>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</si>
  <si>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</si>
  <si>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</si>
  <si>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</si>
  <si>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</si>
  <si>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</si>
  <si>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</si>
  <si>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</si>
  <si>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</si>
  <si>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21"/>
  </si>
  <si>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</si>
  <si>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</si>
  <si>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21"/>
  </si>
  <si>
    <t>実績減
（千円）</t>
    <rPh sb="0" eb="2">
      <t>ジッセキ</t>
    </rPh>
    <rPh sb="2" eb="3">
      <t>ゲン</t>
    </rPh>
    <rPh sb="5" eb="7">
      <t>センエン</t>
    </rPh>
    <phoneticPr fontId="21"/>
  </si>
  <si>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</si>
  <si>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</si>
  <si>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</si>
  <si>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</si>
  <si>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</si>
  <si>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</si>
  <si>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</si>
  <si>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</si>
  <si>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</si>
  <si>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月</t>
    <rPh sb="0" eb="1">
      <t>ガツ</t>
    </rPh>
    <phoneticPr fontId="1"/>
  </si>
  <si>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</si>
  <si>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</si>
  <si>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</si>
  <si>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</si>
  <si>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</si>
  <si>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</si>
  <si>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</si>
  <si>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</si>
  <si>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</si>
  <si>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</si>
  <si>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</si>
  <si>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</si>
  <si>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</si>
  <si>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</si>
  <si>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</si>
  <si>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</si>
  <si>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</si>
  <si>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</si>
  <si>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</si>
  <si>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</si>
  <si>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</si>
  <si>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</si>
  <si>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</si>
  <si>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</si>
  <si>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</si>
  <si>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</si>
  <si>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</si>
  <si>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</si>
  <si>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</si>
  <si>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</si>
  <si>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</si>
  <si>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</si>
  <si>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</si>
  <si>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
  </si>
  <si>
    <t>入力行</t>
    <rPh sb="0" eb="2">
      <t>ニュウリョク</t>
    </rPh>
    <rPh sb="2" eb="3">
      <t>ギョウ</t>
    </rPh>
    <phoneticPr fontId="1"/>
  </si>
  <si>
    <t>↑都道府県欄に全住所を一括掲載（R5の台帳からセル結合</t>
    <rPh sb="1" eb="5">
      <t>トドウフケン</t>
    </rPh>
    <rPh sb="5" eb="6">
      <t>ラン</t>
    </rPh>
    <rPh sb="7" eb="8">
      <t>ゼン</t>
    </rPh>
    <rPh sb="8" eb="10">
      <t>ジュウショ</t>
    </rPh>
    <rPh sb="11" eb="13">
      <t>イッカツ</t>
    </rPh>
    <rPh sb="13" eb="15">
      <t>ケイサイ</t>
    </rPh>
    <rPh sb="19" eb="21">
      <t>ダイチョウ</t>
    </rPh>
    <rPh sb="25" eb="27">
      <t>ケツゴウ</t>
    </rPh>
    <phoneticPr fontId="1"/>
  </si>
  <si>
    <t>合計</t>
    <rPh sb="0" eb="2">
      <t>ゴウケイ</t>
    </rPh>
    <phoneticPr fontId="1"/>
  </si>
  <si>
    <t>令和</t>
    <rPh sb="0" eb="2">
      <t>レイワ</t>
    </rPh>
    <phoneticPr fontId="1"/>
  </si>
  <si>
    <t>国補助事業『こどもエコすまい支援事業』の補助利用者である</t>
    <rPh sb="0" eb="5">
      <t>クニホジョジギョウ</t>
    </rPh>
    <rPh sb="20" eb="22">
      <t>ホジョ</t>
    </rPh>
    <rPh sb="22" eb="24">
      <t>リヨウ</t>
    </rPh>
    <rPh sb="24" eb="25">
      <t>シャ</t>
    </rPh>
    <phoneticPr fontId="1"/>
  </si>
  <si>
    <t>※併用する補助金をすべてを記入してください。</t>
    <rPh sb="1" eb="3">
      <t>ヘイヨウ</t>
    </rPh>
    <rPh sb="5" eb="8">
      <t>ホジョキン</t>
    </rPh>
    <rPh sb="13" eb="15">
      <t>キニュウ</t>
    </rPh>
    <phoneticPr fontId="1"/>
  </si>
  <si>
    <t>補助金の名称</t>
    <rPh sb="0" eb="3">
      <t>ホジョキン</t>
    </rPh>
    <rPh sb="4" eb="6">
      <t>メイショウ</t>
    </rPh>
    <phoneticPr fontId="1"/>
  </si>
  <si>
    <t>　私は、とっとり住まいる支援事業補助金交付要綱を熟読し、実績報告内容について上記のとおり確認しました。</t>
    <rPh sb="1" eb="2">
      <t>ワタシ</t>
    </rPh>
    <rPh sb="8" eb="9">
      <t>ス</t>
    </rPh>
    <rPh sb="12" eb="16">
      <t>シエンジギョウ</t>
    </rPh>
    <rPh sb="16" eb="19">
      <t>ホジョキン</t>
    </rPh>
    <rPh sb="19" eb="21">
      <t>コウフ</t>
    </rPh>
    <rPh sb="21" eb="23">
      <t>ヨウコウ</t>
    </rPh>
    <rPh sb="24" eb="26">
      <t>ジュクドク</t>
    </rPh>
    <rPh sb="28" eb="30">
      <t>ジッセキ</t>
    </rPh>
    <rPh sb="30" eb="32">
      <t>ホウコク</t>
    </rPh>
    <rPh sb="32" eb="34">
      <t>ナイヨウ</t>
    </rPh>
    <rPh sb="38" eb="39">
      <t>ウエ</t>
    </rPh>
    <phoneticPr fontId="1"/>
  </si>
  <si>
    <t>※こどもエコすまい支援事業の補助利用者にあっては０円となります</t>
    <phoneticPr fontId="1"/>
  </si>
  <si>
    <t>国補助利用者のうち、「地域型グリーン化事業」補助利用者である。</t>
    <rPh sb="11" eb="14">
      <t>チイキガタ</t>
    </rPh>
    <rPh sb="18" eb="19">
      <t>カ</t>
    </rPh>
    <rPh sb="19" eb="21">
      <t>ジギョウ</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</si>
  <si>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</si>
  <si>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増築</t>
  </si>
  <si>
    <t>令和5年度とっとり住まいる支援事業台帳</t>
    <rPh sb="0" eb="2">
      <t>レイワ</t>
    </rPh>
    <rPh sb="17" eb="19">
      <t>ダイチョウ</t>
    </rPh>
    <phoneticPr fontId="1"/>
  </si>
  <si>
    <t>✔</t>
  </si>
  <si>
    <t>〇</t>
  </si>
  <si>
    <t>→FC列から範囲選択でコピぺ（列全体をコピペしないこと！）</t>
    <rPh sb="3" eb="4">
      <t>レツ</t>
    </rPh>
    <rPh sb="6" eb="10">
      <t>ハンイセンタク</t>
    </rPh>
    <rPh sb="15" eb="18">
      <t>レツゼンタイ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</si>
</sst>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DBNum3][$-411]#,##0"/>
    <numFmt numFmtId="177" formatCode="[DBNum3][$-411]0"/>
    <numFmt numFmtId="178" formatCode="&quot;令和&quot;General"/>
    <numFmt numFmtId="179" formatCode="General&quot;m3&quot;"/>
    <numFmt numFmtId="180" formatCode="General&quot;m2&quot;"/>
    <numFmt numFmtId="181" formatCode="0.0_ "/>
    <numFmt numFmtId="182" formatCode="0.0_);[Red]\(0.0\)"/>
    <numFmt numFmtId="183" formatCode="0.0&quot;m3&quot;"/>
    <numFmt numFmtId="184" formatCode="&quot;金&quot;#,##0"/>
    <numFmt numFmtId="185" formatCode="0.00_ "/>
    <numFmt numFmtId="186" formatCode="[$-411]ge\.m\.d;@"/>
    <numFmt numFmtId="187" formatCode="0_ "/>
    <numFmt numFmtId="188" formatCode="#,##0_ "/>
    <numFmt numFmtId="189" formatCode="0.000"/>
  </numFmts>
  <fonts count="49"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4"/>
      <color theme="1"/>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FF0000"/>
      <name val="ＭＳ 明朝"/>
      <family val="1"/>
      <charset val="128"/>
    </font>
    <font>
      <sz val="9"/>
      <color rgb="FF0066FF"/>
      <name val="ＭＳ 明朝"/>
      <family val="1"/>
      <charset val="128"/>
    </font>
    <font>
      <sz val="11"/>
      <name val="ＭＳ Ｐ明朝"/>
      <family val="1"/>
      <charset val="128"/>
    </font>
    <font>
      <u/>
      <sz val="10"/>
      <color rgb="FF0066FF"/>
      <name val="ＭＳ 明朝"/>
      <family val="1"/>
      <charset val="128"/>
    </font>
    <font>
      <sz val="10"/>
      <color theme="1"/>
      <name val="ＭＳ 明朝"/>
      <family val="1"/>
      <charset val="128"/>
    </font>
    <font>
      <b/>
      <sz val="9"/>
      <color indexed="81"/>
      <name val="ＭＳ Ｐゴシック"/>
      <family val="3"/>
      <charset val="128"/>
    </font>
    <font>
      <sz val="12"/>
      <color theme="1"/>
      <name val="ＭＳ Ｐ明朝"/>
      <family val="1"/>
      <charset val="128"/>
    </font>
    <font>
      <sz val="11"/>
      <color theme="1"/>
      <name val="ＭＳ Ｐゴシック"/>
      <family val="2"/>
      <charset val="128"/>
      <scheme val="minor"/>
    </font>
    <font>
      <sz val="11"/>
      <color rgb="FF0000FF"/>
      <name val="ＭＳ Ｐ明朝"/>
      <family val="1"/>
      <charset val="128"/>
    </font>
    <font>
      <sz val="10.5"/>
      <color theme="1"/>
      <name val="ＭＳ Ｐ明朝"/>
      <family val="1"/>
      <charset val="128"/>
    </font>
    <font>
      <sz val="11"/>
      <color rgb="FFFFFF00"/>
      <name val="ＭＳ Ｐ明朝"/>
      <family val="1"/>
      <charset val="128"/>
    </font>
    <font>
      <sz val="11"/>
      <color rgb="FFFF0000"/>
      <name val="ＭＳ 明朝"/>
      <family val="1"/>
      <charset val="128"/>
    </font>
    <font>
      <sz val="11"/>
      <color theme="1"/>
      <name val="ＭＳ 明朝"/>
      <family val="1"/>
      <charset val="128"/>
    </font>
    <font>
      <sz val="11"/>
      <color rgb="FF0000FF"/>
      <name val="ＭＳ 明朝"/>
      <family val="1"/>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b/>
      <sz val="10"/>
      <color indexed="8"/>
      <name val="ＭＳ Ｐゴシック"/>
      <family val="3"/>
      <charset val="128"/>
    </font>
    <font>
      <sz val="8"/>
      <color rgb="FFFF0000"/>
      <name val="ＭＳ Ｐゴシック"/>
      <family val="3"/>
      <charset val="128"/>
      <scheme val="minor"/>
    </font>
    <font>
      <vertAlign val="subscript"/>
      <sz val="10"/>
      <name val="ＭＳ Ｐゴシック"/>
      <family val="3"/>
      <charset val="128"/>
      <scheme val="minor"/>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b/>
      <sz val="10"/>
      <color rgb="FFFF0000"/>
      <name val="ＭＳ Ｐゴシック"/>
      <family val="3"/>
      <charset val="128"/>
      <scheme val="minor"/>
    </font>
    <font>
      <sz val="11"/>
      <color theme="1"/>
      <name val="ＭＳ 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529">
    <xf numFmtId="0" fontId="0" fillId="0" borderId="0" xfId="0">
      <alignment vertical="center"/>
    </xf>
    <xf numFmtId="0" fontId="3" fillId="0" borderId="0" xfId="0" applyFont="1">
      <alignment vertical="center"/>
    </xf>
    <xf numFmtId="0" fontId="4" fillId="0" borderId="0" xfId="0" applyFont="1" applyAlignment="1">
      <alignment vertical="center"/>
    </xf>
    <xf numFmtId="0" fontId="3" fillId="0" borderId="0" xfId="0" applyFont="1" applyBorder="1">
      <alignment vertical="center"/>
    </xf>
    <xf numFmtId="0" fontId="3" fillId="3" borderId="0" xfId="0" applyFont="1" applyFill="1">
      <alignment vertical="center"/>
    </xf>
    <xf numFmtId="0" fontId="5" fillId="3" borderId="0" xfId="0" applyFont="1" applyFill="1">
      <alignment vertical="center"/>
    </xf>
    <xf numFmtId="0" fontId="3" fillId="0" borderId="0" xfId="0" applyFont="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6" xfId="0" applyFont="1" applyBorder="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3" fillId="0" borderId="1" xfId="0" applyFont="1" applyBorder="1">
      <alignment vertical="center"/>
    </xf>
    <xf numFmtId="0" fontId="3" fillId="0" borderId="3" xfId="0" applyFont="1" applyBorder="1">
      <alignment vertical="center"/>
    </xf>
    <xf numFmtId="0" fontId="7" fillId="0" borderId="0" xfId="0" applyFont="1" applyBorder="1" applyAlignment="1">
      <alignment horizontal="center" vertical="center"/>
    </xf>
    <xf numFmtId="0" fontId="7" fillId="0" borderId="0" xfId="0" applyFont="1">
      <alignment vertical="center"/>
    </xf>
    <xf numFmtId="0" fontId="2" fillId="0" borderId="0" xfId="0" applyFont="1">
      <alignment vertical="center"/>
    </xf>
    <xf numFmtId="0" fontId="8" fillId="3" borderId="0" xfId="0" applyFont="1" applyFill="1">
      <alignment vertical="center"/>
    </xf>
    <xf numFmtId="0" fontId="3" fillId="0" borderId="10" xfId="0" applyFont="1" applyBorder="1">
      <alignment vertical="center"/>
    </xf>
    <xf numFmtId="0" fontId="3" fillId="0" borderId="11" xfId="0" applyFont="1" applyBorder="1">
      <alignment vertical="center"/>
    </xf>
    <xf numFmtId="0" fontId="5" fillId="0" borderId="0" xfId="0" applyFont="1">
      <alignment vertical="center"/>
    </xf>
    <xf numFmtId="0" fontId="9" fillId="0" borderId="0" xfId="0" applyFont="1">
      <alignment vertical="center"/>
    </xf>
    <xf numFmtId="0" fontId="3" fillId="0" borderId="0" xfId="0" applyFont="1" applyAlignment="1">
      <alignment horizontal="left" vertical="center"/>
    </xf>
    <xf numFmtId="0" fontId="2" fillId="3" borderId="0" xfId="0" applyFont="1" applyFill="1" applyAlignment="1">
      <alignment horizontal="right" vertical="center"/>
    </xf>
    <xf numFmtId="0" fontId="2" fillId="3" borderId="0" xfId="0" applyFont="1" applyFill="1">
      <alignment vertical="center"/>
    </xf>
    <xf numFmtId="0" fontId="3" fillId="0" borderId="8" xfId="0" applyFont="1" applyBorder="1" applyAlignment="1">
      <alignment vertical="center"/>
    </xf>
    <xf numFmtId="0" fontId="10" fillId="0" borderId="3" xfId="0" applyFont="1" applyBorder="1" applyAlignment="1">
      <alignment vertical="center"/>
    </xf>
    <xf numFmtId="0" fontId="7" fillId="0" borderId="0" xfId="0" applyFont="1" applyAlignment="1">
      <alignment horizontal="right" vertical="center"/>
    </xf>
    <xf numFmtId="0" fontId="3" fillId="0" borderId="0" xfId="0" applyFont="1" applyFill="1" applyBorder="1" applyAlignment="1">
      <alignment horizontal="right" vertical="center"/>
    </xf>
    <xf numFmtId="0" fontId="3" fillId="0" borderId="0" xfId="0" applyFont="1" applyFill="1">
      <alignment vertical="center"/>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vertical="top"/>
    </xf>
    <xf numFmtId="0" fontId="7" fillId="0" borderId="10" xfId="0" applyFont="1" applyBorder="1" applyAlignment="1">
      <alignment vertical="center" wrapText="1"/>
    </xf>
    <xf numFmtId="0" fontId="7" fillId="0" borderId="0" xfId="0" applyFont="1" applyAlignment="1">
      <alignment vertical="center"/>
    </xf>
    <xf numFmtId="0" fontId="3" fillId="0" borderId="0" xfId="0" applyFont="1" applyAlignment="1">
      <alignment horizontal="left" vertical="center" wrapText="1"/>
    </xf>
    <xf numFmtId="0" fontId="6" fillId="0" borderId="0" xfId="0" applyFont="1">
      <alignment vertical="center"/>
    </xf>
    <xf numFmtId="0" fontId="3" fillId="0" borderId="5" xfId="0" applyFont="1" applyBorder="1">
      <alignment vertical="center"/>
    </xf>
    <xf numFmtId="0" fontId="3" fillId="0" borderId="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11" fillId="0" borderId="0" xfId="0" applyFo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top"/>
    </xf>
    <xf numFmtId="0" fontId="11"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0" borderId="0" xfId="0" applyFont="1" applyAlignment="1">
      <alignment horizontal="right" vertical="center"/>
    </xf>
    <xf numFmtId="0" fontId="12" fillId="0" borderId="0" xfId="0" applyFont="1">
      <alignment vertical="center"/>
    </xf>
    <xf numFmtId="0" fontId="15" fillId="0" borderId="0" xfId="0" applyFont="1">
      <alignment vertical="center"/>
    </xf>
    <xf numFmtId="0" fontId="13" fillId="0" borderId="0" xfId="0" applyFont="1" applyAlignment="1">
      <alignment vertical="top"/>
    </xf>
    <xf numFmtId="0" fontId="3"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lignment vertical="center"/>
    </xf>
    <xf numFmtId="0" fontId="17" fillId="0" borderId="0" xfId="0" applyFont="1">
      <alignment vertical="center"/>
    </xf>
    <xf numFmtId="0" fontId="18" fillId="0" borderId="0" xfId="0" applyFont="1">
      <alignment vertical="center"/>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right" vertical="top"/>
    </xf>
    <xf numFmtId="0" fontId="3" fillId="0" borderId="0" xfId="0" applyFont="1" applyAlignment="1">
      <alignment vertical="top"/>
    </xf>
    <xf numFmtId="181" fontId="3" fillId="3" borderId="0" xfId="0" applyNumberFormat="1" applyFont="1" applyFill="1">
      <alignment vertical="center"/>
    </xf>
    <xf numFmtId="0" fontId="3" fillId="0" borderId="12" xfId="0" applyFont="1" applyBorder="1" applyProtection="1">
      <alignment vertical="center"/>
      <protection locked="0"/>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10" fillId="0" borderId="0" xfId="0" applyFont="1" applyBorder="1" applyAlignment="1">
      <alignment vertical="center"/>
    </xf>
    <xf numFmtId="0" fontId="3" fillId="0" borderId="0" xfId="0" applyFont="1" applyFill="1" applyBorder="1" applyAlignment="1">
      <alignment horizontal="center" vertical="center"/>
    </xf>
    <xf numFmtId="49" fontId="3" fillId="0" borderId="0" xfId="0" applyNumberFormat="1" applyFont="1">
      <alignment vertical="center"/>
    </xf>
    <xf numFmtId="0" fontId="22" fillId="3" borderId="0" xfId="0" applyFont="1" applyFill="1">
      <alignment vertical="center"/>
    </xf>
    <xf numFmtId="49" fontId="3" fillId="0" borderId="0" xfId="0" applyNumberFormat="1" applyFont="1" applyAlignment="1">
      <alignment horizontal="right" vertical="center"/>
    </xf>
    <xf numFmtId="0" fontId="3" fillId="0" borderId="0" xfId="0" applyNumberFormat="1" applyFont="1" applyAlignment="1">
      <alignment vertical="center"/>
    </xf>
    <xf numFmtId="176" fontId="3" fillId="0" borderId="3" xfId="0" applyNumberFormat="1" applyFont="1" applyBorder="1" applyAlignment="1">
      <alignment vertical="center"/>
    </xf>
    <xf numFmtId="0" fontId="23" fillId="0" borderId="6" xfId="0" applyFont="1" applyBorder="1" applyAlignment="1">
      <alignment vertical="center"/>
    </xf>
    <xf numFmtId="0" fontId="23" fillId="0" borderId="5" xfId="0" applyFont="1" applyBorder="1">
      <alignment vertical="center"/>
    </xf>
    <xf numFmtId="0" fontId="3" fillId="0" borderId="8" xfId="0" applyFont="1" applyBorder="1">
      <alignment vertical="center"/>
    </xf>
    <xf numFmtId="0" fontId="3" fillId="0" borderId="4" xfId="0" applyFont="1" applyBorder="1">
      <alignment vertical="center"/>
    </xf>
    <xf numFmtId="0" fontId="7" fillId="0" borderId="8" xfId="0" applyFont="1" applyBorder="1" applyAlignment="1">
      <alignment vertical="center"/>
    </xf>
    <xf numFmtId="0" fontId="7" fillId="0" borderId="0" xfId="0" applyFont="1" applyBorder="1">
      <alignment vertical="center"/>
    </xf>
    <xf numFmtId="0" fontId="7" fillId="0" borderId="4" xfId="0" applyFont="1" applyBorder="1">
      <alignment vertical="center"/>
    </xf>
    <xf numFmtId="0" fontId="3" fillId="0" borderId="9" xfId="0" applyFont="1" applyBorder="1">
      <alignment vertical="center"/>
    </xf>
    <xf numFmtId="0" fontId="23" fillId="0" borderId="9" xfId="0" applyFont="1" applyBorder="1" applyAlignment="1">
      <alignment vertical="center"/>
    </xf>
    <xf numFmtId="0" fontId="23" fillId="0" borderId="10" xfId="0" applyFont="1" applyBorder="1">
      <alignment vertical="center"/>
    </xf>
    <xf numFmtId="0" fontId="7" fillId="0" borderId="0" xfId="0" applyFont="1" applyBorder="1" applyAlignment="1"/>
    <xf numFmtId="0" fontId="7" fillId="0" borderId="0" xfId="0" applyFont="1" applyBorder="1" applyAlignment="1">
      <alignment vertical="center" wrapText="1"/>
    </xf>
    <xf numFmtId="0" fontId="8" fillId="0" borderId="0"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7" fillId="0" borderId="6" xfId="0" applyFont="1" applyBorder="1" applyAlignment="1">
      <alignment horizontal="center" vertical="center"/>
    </xf>
    <xf numFmtId="0" fontId="8" fillId="4" borderId="12" xfId="0" applyFont="1" applyFill="1" applyBorder="1">
      <alignment vertical="center"/>
    </xf>
    <xf numFmtId="0" fontId="22" fillId="0" borderId="0" xfId="0" applyFont="1">
      <alignment vertical="center"/>
    </xf>
    <xf numFmtId="0" fontId="24" fillId="0" borderId="0" xfId="0" applyFont="1">
      <alignment vertical="center"/>
    </xf>
    <xf numFmtId="0" fontId="24" fillId="3" borderId="0" xfId="0" applyFont="1" applyFill="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vertical="center" wrapText="1"/>
    </xf>
    <xf numFmtId="0" fontId="26" fillId="2" borderId="12" xfId="0" applyFont="1" applyFill="1" applyBorder="1">
      <alignment vertical="center"/>
    </xf>
    <xf numFmtId="38" fontId="26" fillId="0" borderId="12" xfId="1" applyFont="1" applyBorder="1" applyProtection="1">
      <alignment vertical="center"/>
      <protection locked="0"/>
    </xf>
    <xf numFmtId="38" fontId="26" fillId="2" borderId="12" xfId="1" applyFont="1" applyFill="1" applyBorder="1">
      <alignment vertical="center"/>
    </xf>
    <xf numFmtId="38" fontId="26" fillId="2" borderId="12" xfId="0" applyNumberFormat="1" applyFont="1" applyFill="1" applyBorder="1">
      <alignment vertical="center"/>
    </xf>
    <xf numFmtId="0" fontId="26" fillId="2" borderId="12" xfId="0" applyFont="1" applyFill="1" applyBorder="1" applyAlignment="1">
      <alignment horizontal="center" vertical="center"/>
    </xf>
    <xf numFmtId="2" fontId="26" fillId="0" borderId="12" xfId="0" applyNumberFormat="1" applyFont="1" applyBorder="1" applyProtection="1">
      <alignment vertical="center"/>
      <protection locked="0"/>
    </xf>
    <xf numFmtId="2" fontId="26" fillId="2" borderId="12" xfId="0" applyNumberFormat="1" applyFont="1" applyFill="1" applyBorder="1">
      <alignment vertical="center"/>
    </xf>
    <xf numFmtId="0" fontId="3" fillId="0" borderId="0" xfId="0" applyFont="1" applyProtection="1">
      <alignment vertical="center"/>
      <protection locked="0"/>
    </xf>
    <xf numFmtId="0" fontId="3" fillId="0" borderId="12" xfId="0" applyFont="1" applyBorder="1" applyAlignment="1">
      <alignment horizontal="center" vertical="center"/>
    </xf>
    <xf numFmtId="0" fontId="3" fillId="0" borderId="0" xfId="0" applyFont="1" applyBorder="1" applyAlignment="1" applyProtection="1">
      <alignment vertical="center" wrapText="1"/>
      <protection locked="0"/>
    </xf>
    <xf numFmtId="49" fontId="3" fillId="0" borderId="0" xfId="0" applyNumberFormat="1" applyFont="1" applyBorder="1" applyAlignment="1" applyProtection="1">
      <alignment vertical="center" wrapText="1"/>
      <protection locked="0"/>
    </xf>
    <xf numFmtId="0" fontId="3" fillId="0" borderId="2" xfId="0" applyFont="1" applyFill="1" applyBorder="1">
      <alignment vertical="center"/>
    </xf>
    <xf numFmtId="0" fontId="3" fillId="0" borderId="3" xfId="0" applyFont="1" applyFill="1" applyBorder="1">
      <alignment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4" xfId="0" applyFont="1" applyBorder="1" applyAlignment="1">
      <alignment vertical="center" wrapText="1"/>
    </xf>
    <xf numFmtId="0" fontId="5" fillId="0" borderId="0" xfId="0" applyFont="1" applyAlignment="1">
      <alignment vertical="center" wrapText="1"/>
    </xf>
    <xf numFmtId="0" fontId="8" fillId="0" borderId="0" xfId="0" applyFont="1" applyFill="1">
      <alignment vertical="center"/>
    </xf>
    <xf numFmtId="0" fontId="3" fillId="0" borderId="1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center" vertical="center"/>
    </xf>
    <xf numFmtId="0" fontId="3" fillId="0" borderId="12" xfId="0" applyFont="1" applyBorder="1" applyAlignment="1">
      <alignment horizontal="left" vertical="center" wrapText="1"/>
    </xf>
    <xf numFmtId="0" fontId="16" fillId="0" borderId="0" xfId="0" applyFont="1">
      <alignment vertical="center"/>
    </xf>
    <xf numFmtId="0" fontId="28" fillId="0" borderId="0" xfId="0" applyFont="1">
      <alignment vertical="center"/>
    </xf>
    <xf numFmtId="0" fontId="0" fillId="0" borderId="0" xfId="0" applyFont="1" applyAlignment="1">
      <alignment vertical="center"/>
    </xf>
    <xf numFmtId="0" fontId="29" fillId="0" borderId="0" xfId="0" applyFont="1" applyAlignment="1">
      <alignment horizontal="center" vertical="center"/>
    </xf>
    <xf numFmtId="0" fontId="29" fillId="0" borderId="0" xfId="0" applyFont="1">
      <alignment vertical="center"/>
    </xf>
    <xf numFmtId="186" fontId="29" fillId="0" borderId="0" xfId="0" applyNumberFormat="1" applyFont="1">
      <alignment vertical="center"/>
    </xf>
    <xf numFmtId="0" fontId="30" fillId="0" borderId="0" xfId="0" applyFont="1">
      <alignment vertical="center"/>
    </xf>
    <xf numFmtId="0" fontId="29" fillId="0" borderId="0" xfId="0" applyNumberFormat="1" applyFont="1" applyAlignment="1">
      <alignment vertical="center"/>
    </xf>
    <xf numFmtId="187" fontId="29" fillId="0" borderId="0" xfId="0" applyNumberFormat="1" applyFont="1">
      <alignment vertical="center"/>
    </xf>
    <xf numFmtId="188" fontId="29" fillId="0" borderId="0" xfId="0" applyNumberFormat="1" applyFont="1">
      <alignment vertical="center"/>
    </xf>
    <xf numFmtId="0" fontId="29" fillId="0" borderId="0" xfId="0" applyFont="1" applyFill="1">
      <alignment vertical="center"/>
    </xf>
    <xf numFmtId="186"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0" fontId="29" fillId="6" borderId="0" xfId="0" applyNumberFormat="1" applyFont="1" applyFill="1" applyAlignment="1">
      <alignment vertical="center"/>
    </xf>
    <xf numFmtId="187" fontId="29" fillId="6" borderId="0" xfId="0" applyNumberFormat="1" applyFont="1" applyFill="1">
      <alignment vertical="center"/>
    </xf>
    <xf numFmtId="188" fontId="29" fillId="6" borderId="0" xfId="0" applyNumberFormat="1" applyFont="1" applyFill="1">
      <alignment vertical="center"/>
    </xf>
    <xf numFmtId="187" fontId="29" fillId="7" borderId="10" xfId="0" applyNumberFormat="1" applyFont="1" applyFill="1" applyBorder="1" applyAlignment="1">
      <alignment vertical="center"/>
    </xf>
    <xf numFmtId="0" fontId="28" fillId="0" borderId="13" xfId="0" applyFont="1" applyFill="1" applyBorder="1" applyAlignment="1">
      <alignment vertical="top" wrapText="1"/>
    </xf>
    <xf numFmtId="0" fontId="32" fillId="0" borderId="13" xfId="0" applyFont="1" applyFill="1" applyBorder="1" applyAlignment="1">
      <alignment vertical="top" wrapText="1"/>
    </xf>
    <xf numFmtId="0" fontId="29" fillId="0" borderId="13" xfId="0" applyFont="1" applyFill="1" applyBorder="1" applyAlignment="1">
      <alignment horizontal="center" vertical="top" wrapText="1"/>
    </xf>
    <xf numFmtId="0" fontId="29" fillId="0" borderId="13" xfId="0" applyFont="1" applyFill="1" applyBorder="1" applyAlignment="1">
      <alignment vertical="top" wrapText="1"/>
    </xf>
    <xf numFmtId="0" fontId="33" fillId="0" borderId="13" xfId="0" applyFont="1" applyFill="1" applyBorder="1" applyAlignment="1">
      <alignment vertical="top" wrapText="1"/>
    </xf>
    <xf numFmtId="0" fontId="34" fillId="0" borderId="13" xfId="0" applyFont="1" applyFill="1" applyBorder="1" applyAlignment="1">
      <alignment vertical="top" wrapText="1"/>
    </xf>
    <xf numFmtId="186" fontId="29" fillId="0" borderId="13" xfId="0" applyNumberFormat="1" applyFont="1" applyFill="1" applyBorder="1" applyAlignment="1">
      <alignment vertical="top" wrapText="1"/>
    </xf>
    <xf numFmtId="0" fontId="29" fillId="0" borderId="1" xfId="0" applyFont="1" applyFill="1" applyBorder="1" applyAlignment="1">
      <alignment vertical="top" wrapText="1"/>
    </xf>
    <xf numFmtId="0" fontId="29" fillId="0" borderId="2" xfId="0" applyFont="1" applyFill="1" applyBorder="1" applyAlignment="1">
      <alignment horizontal="center" vertical="top" wrapText="1"/>
    </xf>
    <xf numFmtId="0" fontId="29" fillId="0" borderId="2" xfId="0" applyFont="1" applyFill="1" applyBorder="1" applyAlignment="1">
      <alignment vertical="top" wrapText="1"/>
    </xf>
    <xf numFmtId="0" fontId="29" fillId="0" borderId="3" xfId="0" applyFont="1" applyFill="1" applyBorder="1" applyAlignment="1">
      <alignment horizontal="center" vertical="top" wrapText="1"/>
    </xf>
    <xf numFmtId="0" fontId="29" fillId="0" borderId="1" xfId="0" applyFont="1" applyFill="1" applyBorder="1" applyAlignment="1">
      <alignment horizontal="center" vertical="top" wrapText="1"/>
    </xf>
    <xf numFmtId="0" fontId="29" fillId="0" borderId="3" xfId="0" applyNumberFormat="1" applyFont="1" applyFill="1" applyBorder="1" applyAlignment="1">
      <alignment vertical="top"/>
    </xf>
    <xf numFmtId="187" fontId="29" fillId="8" borderId="0" xfId="0" applyNumberFormat="1" applyFont="1" applyFill="1" applyAlignment="1">
      <alignment vertical="top"/>
    </xf>
    <xf numFmtId="187" fontId="29" fillId="8" borderId="0" xfId="0" applyNumberFormat="1" applyFont="1" applyFill="1" applyAlignment="1">
      <alignment vertical="top" wrapText="1"/>
    </xf>
    <xf numFmtId="187" fontId="29" fillId="9" borderId="0" xfId="0" applyNumberFormat="1" applyFont="1" applyFill="1" applyAlignment="1">
      <alignment vertical="top" wrapText="1"/>
    </xf>
    <xf numFmtId="186" fontId="29" fillId="0" borderId="6" xfId="0" applyNumberFormat="1" applyFont="1" applyFill="1" applyBorder="1" applyAlignment="1">
      <alignment vertical="top" wrapText="1"/>
    </xf>
    <xf numFmtId="186" fontId="29" fillId="0" borderId="5" xfId="0" applyNumberFormat="1" applyFont="1" applyFill="1" applyBorder="1" applyAlignment="1">
      <alignment vertical="top" wrapText="1"/>
    </xf>
    <xf numFmtId="186" fontId="29" fillId="0" borderId="6" xfId="0" applyNumberFormat="1" applyFont="1" applyFill="1" applyBorder="1" applyAlignment="1">
      <alignment vertical="top"/>
    </xf>
    <xf numFmtId="188" fontId="29" fillId="0" borderId="7" xfId="0" applyNumberFormat="1" applyFont="1" applyFill="1" applyBorder="1" applyAlignment="1">
      <alignment vertical="top"/>
    </xf>
    <xf numFmtId="0" fontId="29" fillId="0" borderId="6" xfId="0" applyFont="1" applyFill="1" applyBorder="1" applyAlignment="1">
      <alignment vertical="top" wrapText="1"/>
    </xf>
    <xf numFmtId="0" fontId="29" fillId="0" borderId="7" xfId="0" applyFont="1" applyFill="1" applyBorder="1" applyAlignment="1">
      <alignment vertical="top" wrapText="1"/>
    </xf>
    <xf numFmtId="0" fontId="29" fillId="0" borderId="7" xfId="0" applyFont="1" applyFill="1" applyBorder="1" applyAlignment="1">
      <alignment horizontal="center" vertical="top" wrapText="1"/>
    </xf>
    <xf numFmtId="0" fontId="29" fillId="0" borderId="6" xfId="0" applyFont="1" applyFill="1" applyBorder="1" applyAlignment="1">
      <alignment vertical="top"/>
    </xf>
    <xf numFmtId="0" fontId="29" fillId="0" borderId="5" xfId="0" applyFont="1" applyFill="1" applyBorder="1" applyAlignment="1">
      <alignment vertical="top" wrapText="1"/>
    </xf>
    <xf numFmtId="0" fontId="29" fillId="0" borderId="0" xfId="0" applyFont="1" applyFill="1" applyAlignment="1">
      <alignment vertical="top" wrapText="1"/>
    </xf>
    <xf numFmtId="187" fontId="29" fillId="8" borderId="0" xfId="0" applyNumberFormat="1" applyFont="1" applyFill="1" applyAlignment="1">
      <alignment horizontal="center" vertical="top" wrapText="1"/>
    </xf>
    <xf numFmtId="187" fontId="29" fillId="9" borderId="1" xfId="0" applyNumberFormat="1" applyFont="1" applyFill="1" applyBorder="1" applyAlignment="1">
      <alignment vertical="top" wrapText="1"/>
    </xf>
    <xf numFmtId="187" fontId="29" fillId="9" borderId="2" xfId="0" applyNumberFormat="1" applyFont="1" applyFill="1" applyBorder="1" applyAlignment="1">
      <alignment vertical="top" wrapText="1"/>
    </xf>
    <xf numFmtId="187" fontId="29" fillId="9" borderId="0" xfId="0" applyNumberFormat="1" applyFont="1" applyFill="1" applyBorder="1" applyAlignment="1">
      <alignment vertical="top" wrapText="1"/>
    </xf>
    <xf numFmtId="186" fontId="29" fillId="0" borderId="5" xfId="0" applyNumberFormat="1" applyFont="1" applyFill="1" applyBorder="1" applyAlignment="1">
      <alignment vertical="top"/>
    </xf>
    <xf numFmtId="188" fontId="29" fillId="0" borderId="5" xfId="0" applyNumberFormat="1" applyFont="1" applyFill="1" applyBorder="1" applyAlignment="1">
      <alignment vertical="top"/>
    </xf>
    <xf numFmtId="0" fontId="35" fillId="0" borderId="18" xfId="0" applyFont="1" applyFill="1" applyBorder="1" applyAlignment="1">
      <alignment vertical="center"/>
    </xf>
    <xf numFmtId="0" fontId="32" fillId="0" borderId="18" xfId="0" applyFont="1" applyFill="1" applyBorder="1" applyAlignment="1">
      <alignment vertical="center"/>
    </xf>
    <xf numFmtId="0" fontId="29" fillId="0" borderId="18" xfId="0" applyFont="1" applyFill="1" applyBorder="1" applyAlignment="1">
      <alignment horizontal="center" vertical="center"/>
    </xf>
    <xf numFmtId="0" fontId="29" fillId="0" borderId="18" xfId="0" applyFont="1" applyFill="1" applyBorder="1" applyAlignment="1">
      <alignment vertical="center"/>
    </xf>
    <xf numFmtId="186" fontId="29" fillId="0" borderId="18" xfId="0" applyNumberFormat="1" applyFont="1" applyFill="1" applyBorder="1" applyAlignment="1">
      <alignment vertical="center"/>
    </xf>
    <xf numFmtId="0" fontId="29" fillId="0" borderId="13" xfId="0" applyFont="1" applyFill="1" applyBorder="1" applyAlignment="1">
      <alignment vertical="center"/>
    </xf>
    <xf numFmtId="0" fontId="29" fillId="0" borderId="13" xfId="0" applyFont="1" applyFill="1" applyBorder="1" applyAlignment="1">
      <alignment horizontal="center" vertical="center"/>
    </xf>
    <xf numFmtId="0" fontId="29" fillId="0" borderId="1" xfId="0" applyFont="1" applyFill="1" applyBorder="1" applyAlignment="1">
      <alignment vertical="center"/>
    </xf>
    <xf numFmtId="0" fontId="29" fillId="0" borderId="13" xfId="0" applyNumberFormat="1" applyFont="1" applyFill="1" applyBorder="1" applyAlignment="1">
      <alignment vertical="center"/>
    </xf>
    <xf numFmtId="187" fontId="29" fillId="0" borderId="13" xfId="0" applyNumberFormat="1" applyFont="1" applyFill="1" applyBorder="1" applyAlignment="1">
      <alignment vertical="center"/>
    </xf>
    <xf numFmtId="187" fontId="29" fillId="4" borderId="1" xfId="0" applyNumberFormat="1" applyFont="1" applyFill="1" applyBorder="1" applyAlignment="1">
      <alignment vertical="center"/>
    </xf>
    <xf numFmtId="187" fontId="29" fillId="4" borderId="3" xfId="0" applyNumberFormat="1" applyFont="1" applyFill="1" applyBorder="1" applyAlignment="1">
      <alignment vertical="center"/>
    </xf>
    <xf numFmtId="187" fontId="29" fillId="2" borderId="1" xfId="0" applyNumberFormat="1" applyFont="1" applyFill="1" applyBorder="1" applyAlignment="1">
      <alignment vertical="center"/>
    </xf>
    <xf numFmtId="187" fontId="29" fillId="2" borderId="2" xfId="0" applyNumberFormat="1" applyFont="1" applyFill="1" applyBorder="1" applyAlignment="1">
      <alignment vertical="center"/>
    </xf>
    <xf numFmtId="187" fontId="29" fillId="2" borderId="3" xfId="0" applyNumberFormat="1" applyFont="1" applyFill="1" applyBorder="1" applyAlignment="1">
      <alignment vertical="center"/>
    </xf>
    <xf numFmtId="187" fontId="29" fillId="10" borderId="1" xfId="0" applyNumberFormat="1" applyFont="1" applyFill="1" applyBorder="1" applyAlignment="1">
      <alignment vertical="center"/>
    </xf>
    <xf numFmtId="187" fontId="29" fillId="10" borderId="2" xfId="0" applyNumberFormat="1" applyFont="1" applyFill="1" applyBorder="1" applyAlignment="1">
      <alignment vertical="center"/>
    </xf>
    <xf numFmtId="187" fontId="29" fillId="10" borderId="3" xfId="0" applyNumberFormat="1" applyFont="1" applyFill="1" applyBorder="1" applyAlignment="1">
      <alignment vertical="center"/>
    </xf>
    <xf numFmtId="187" fontId="36" fillId="6" borderId="3" xfId="0" applyNumberFormat="1" applyFont="1" applyFill="1" applyBorder="1" applyAlignment="1">
      <alignment vertical="center"/>
    </xf>
    <xf numFmtId="187" fontId="29" fillId="7" borderId="1" xfId="0" applyNumberFormat="1" applyFont="1" applyFill="1" applyBorder="1" applyAlignment="1">
      <alignment vertical="center"/>
    </xf>
    <xf numFmtId="187" fontId="29" fillId="7" borderId="2" xfId="0" applyNumberFormat="1" applyFont="1" applyFill="1" applyBorder="1" applyAlignment="1">
      <alignment vertical="center"/>
    </xf>
    <xf numFmtId="187" fontId="29" fillId="7" borderId="3" xfId="0" applyNumberFormat="1" applyFont="1" applyFill="1" applyBorder="1" applyAlignment="1">
      <alignment vertical="center"/>
    </xf>
    <xf numFmtId="187" fontId="29" fillId="11" borderId="1" xfId="0" applyNumberFormat="1" applyFont="1" applyFill="1" applyBorder="1" applyAlignment="1">
      <alignment vertical="center"/>
    </xf>
    <xf numFmtId="187" fontId="29" fillId="11" borderId="2" xfId="0" applyNumberFormat="1" applyFont="1" applyFill="1" applyBorder="1" applyAlignment="1">
      <alignment vertical="center"/>
    </xf>
    <xf numFmtId="187" fontId="29" fillId="11" borderId="3" xfId="0" applyNumberFormat="1" applyFont="1" applyFill="1" applyBorder="1" applyAlignment="1">
      <alignment vertical="center"/>
    </xf>
    <xf numFmtId="187" fontId="29" fillId="3" borderId="1" xfId="0" applyNumberFormat="1" applyFont="1" applyFill="1" applyBorder="1" applyAlignment="1">
      <alignment vertical="center"/>
    </xf>
    <xf numFmtId="187" fontId="29" fillId="3" borderId="2" xfId="0" applyNumberFormat="1" applyFont="1" applyFill="1" applyBorder="1" applyAlignment="1">
      <alignment vertical="center"/>
    </xf>
    <xf numFmtId="187" fontId="29" fillId="3" borderId="3" xfId="0" applyNumberFormat="1" applyFont="1" applyFill="1" applyBorder="1" applyAlignment="1">
      <alignment vertical="center"/>
    </xf>
    <xf numFmtId="187" fontId="29" fillId="4" borderId="2" xfId="0" applyNumberFormat="1" applyFont="1" applyFill="1" applyBorder="1" applyAlignment="1">
      <alignment vertical="center" wrapText="1"/>
    </xf>
    <xf numFmtId="187" fontId="29" fillId="4" borderId="3" xfId="0" applyNumberFormat="1" applyFont="1" applyFill="1" applyBorder="1" applyAlignment="1">
      <alignment vertical="center" wrapText="1"/>
    </xf>
    <xf numFmtId="187" fontId="29" fillId="9" borderId="0" xfId="0" applyNumberFormat="1" applyFont="1" applyFill="1" applyAlignment="1">
      <alignment vertical="center" wrapText="1"/>
    </xf>
    <xf numFmtId="186" fontId="29" fillId="0" borderId="9" xfId="0" applyNumberFormat="1" applyFont="1" applyFill="1" applyBorder="1" applyAlignment="1">
      <alignment vertical="top" wrapText="1"/>
    </xf>
    <xf numFmtId="186" fontId="29" fillId="0" borderId="10" xfId="0" applyNumberFormat="1" applyFont="1" applyFill="1" applyBorder="1" applyAlignment="1">
      <alignment vertical="top" wrapText="1"/>
    </xf>
    <xf numFmtId="186" fontId="29" fillId="0" borderId="0" xfId="0" applyNumberFormat="1" applyFont="1" applyFill="1" applyBorder="1" applyAlignment="1">
      <alignment horizontal="center" vertical="top" wrapText="1"/>
    </xf>
    <xf numFmtId="186" fontId="29" fillId="0" borderId="8" xfId="0" applyNumberFormat="1" applyFont="1" applyFill="1" applyBorder="1" applyAlignment="1">
      <alignment vertical="top"/>
    </xf>
    <xf numFmtId="188" fontId="29" fillId="0" borderId="4" xfId="0" applyNumberFormat="1" applyFont="1" applyFill="1" applyBorder="1" applyAlignment="1">
      <alignment vertical="top"/>
    </xf>
    <xf numFmtId="0" fontId="29" fillId="0" borderId="8" xfId="0" applyFont="1" applyFill="1" applyBorder="1" applyAlignment="1">
      <alignment vertical="center"/>
    </xf>
    <xf numFmtId="0" fontId="29" fillId="0" borderId="4" xfId="0" applyFont="1" applyFill="1" applyBorder="1" applyAlignment="1">
      <alignment vertical="center"/>
    </xf>
    <xf numFmtId="0" fontId="29" fillId="0" borderId="4" xfId="0" applyFont="1" applyFill="1" applyBorder="1" applyAlignment="1">
      <alignment horizontal="center" vertical="center"/>
    </xf>
    <xf numFmtId="189" fontId="29" fillId="0" borderId="18" xfId="0" applyNumberFormat="1" applyFont="1" applyFill="1" applyBorder="1" applyAlignment="1">
      <alignment vertical="center"/>
    </xf>
    <xf numFmtId="186" fontId="29" fillId="0" borderId="8" xfId="0" applyNumberFormat="1" applyFont="1" applyFill="1" applyBorder="1" applyAlignment="1">
      <alignment vertical="top" wrapText="1"/>
    </xf>
    <xf numFmtId="0" fontId="29" fillId="0" borderId="4" xfId="0" applyFont="1" applyFill="1" applyBorder="1" applyAlignment="1">
      <alignment vertical="top" wrapText="1"/>
    </xf>
    <xf numFmtId="186" fontId="29" fillId="0" borderId="0" xfId="0" applyNumberFormat="1" applyFont="1" applyFill="1" applyBorder="1" applyAlignment="1">
      <alignment vertical="center"/>
    </xf>
    <xf numFmtId="0" fontId="29" fillId="0" borderId="0" xfId="0" applyFont="1" applyFill="1" applyBorder="1" applyAlignment="1">
      <alignment vertical="center"/>
    </xf>
    <xf numFmtId="0" fontId="29" fillId="0" borderId="0" xfId="0" applyFont="1" applyFill="1" applyAlignment="1">
      <alignment vertical="center"/>
    </xf>
    <xf numFmtId="187" fontId="29" fillId="4" borderId="2" xfId="0" applyNumberFormat="1" applyFont="1" applyFill="1" applyBorder="1" applyAlignment="1">
      <alignment vertical="center"/>
    </xf>
    <xf numFmtId="187" fontId="36" fillId="6" borderId="1" xfId="0" applyNumberFormat="1" applyFont="1" applyFill="1" applyBorder="1" applyAlignment="1">
      <alignment vertical="center"/>
    </xf>
    <xf numFmtId="187" fontId="29" fillId="8" borderId="13" xfId="0" applyNumberFormat="1" applyFont="1" applyFill="1" applyBorder="1" applyAlignment="1">
      <alignment vertical="center" wrapText="1"/>
    </xf>
    <xf numFmtId="187" fontId="29" fillId="0" borderId="0" xfId="0" applyNumberFormat="1" applyFont="1" applyFill="1" applyAlignment="1">
      <alignment vertical="center"/>
    </xf>
    <xf numFmtId="187" fontId="29" fillId="4" borderId="1" xfId="0" applyNumberFormat="1" applyFont="1" applyFill="1" applyBorder="1" applyAlignment="1">
      <alignment vertical="center" wrapText="1"/>
    </xf>
    <xf numFmtId="187" fontId="29" fillId="3" borderId="5" xfId="0" applyNumberFormat="1" applyFont="1" applyFill="1" applyBorder="1" applyAlignment="1">
      <alignment vertical="center"/>
    </xf>
    <xf numFmtId="187" fontId="29" fillId="4" borderId="13" xfId="0" applyNumberFormat="1" applyFont="1" applyFill="1" applyBorder="1" applyAlignment="1">
      <alignment vertical="center" wrapText="1"/>
    </xf>
    <xf numFmtId="0" fontId="29" fillId="0" borderId="9" xfId="0" applyFont="1" applyFill="1" applyBorder="1" applyAlignment="1">
      <alignment vertical="top"/>
    </xf>
    <xf numFmtId="186" fontId="29" fillId="0" borderId="10" xfId="0" applyNumberFormat="1" applyFont="1" applyFill="1" applyBorder="1" applyAlignment="1">
      <alignment vertical="top"/>
    </xf>
    <xf numFmtId="188" fontId="29" fillId="0" borderId="10" xfId="0" applyNumberFormat="1" applyFont="1" applyFill="1" applyBorder="1" applyAlignment="1"/>
    <xf numFmtId="188" fontId="29" fillId="0" borderId="11" xfId="0" applyNumberFormat="1" applyFont="1" applyFill="1" applyBorder="1" applyAlignment="1"/>
    <xf numFmtId="0" fontId="35" fillId="5" borderId="14" xfId="0" applyFont="1" applyFill="1" applyBorder="1" applyAlignment="1">
      <alignment vertical="center" wrapText="1"/>
    </xf>
    <xf numFmtId="0" fontId="32" fillId="0" borderId="18" xfId="0" applyFont="1" applyFill="1" applyBorder="1" applyAlignment="1">
      <alignment vertical="center" wrapText="1"/>
    </xf>
    <xf numFmtId="0" fontId="30" fillId="0" borderId="18"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36" fillId="0" borderId="18" xfId="0" applyFont="1" applyFill="1" applyBorder="1" applyAlignment="1">
      <alignment vertical="center" wrapText="1"/>
    </xf>
    <xf numFmtId="186" fontId="29" fillId="0" borderId="18" xfId="0" applyNumberFormat="1" applyFont="1" applyFill="1" applyBorder="1" applyAlignment="1">
      <alignment vertical="center" wrapText="1"/>
    </xf>
    <xf numFmtId="0" fontId="29" fillId="0" borderId="18" xfId="0" applyFont="1" applyFill="1" applyBorder="1" applyAlignment="1">
      <alignment vertical="center" wrapText="1"/>
    </xf>
    <xf numFmtId="0" fontId="29" fillId="0" borderId="18" xfId="0" applyFont="1" applyFill="1" applyBorder="1" applyAlignment="1">
      <alignment horizontal="center" vertical="center" wrapText="1"/>
    </xf>
    <xf numFmtId="0" fontId="29" fillId="0" borderId="13" xfId="0" applyNumberFormat="1" applyFont="1" applyFill="1" applyBorder="1" applyAlignment="1">
      <alignment vertical="top" wrapText="1"/>
    </xf>
    <xf numFmtId="187" fontId="29" fillId="0" borderId="18" xfId="0" applyNumberFormat="1" applyFont="1" applyFill="1" applyBorder="1" applyAlignment="1">
      <alignment vertical="center" wrapText="1"/>
    </xf>
    <xf numFmtId="187" fontId="29" fillId="0" borderId="13" xfId="0" applyNumberFormat="1" applyFont="1" applyFill="1" applyBorder="1" applyAlignment="1">
      <alignment vertical="center" wrapText="1"/>
    </xf>
    <xf numFmtId="187" fontId="29" fillId="5" borderId="13" xfId="0" applyNumberFormat="1" applyFont="1" applyFill="1" applyBorder="1" applyAlignment="1">
      <alignment vertical="center" wrapText="1"/>
    </xf>
    <xf numFmtId="187" fontId="29" fillId="5" borderId="18" xfId="0" applyNumberFormat="1" applyFont="1" applyFill="1" applyBorder="1" applyAlignment="1">
      <alignment vertical="center" wrapText="1"/>
    </xf>
    <xf numFmtId="187" fontId="39" fillId="0" borderId="18" xfId="0" applyNumberFormat="1" applyFont="1" applyFill="1" applyBorder="1" applyAlignment="1">
      <alignment vertical="center" wrapText="1"/>
    </xf>
    <xf numFmtId="187" fontId="29" fillId="4" borderId="18" xfId="0" applyNumberFormat="1" applyFont="1" applyFill="1" applyBorder="1" applyAlignment="1">
      <alignment vertical="center" wrapText="1"/>
    </xf>
    <xf numFmtId="187" fontId="40" fillId="0" borderId="13" xfId="0" applyNumberFormat="1" applyFont="1" applyFill="1" applyBorder="1" applyAlignment="1">
      <alignment vertical="center" wrapText="1"/>
    </xf>
    <xf numFmtId="187" fontId="29" fillId="0" borderId="14" xfId="0" applyNumberFormat="1" applyFont="1" applyFill="1" applyBorder="1" applyAlignment="1">
      <alignment vertical="center" wrapText="1"/>
    </xf>
    <xf numFmtId="187" fontId="41" fillId="8" borderId="0" xfId="0" applyNumberFormat="1" applyFont="1" applyFill="1" applyAlignment="1">
      <alignment vertical="center" wrapText="1"/>
    </xf>
    <xf numFmtId="187" fontId="41" fillId="12" borderId="0" xfId="0" applyNumberFormat="1" applyFont="1" applyFill="1" applyAlignment="1">
      <alignment vertical="center" wrapText="1"/>
    </xf>
    <xf numFmtId="187" fontId="29" fillId="9" borderId="13" xfId="0" applyNumberFormat="1" applyFont="1" applyFill="1" applyBorder="1" applyAlignment="1">
      <alignment vertical="center" wrapText="1"/>
    </xf>
    <xf numFmtId="186" fontId="29" fillId="0" borderId="13" xfId="0" applyNumberFormat="1" applyFont="1" applyFill="1" applyBorder="1" applyAlignment="1">
      <alignment vertical="center"/>
    </xf>
    <xf numFmtId="188" fontId="29" fillId="4" borderId="13" xfId="0" applyNumberFormat="1" applyFont="1" applyFill="1" applyBorder="1" applyAlignment="1">
      <alignment vertical="center"/>
    </xf>
    <xf numFmtId="0" fontId="29" fillId="0" borderId="13" xfId="0" applyFont="1" applyFill="1" applyBorder="1" applyAlignment="1">
      <alignment vertical="center" wrapText="1"/>
    </xf>
    <xf numFmtId="0" fontId="29" fillId="0" borderId="13" xfId="0" applyFont="1" applyFill="1" applyBorder="1" applyAlignment="1">
      <alignment horizontal="center" vertical="center" wrapText="1"/>
    </xf>
    <xf numFmtId="186" fontId="29" fillId="0" borderId="13" xfId="0" applyNumberFormat="1" applyFont="1" applyFill="1" applyBorder="1" applyAlignment="1">
      <alignment vertical="center" wrapText="1"/>
    </xf>
    <xf numFmtId="0" fontId="34" fillId="0" borderId="13" xfId="0" applyFont="1" applyFill="1" applyBorder="1" applyAlignment="1">
      <alignment vertical="center" wrapText="1"/>
    </xf>
    <xf numFmtId="0" fontId="29" fillId="0" borderId="0" xfId="0" applyFont="1" applyFill="1" applyAlignment="1">
      <alignment vertical="center" wrapText="1"/>
    </xf>
    <xf numFmtId="187" fontId="29" fillId="4" borderId="12" xfId="0" applyNumberFormat="1" applyFont="1" applyFill="1" applyBorder="1" applyAlignment="1">
      <alignment vertical="center" wrapText="1"/>
    </xf>
    <xf numFmtId="187" fontId="29" fillId="4" borderId="14" xfId="0" applyNumberFormat="1" applyFont="1" applyFill="1" applyBorder="1" applyAlignment="1">
      <alignment vertical="center" wrapText="1"/>
    </xf>
    <xf numFmtId="187" fontId="44" fillId="0" borderId="18" xfId="0" applyNumberFormat="1" applyFont="1" applyFill="1" applyBorder="1" applyAlignment="1">
      <alignment vertical="center" wrapText="1"/>
    </xf>
    <xf numFmtId="187" fontId="29" fillId="8" borderId="14" xfId="0" applyNumberFormat="1" applyFont="1" applyFill="1" applyBorder="1" applyAlignment="1">
      <alignment vertical="center" wrapText="1"/>
    </xf>
    <xf numFmtId="187" fontId="29" fillId="0" borderId="0" xfId="0" applyNumberFormat="1" applyFont="1" applyFill="1" applyAlignment="1">
      <alignment vertical="center" wrapText="1"/>
    </xf>
    <xf numFmtId="187" fontId="41" fillId="8" borderId="9" xfId="0" applyNumberFormat="1" applyFont="1" applyFill="1" applyBorder="1" applyAlignment="1">
      <alignment vertical="center" wrapText="1"/>
    </xf>
    <xf numFmtId="187" fontId="41" fillId="8" borderId="10" xfId="0" applyNumberFormat="1" applyFont="1" applyFill="1" applyBorder="1" applyAlignment="1">
      <alignment vertical="center" wrapText="1"/>
    </xf>
    <xf numFmtId="187" fontId="41" fillId="12" borderId="10" xfId="0" applyNumberFormat="1" applyFont="1" applyFill="1" applyBorder="1" applyAlignment="1">
      <alignment vertical="center" wrapText="1"/>
    </xf>
    <xf numFmtId="187" fontId="29" fillId="0" borderId="12" xfId="0" applyNumberFormat="1" applyFont="1" applyFill="1" applyBorder="1" applyAlignment="1">
      <alignment vertical="center" wrapText="1"/>
    </xf>
    <xf numFmtId="0" fontId="29" fillId="0" borderId="12" xfId="0" applyFont="1" applyFill="1" applyBorder="1" applyAlignment="1">
      <alignment vertical="center" wrapText="1"/>
    </xf>
    <xf numFmtId="186" fontId="29" fillId="0" borderId="12" xfId="0" applyNumberFormat="1" applyFont="1" applyFill="1" applyBorder="1" applyAlignment="1">
      <alignment vertical="center" wrapText="1"/>
    </xf>
    <xf numFmtId="188" fontId="29" fillId="4" borderId="12" xfId="0" applyNumberFormat="1" applyFont="1" applyFill="1" applyBorder="1" applyAlignment="1">
      <alignment vertical="center" wrapText="1"/>
    </xf>
    <xf numFmtId="0" fontId="35" fillId="5" borderId="12" xfId="0" applyFont="1" applyFill="1" applyBorder="1">
      <alignment vertical="center"/>
    </xf>
    <xf numFmtId="0" fontId="32" fillId="0" borderId="12" xfId="0" applyFont="1" applyBorder="1" applyAlignment="1">
      <alignment vertical="center"/>
    </xf>
    <xf numFmtId="0" fontId="0" fillId="0" borderId="12" xfId="0" applyFont="1" applyBorder="1" applyAlignment="1">
      <alignment horizontal="center" vertical="center"/>
    </xf>
    <xf numFmtId="0" fontId="0" fillId="5" borderId="12" xfId="0" applyFont="1" applyFill="1" applyBorder="1" applyAlignment="1">
      <alignment horizontal="center" vertical="center" shrinkToFit="1"/>
    </xf>
    <xf numFmtId="0" fontId="0" fillId="0" borderId="12" xfId="0" applyFont="1" applyBorder="1">
      <alignment vertical="center"/>
    </xf>
    <xf numFmtId="186" fontId="0" fillId="0" borderId="12" xfId="0" applyNumberFormat="1" applyFont="1" applyBorder="1">
      <alignment vertical="center"/>
    </xf>
    <xf numFmtId="0" fontId="0" fillId="5" borderId="12" xfId="0" applyFont="1" applyFill="1" applyBorder="1">
      <alignment vertical="center"/>
    </xf>
    <xf numFmtId="0" fontId="0" fillId="5" borderId="12" xfId="0" applyFont="1" applyFill="1" applyBorder="1" applyAlignment="1">
      <alignment horizontal="center" vertical="center"/>
    </xf>
    <xf numFmtId="0" fontId="0" fillId="5" borderId="12" xfId="0" applyNumberFormat="1" applyFont="1" applyFill="1" applyBorder="1" applyAlignment="1">
      <alignment vertical="center"/>
    </xf>
    <xf numFmtId="187" fontId="0" fillId="5" borderId="12" xfId="0" applyNumberFormat="1" applyFont="1" applyFill="1" applyBorder="1">
      <alignment vertical="center"/>
    </xf>
    <xf numFmtId="187" fontId="0" fillId="4" borderId="12" xfId="0" applyNumberFormat="1" applyFont="1" applyFill="1" applyBorder="1">
      <alignment vertical="center"/>
    </xf>
    <xf numFmtId="187" fontId="32" fillId="4" borderId="12" xfId="0" applyNumberFormat="1" applyFont="1" applyFill="1" applyBorder="1">
      <alignment vertical="center"/>
    </xf>
    <xf numFmtId="187" fontId="0" fillId="0" borderId="12" xfId="0" applyNumberFormat="1" applyFont="1" applyFill="1" applyBorder="1">
      <alignment vertical="center"/>
    </xf>
    <xf numFmtId="185" fontId="0" fillId="0" borderId="12" xfId="0" applyNumberFormat="1" applyFont="1" applyFill="1" applyBorder="1">
      <alignment vertical="center"/>
    </xf>
    <xf numFmtId="187" fontId="0" fillId="0" borderId="12" xfId="0" applyNumberFormat="1" applyFont="1" applyBorder="1">
      <alignment vertical="center"/>
    </xf>
    <xf numFmtId="186" fontId="0" fillId="5" borderId="1" xfId="0" applyNumberFormat="1" applyFont="1" applyFill="1" applyBorder="1">
      <alignment vertical="center"/>
    </xf>
    <xf numFmtId="0" fontId="0" fillId="5" borderId="2" xfId="0" applyNumberFormat="1" applyFont="1" applyFill="1" applyBorder="1">
      <alignment vertical="center"/>
    </xf>
    <xf numFmtId="186" fontId="0" fillId="5" borderId="2" xfId="0" applyNumberFormat="1" applyFont="1" applyFill="1" applyBorder="1">
      <alignment vertical="center"/>
    </xf>
    <xf numFmtId="0" fontId="0" fillId="5" borderId="3" xfId="0" applyNumberFormat="1" applyFont="1" applyFill="1" applyBorder="1">
      <alignment vertical="center"/>
    </xf>
    <xf numFmtId="188" fontId="0" fillId="4" borderId="12" xfId="0" applyNumberFormat="1" applyFont="1" applyFill="1" applyBorder="1">
      <alignment vertical="center"/>
    </xf>
    <xf numFmtId="38" fontId="0" fillId="5" borderId="12" xfId="1" applyFont="1" applyFill="1" applyBorder="1">
      <alignment vertical="center"/>
    </xf>
    <xf numFmtId="0" fontId="0" fillId="0" borderId="0" xfId="0" applyFont="1" applyFill="1">
      <alignment vertical="center"/>
    </xf>
    <xf numFmtId="181" fontId="0" fillId="0" borderId="12" xfId="0" applyNumberFormat="1" applyFont="1" applyFill="1" applyBorder="1">
      <alignment vertical="center"/>
    </xf>
    <xf numFmtId="0" fontId="0" fillId="0" borderId="12" xfId="0" applyFont="1" applyFill="1" applyBorder="1">
      <alignment vertical="center"/>
    </xf>
    <xf numFmtId="186" fontId="0" fillId="0" borderId="12" xfId="0" applyNumberFormat="1" applyFont="1" applyFill="1" applyBorder="1">
      <alignment vertical="center"/>
    </xf>
    <xf numFmtId="0" fontId="0" fillId="0" borderId="0" xfId="0" applyFont="1">
      <alignment vertical="center"/>
    </xf>
    <xf numFmtId="0" fontId="29" fillId="13" borderId="0" xfId="0" applyFont="1" applyFill="1">
      <alignment vertical="center"/>
    </xf>
    <xf numFmtId="0" fontId="32" fillId="0" borderId="12" xfId="0" applyFont="1" applyFill="1" applyBorder="1" applyAlignment="1">
      <alignment vertical="center"/>
    </xf>
    <xf numFmtId="0" fontId="0" fillId="0" borderId="12" xfId="0" applyFont="1" applyFill="1" applyBorder="1" applyAlignment="1">
      <alignment horizontal="center" vertical="center"/>
    </xf>
    <xf numFmtId="0" fontId="35" fillId="14" borderId="12" xfId="0" applyFont="1" applyFill="1" applyBorder="1">
      <alignment vertical="center"/>
    </xf>
    <xf numFmtId="0" fontId="32" fillId="14" borderId="12" xfId="0" applyFont="1" applyFill="1" applyBorder="1" applyAlignment="1">
      <alignment vertical="center"/>
    </xf>
    <xf numFmtId="0" fontId="0" fillId="14" borderId="12" xfId="0" applyFont="1" applyFill="1" applyBorder="1" applyAlignment="1">
      <alignment horizontal="center" vertical="center"/>
    </xf>
    <xf numFmtId="0" fontId="0" fillId="14" borderId="12" xfId="0" applyFont="1" applyFill="1" applyBorder="1" applyAlignment="1">
      <alignment horizontal="center" vertical="center" shrinkToFit="1"/>
    </xf>
    <xf numFmtId="0" fontId="0" fillId="14" borderId="12" xfId="0" applyFont="1" applyFill="1" applyBorder="1">
      <alignment vertical="center"/>
    </xf>
    <xf numFmtId="186" fontId="0" fillId="14" borderId="12" xfId="0" applyNumberFormat="1" applyFont="1" applyFill="1" applyBorder="1">
      <alignment vertical="center"/>
    </xf>
    <xf numFmtId="0" fontId="0" fillId="14" borderId="12" xfId="0" applyNumberFormat="1" applyFont="1" applyFill="1" applyBorder="1" applyAlignment="1">
      <alignment vertical="center"/>
    </xf>
    <xf numFmtId="187" fontId="0" fillId="14" borderId="12" xfId="0" applyNumberFormat="1" applyFont="1" applyFill="1" applyBorder="1">
      <alignment vertical="center"/>
    </xf>
    <xf numFmtId="187" fontId="32" fillId="14" borderId="12" xfId="0" applyNumberFormat="1" applyFont="1" applyFill="1" applyBorder="1">
      <alignment vertical="center"/>
    </xf>
    <xf numFmtId="185" fontId="0" fillId="14" borderId="12" xfId="0" applyNumberFormat="1" applyFont="1" applyFill="1" applyBorder="1">
      <alignment vertical="center"/>
    </xf>
    <xf numFmtId="186" fontId="0" fillId="14" borderId="1" xfId="0" applyNumberFormat="1" applyFont="1" applyFill="1" applyBorder="1">
      <alignment vertical="center"/>
    </xf>
    <xf numFmtId="186" fontId="0" fillId="14" borderId="2" xfId="0" applyNumberFormat="1" applyFont="1" applyFill="1" applyBorder="1">
      <alignment vertical="center"/>
    </xf>
    <xf numFmtId="186" fontId="0" fillId="14" borderId="3" xfId="0" applyNumberFormat="1" applyFont="1" applyFill="1" applyBorder="1">
      <alignment vertical="center"/>
    </xf>
    <xf numFmtId="188" fontId="0" fillId="14" borderId="12" xfId="0" applyNumberFormat="1" applyFont="1" applyFill="1" applyBorder="1">
      <alignment vertical="center"/>
    </xf>
    <xf numFmtId="38" fontId="0" fillId="14" borderId="12" xfId="1" applyFont="1" applyFill="1" applyBorder="1">
      <alignment vertical="center"/>
    </xf>
    <xf numFmtId="0" fontId="0" fillId="14" borderId="0" xfId="0" applyFont="1" applyFill="1">
      <alignment vertical="center"/>
    </xf>
    <xf numFmtId="181" fontId="0" fillId="14" borderId="12" xfId="0" applyNumberFormat="1" applyFont="1" applyFill="1" applyBorder="1">
      <alignment vertical="center"/>
    </xf>
    <xf numFmtId="0" fontId="46" fillId="0" borderId="12" xfId="0" applyFont="1" applyBorder="1" applyAlignment="1">
      <alignment vertical="center"/>
    </xf>
    <xf numFmtId="0" fontId="0" fillId="5" borderId="12" xfId="0" applyNumberFormat="1" applyFont="1" applyFill="1" applyBorder="1" applyAlignment="1">
      <alignment horizontal="center" vertical="center"/>
    </xf>
    <xf numFmtId="0" fontId="0" fillId="5" borderId="12" xfId="0" applyFont="1" applyFill="1" applyBorder="1" applyAlignment="1">
      <alignment vertical="center"/>
    </xf>
    <xf numFmtId="178" fontId="0" fillId="5" borderId="1" xfId="0" applyNumberFormat="1" applyFont="1" applyFill="1" applyBorder="1">
      <alignment vertical="center"/>
    </xf>
    <xf numFmtId="0" fontId="0" fillId="0" borderId="12" xfId="0" applyNumberFormat="1" applyFont="1" applyBorder="1">
      <alignment vertical="center"/>
    </xf>
    <xf numFmtId="187" fontId="0" fillId="4" borderId="12" xfId="0" applyNumberFormat="1" applyFont="1" applyFill="1" applyBorder="1" applyAlignment="1">
      <alignment horizontal="right" vertical="center"/>
    </xf>
    <xf numFmtId="187" fontId="47" fillId="0" borderId="0" xfId="0" applyNumberFormat="1" applyFont="1">
      <alignment vertical="center"/>
    </xf>
    <xf numFmtId="187" fontId="29" fillId="13" borderId="0" xfId="0" applyNumberFormat="1" applyFont="1" applyFill="1">
      <alignment vertical="center"/>
    </xf>
    <xf numFmtId="0" fontId="32" fillId="13" borderId="0" xfId="0" applyFont="1" applyFill="1" applyAlignment="1">
      <alignment vertical="center"/>
    </xf>
    <xf numFmtId="187" fontId="29" fillId="13" borderId="0" xfId="0" applyNumberFormat="1" applyFont="1" applyFill="1" applyAlignment="1">
      <alignment horizontal="center" vertical="center"/>
    </xf>
    <xf numFmtId="186" fontId="29" fillId="13" borderId="0" xfId="0" applyNumberFormat="1" applyFont="1" applyFill="1">
      <alignment vertical="center"/>
    </xf>
    <xf numFmtId="0" fontId="29" fillId="13" borderId="0" xfId="0" applyFont="1" applyFill="1" applyAlignment="1">
      <alignment horizontal="center" vertical="center"/>
    </xf>
    <xf numFmtId="0" fontId="29" fillId="13" borderId="0" xfId="0" applyNumberFormat="1" applyFont="1" applyFill="1" applyAlignment="1">
      <alignment vertical="center"/>
    </xf>
    <xf numFmtId="49" fontId="3" fillId="0" borderId="0" xfId="0" applyNumberFormat="1" applyFont="1" applyAlignment="1" applyProtection="1">
      <alignment vertical="center"/>
      <protection locked="0"/>
    </xf>
    <xf numFmtId="0" fontId="48" fillId="0" borderId="0" xfId="0" applyNumberFormat="1" applyFont="1" applyFill="1" applyAlignment="1" applyProtection="1">
      <alignment vertical="center"/>
      <protection locked="0"/>
    </xf>
    <xf numFmtId="49" fontId="48" fillId="0" borderId="0" xfId="0" applyNumberFormat="1" applyFont="1" applyFill="1" applyAlignment="1" applyProtection="1">
      <alignment vertical="center"/>
      <protection locked="0"/>
    </xf>
    <xf numFmtId="0" fontId="3" fillId="0" borderId="0" xfId="0" applyFo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5" fillId="0" borderId="0" xfId="0" applyFont="1" applyProtection="1">
      <alignment vertical="center"/>
    </xf>
    <xf numFmtId="0" fontId="3" fillId="0" borderId="0" xfId="0" applyFont="1" applyBorder="1" applyProtection="1">
      <alignment vertical="center"/>
    </xf>
    <xf numFmtId="0" fontId="3" fillId="3" borderId="0" xfId="0" applyFont="1" applyFill="1" applyProtection="1">
      <alignment vertical="center"/>
    </xf>
    <xf numFmtId="181" fontId="0" fillId="5" borderId="12" xfId="0" applyNumberFormat="1" applyFont="1" applyFill="1" applyBorder="1">
      <alignment vertical="center"/>
    </xf>
    <xf numFmtId="0" fontId="3" fillId="0" borderId="0" xfId="0" applyFont="1" applyFill="1" applyProtection="1">
      <alignment vertical="center"/>
    </xf>
    <xf numFmtId="0" fontId="3" fillId="0" borderId="12" xfId="0" applyFont="1" applyBorder="1" applyAlignment="1" applyProtection="1">
      <alignment horizontal="center" vertical="center"/>
      <protection locked="0"/>
    </xf>
    <xf numFmtId="0" fontId="3" fillId="0" borderId="0" xfId="0" applyFont="1" applyAlignment="1">
      <alignment horizontal="left" vertical="center" wrapText="1"/>
    </xf>
    <xf numFmtId="0" fontId="24" fillId="3" borderId="1"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3" fillId="0" borderId="7" xfId="0" applyFont="1" applyBorder="1" applyAlignment="1">
      <alignment horizontal="center" vertical="center"/>
    </xf>
    <xf numFmtId="0" fontId="3" fillId="0" borderId="11" xfId="0" applyFont="1" applyBorder="1" applyAlignment="1">
      <alignment horizontal="center" vertical="center"/>
    </xf>
    <xf numFmtId="177" fontId="3" fillId="0" borderId="5"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182" fontId="3" fillId="2" borderId="1" xfId="0" applyNumberFormat="1" applyFont="1" applyFill="1" applyBorder="1" applyAlignment="1">
      <alignment horizontal="center" vertical="center"/>
    </xf>
    <xf numFmtId="182" fontId="3" fillId="2" borderId="2" xfId="0"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183" fontId="3" fillId="0" borderId="1" xfId="0" applyNumberFormat="1" applyFont="1" applyBorder="1" applyAlignment="1" applyProtection="1">
      <alignment horizontal="right" vertical="center"/>
      <protection locked="0"/>
    </xf>
    <xf numFmtId="183" fontId="3" fillId="0" borderId="2" xfId="0" applyNumberFormat="1" applyFont="1" applyBorder="1" applyAlignment="1" applyProtection="1">
      <alignment horizontal="right" vertical="center"/>
      <protection locked="0"/>
    </xf>
    <xf numFmtId="183" fontId="3" fillId="0" borderId="3" xfId="0" applyNumberFormat="1" applyFont="1" applyBorder="1" applyAlignment="1" applyProtection="1">
      <alignment horizontal="right"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178" fontId="3" fillId="0" borderId="1" xfId="0" applyNumberFormat="1" applyFont="1" applyFill="1" applyBorder="1" applyAlignment="1" applyProtection="1">
      <alignment horizontal="right" vertical="center"/>
      <protection locked="0"/>
    </xf>
    <xf numFmtId="178" fontId="3" fillId="0" borderId="2" xfId="0" applyNumberFormat="1" applyFont="1" applyFill="1" applyBorder="1" applyAlignment="1" applyProtection="1">
      <alignment horizontal="right" vertical="center"/>
      <protection locked="0"/>
    </xf>
    <xf numFmtId="177" fontId="3" fillId="0" borderId="2" xfId="0" applyNumberFormat="1" applyFont="1" applyFill="1" applyBorder="1" applyAlignment="1" applyProtection="1">
      <alignment horizontal="center" vertical="center"/>
      <protection locked="0"/>
    </xf>
    <xf numFmtId="181" fontId="3" fillId="2" borderId="1" xfId="0" applyNumberFormat="1" applyFont="1" applyFill="1" applyBorder="1" applyAlignment="1">
      <alignment horizontal="center" vertical="center"/>
    </xf>
    <xf numFmtId="181" fontId="3" fillId="2" borderId="2" xfId="0" applyNumberFormat="1" applyFont="1" applyFill="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181" fontId="3" fillId="2" borderId="6" xfId="0" applyNumberFormat="1" applyFont="1" applyFill="1" applyBorder="1" applyAlignment="1">
      <alignment horizontal="center" vertical="center"/>
    </xf>
    <xf numFmtId="181" fontId="3" fillId="2" borderId="5" xfId="0" applyNumberFormat="1" applyFont="1" applyFill="1" applyBorder="1" applyAlignment="1">
      <alignment horizontal="center" vertical="center"/>
    </xf>
    <xf numFmtId="181" fontId="3" fillId="2" borderId="7" xfId="0" applyNumberFormat="1" applyFont="1" applyFill="1" applyBorder="1" applyAlignment="1">
      <alignment horizontal="center" vertical="center"/>
    </xf>
    <xf numFmtId="181" fontId="3" fillId="2" borderId="9" xfId="0" applyNumberFormat="1" applyFont="1" applyFill="1" applyBorder="1" applyAlignment="1">
      <alignment horizontal="center" vertical="center"/>
    </xf>
    <xf numFmtId="181" fontId="3" fillId="2" borderId="10" xfId="0" applyNumberFormat="1" applyFont="1" applyFill="1" applyBorder="1" applyAlignment="1">
      <alignment horizontal="center" vertical="center"/>
    </xf>
    <xf numFmtId="181" fontId="3" fillId="2" borderId="11"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horizontal="left" vertical="center" wrapTex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9" fillId="0" borderId="0" xfId="0" applyFont="1" applyAlignment="1">
      <alignment horizontal="left" vertical="center" wrapText="1"/>
    </xf>
    <xf numFmtId="0" fontId="2"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7" fillId="0" borderId="12" xfId="0" applyFont="1" applyBorder="1" applyAlignment="1">
      <alignment horizontal="center"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0" fontId="13" fillId="0" borderId="0" xfId="0" applyFont="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8" fontId="3" fillId="0" borderId="10"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178" fontId="3" fillId="0" borderId="0" xfId="0" applyNumberFormat="1" applyFont="1" applyBorder="1" applyAlignment="1" applyProtection="1">
      <alignment horizontal="right" vertical="center"/>
      <protection locked="0"/>
    </xf>
    <xf numFmtId="177" fontId="3" fillId="0" borderId="0"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3" xfId="0" applyNumberFormat="1" applyFont="1" applyBorder="1" applyAlignment="1" applyProtection="1">
      <alignment horizontal="left" vertical="center"/>
      <protection locked="0"/>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5" fillId="0" borderId="0" xfId="0" applyFont="1" applyBorder="1" applyAlignment="1">
      <alignment horizontal="left" vertical="center" wrapText="1"/>
    </xf>
    <xf numFmtId="179" fontId="3" fillId="0" borderId="0" xfId="0" applyNumberFormat="1" applyFont="1" applyBorder="1" applyAlignment="1">
      <alignment horizontal="center" vertical="center"/>
    </xf>
    <xf numFmtId="0" fontId="6" fillId="0" borderId="0" xfId="0" applyFont="1" applyAlignment="1">
      <alignment horizontal="center" vertical="center"/>
    </xf>
    <xf numFmtId="180" fontId="3" fillId="0" borderId="0" xfId="0" applyNumberFormat="1" applyFont="1" applyBorder="1" applyAlignment="1">
      <alignment horizontal="center" vertical="center"/>
    </xf>
    <xf numFmtId="180" fontId="3" fillId="0" borderId="1" xfId="0" applyNumberFormat="1" applyFont="1" applyBorder="1" applyAlignment="1" applyProtection="1">
      <alignment horizontal="right" vertical="center"/>
      <protection locked="0"/>
    </xf>
    <xf numFmtId="180" fontId="3" fillId="0" borderId="2" xfId="0" applyNumberFormat="1" applyFont="1" applyBorder="1" applyAlignment="1" applyProtection="1">
      <alignment horizontal="right" vertical="center"/>
      <protection locked="0"/>
    </xf>
    <xf numFmtId="180" fontId="3" fillId="0" borderId="3" xfId="0" applyNumberFormat="1" applyFont="1" applyBorder="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49" fontId="3" fillId="0" borderId="9"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0" fontId="3" fillId="0" borderId="12" xfId="0" applyFont="1" applyBorder="1" applyAlignment="1" applyProtection="1">
      <alignment horizontal="center" vertical="center" shrinkToFit="1"/>
      <protection locked="0"/>
    </xf>
    <xf numFmtId="0" fontId="3" fillId="0" borderId="12" xfId="0" applyFont="1" applyBorder="1" applyAlignment="1" applyProtection="1">
      <alignment horizontal="left" vertical="center"/>
      <protection locked="0"/>
    </xf>
    <xf numFmtId="0" fontId="5" fillId="0" borderId="0" xfId="0" applyFont="1" applyBorder="1" applyAlignment="1">
      <alignment horizontal="center" vertical="center"/>
    </xf>
    <xf numFmtId="0" fontId="3" fillId="0" borderId="6" xfId="0" applyFont="1" applyBorder="1" applyAlignment="1" applyProtection="1">
      <alignment horizontal="left" vertical="center"/>
      <protection locked="0"/>
    </xf>
    <xf numFmtId="178" fontId="3" fillId="0" borderId="5" xfId="0" applyNumberFormat="1" applyFont="1" applyBorder="1" applyAlignment="1" applyProtection="1">
      <alignment horizontal="right" vertical="center"/>
      <protection locked="0"/>
    </xf>
    <xf numFmtId="185" fontId="3" fillId="0" borderId="1" xfId="0" applyNumberFormat="1" applyFont="1" applyBorder="1" applyAlignment="1" applyProtection="1">
      <alignment horizontal="center" vertical="center"/>
      <protection locked="0"/>
    </xf>
    <xf numFmtId="185" fontId="3" fillId="0" borderId="2" xfId="0" applyNumberFormat="1" applyFont="1" applyBorder="1" applyAlignment="1" applyProtection="1">
      <alignment horizontal="center" vertical="center"/>
      <protection locked="0"/>
    </xf>
    <xf numFmtId="0" fontId="8"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2" fillId="0" borderId="0"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184" fontId="3" fillId="0" borderId="1" xfId="0" applyNumberFormat="1" applyFont="1" applyBorder="1" applyAlignment="1">
      <alignment horizontal="right" vertical="center"/>
    </xf>
    <xf numFmtId="184" fontId="3" fillId="0" borderId="2" xfId="0" applyNumberFormat="1" applyFont="1" applyBorder="1" applyAlignment="1">
      <alignment horizontal="right" vertical="center"/>
    </xf>
    <xf numFmtId="184" fontId="3" fillId="0" borderId="1" xfId="0" applyNumberFormat="1" applyFont="1" applyBorder="1" applyAlignment="1" applyProtection="1">
      <alignment horizontal="right" vertical="center"/>
    </xf>
    <xf numFmtId="184" fontId="3" fillId="0" borderId="2" xfId="0" applyNumberFormat="1" applyFont="1" applyBorder="1" applyAlignment="1" applyProtection="1">
      <alignment horizontal="right" vertical="center"/>
    </xf>
    <xf numFmtId="0" fontId="3" fillId="0" borderId="0" xfId="0" applyFont="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0" xfId="0" applyNumberFormat="1" applyFont="1" applyAlignment="1">
      <alignment horizontal="left" vertical="center"/>
    </xf>
    <xf numFmtId="0" fontId="48" fillId="0" borderId="0" xfId="0" applyNumberFormat="1" applyFont="1" applyFill="1" applyAlignment="1" applyProtection="1">
      <alignment horizontal="center" vertical="center"/>
      <protection locked="0"/>
    </xf>
    <xf numFmtId="0" fontId="3" fillId="0" borderId="0" xfId="0" applyNumberFormat="1" applyFont="1" applyAlignment="1">
      <alignment horizontal="left" vertical="center" wrapText="1"/>
    </xf>
    <xf numFmtId="0" fontId="3" fillId="0" borderId="0" xfId="0" applyFont="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2" xfId="0" applyNumberFormat="1" applyFont="1" applyFill="1" applyBorder="1" applyAlignment="1" applyProtection="1">
      <alignment horizontal="center" vertical="center"/>
      <protection locked="0"/>
    </xf>
    <xf numFmtId="49" fontId="7" fillId="0" borderId="3"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3" fillId="0" borderId="5" xfId="0" applyFont="1" applyFill="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25" fillId="0" borderId="10" xfId="0" applyFont="1" applyBorder="1" applyAlignment="1">
      <alignment horizontal="left" vertical="center" wrapText="1"/>
    </xf>
    <xf numFmtId="0" fontId="26" fillId="0" borderId="0" xfId="0" applyFont="1" applyAlignment="1">
      <alignment horizontal="left" vertical="center" wrapText="1"/>
    </xf>
    <xf numFmtId="187" fontId="30" fillId="6" borderId="1" xfId="0" applyNumberFormat="1" applyFont="1" applyFill="1" applyBorder="1" applyAlignment="1">
      <alignment horizontal="center" vertical="center"/>
    </xf>
    <xf numFmtId="187" fontId="30" fillId="6" borderId="2" xfId="0" applyNumberFormat="1" applyFont="1" applyFill="1" applyBorder="1" applyAlignment="1">
      <alignment horizontal="center" vertical="center"/>
    </xf>
    <xf numFmtId="187" fontId="30" fillId="6" borderId="3" xfId="0" applyNumberFormat="1" applyFont="1" applyFill="1" applyBorder="1" applyAlignment="1">
      <alignment horizontal="center" vertical="center"/>
    </xf>
    <xf numFmtId="186" fontId="29" fillId="0" borderId="1"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3" xfId="0" applyNumberFormat="1" applyFont="1" applyFill="1" applyBorder="1" applyAlignment="1">
      <alignment horizontal="center" vertical="center"/>
    </xf>
    <xf numFmtId="187" fontId="29" fillId="4" borderId="0" xfId="0" applyNumberFormat="1" applyFont="1" applyFill="1" applyAlignment="1">
      <alignment horizontal="center" vertical="top" wrapText="1"/>
    </xf>
    <xf numFmtId="187" fontId="29" fillId="4" borderId="10" xfId="0" applyNumberFormat="1" applyFont="1" applyFill="1" applyBorder="1" applyAlignment="1">
      <alignment horizontal="center" vertical="top" wrapText="1"/>
    </xf>
    <xf numFmtId="0" fontId="33" fillId="0" borderId="6"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7" xfId="0" applyFont="1" applyFill="1" applyBorder="1" applyAlignment="1">
      <alignment horizontal="left" vertical="top" wrapText="1"/>
    </xf>
    <xf numFmtId="0" fontId="33" fillId="0" borderId="9"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11" xfId="0" applyFont="1" applyFill="1" applyBorder="1" applyAlignment="1">
      <alignment horizontal="left" vertical="top" wrapText="1"/>
    </xf>
    <xf numFmtId="0" fontId="3" fillId="0" borderId="0" xfId="0" applyFont="1" applyAlignment="1">
      <alignment horizontal="left" vertical="top" wrapText="1"/>
    </xf>
    <xf numFmtId="0" fontId="20" fillId="0" borderId="0" xfId="0" applyFont="1" applyAlignment="1">
      <alignment horizontal="center" vertical="center"/>
    </xf>
    <xf numFmtId="0" fontId="3" fillId="0" borderId="0" xfId="0" applyFont="1" applyAlignment="1">
      <alignment horizontal="left" vertical="center"/>
    </xf>
  </cellXfs>
  <cellStyles count="2">
    <cellStyle name="桁区切り" xfId="1" builtinId="6"/>
    <cellStyle name="標準" xfId="0" builtinId="0"/>
  </cellStyles>
  <dxfs count="8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0000FF"/>
      <color rgb="FF0066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I227"/>
  <sheetViews>
    <sheetView showGridLines="0" view="pageBreakPreview" topLeftCell="A16" zoomScaleNormal="100" zoomScaleSheetLayoutView="100" workbookViewId="0">
      <selection activeCell="B54" sqref="B54"/>
    </sheetView>
  </sheetViews>
  <sheetFormatPr defaultColWidth="3.125" defaultRowHeight="13.5" x14ac:dyDescent="0.15"/>
  <cols>
    <col min="1" max="1" width="4.25" style="1" customWidth="1"/>
    <col min="2" max="2" width="3.625" style="1" customWidth="1"/>
    <col min="3" max="3" width="3.5" style="1" bestFit="1" customWidth="1"/>
    <col min="4" max="11" width="3.125" style="1"/>
    <col min="12" max="12" width="3.5" style="1" bestFit="1" customWidth="1"/>
    <col min="13" max="16" width="3.125" style="1"/>
    <col min="17" max="17" width="3.5" style="1" bestFit="1" customWidth="1"/>
    <col min="18" max="21" width="3.125" style="1"/>
    <col min="22" max="22" width="3.5" style="1" bestFit="1" customWidth="1"/>
    <col min="23" max="26" width="3.125" style="1"/>
    <col min="27" max="27" width="3.75" style="3" customWidth="1"/>
    <col min="28" max="28" width="9.125" style="4" bestFit="1" customWidth="1"/>
    <col min="29" max="31" width="3.125" style="4"/>
    <col min="32" max="35" width="3.5" style="4" bestFit="1" customWidth="1"/>
    <col min="36" max="39" width="3.125" style="4"/>
    <col min="40" max="41" width="3.5" style="4" bestFit="1" customWidth="1"/>
    <col min="42" max="55" width="3.125" style="4"/>
    <col min="56" max="58" width="3.125" style="1"/>
    <col min="59" max="59" width="7.25" style="1" customWidth="1"/>
    <col min="60" max="16384" width="3.125" style="1"/>
  </cols>
  <sheetData>
    <row r="1" spans="1:165" ht="13.5" customHeight="1" x14ac:dyDescent="0.15">
      <c r="A1" s="1" t="s">
        <v>122</v>
      </c>
      <c r="K1" s="2"/>
      <c r="L1" s="2"/>
      <c r="M1" s="2"/>
      <c r="N1" s="2"/>
      <c r="O1" s="2"/>
      <c r="P1" s="2"/>
      <c r="Q1" s="2"/>
      <c r="R1" s="2"/>
      <c r="Z1" s="51"/>
      <c r="AA1" s="51" t="s">
        <v>183</v>
      </c>
      <c r="AC1" s="5" t="s">
        <v>70</v>
      </c>
      <c r="BG1" s="1" t="s">
        <v>91</v>
      </c>
      <c r="BH1" s="1" t="s">
        <v>109</v>
      </c>
    </row>
    <row r="2" spans="1:165" ht="7.5" customHeight="1" x14ac:dyDescent="0.15">
      <c r="K2" s="2"/>
      <c r="L2" s="2"/>
      <c r="M2" s="2"/>
      <c r="N2" s="2"/>
      <c r="O2" s="2"/>
      <c r="P2" s="2"/>
      <c r="Q2" s="2"/>
      <c r="R2" s="2"/>
      <c r="AC2" s="5" t="s">
        <v>71</v>
      </c>
      <c r="BG2" s="1" t="s">
        <v>92</v>
      </c>
      <c r="BH2" s="1" t="s">
        <v>110</v>
      </c>
    </row>
    <row r="3" spans="1:165" ht="17.25" x14ac:dyDescent="0.15">
      <c r="A3" s="433" t="s">
        <v>182</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C3" s="5" t="s">
        <v>67</v>
      </c>
      <c r="BG3" s="1" t="s">
        <v>93</v>
      </c>
      <c r="BH3" s="1" t="s">
        <v>111</v>
      </c>
    </row>
    <row r="4" spans="1:165" ht="6" customHeight="1" x14ac:dyDescent="0.15">
      <c r="AC4" s="5"/>
      <c r="BG4" s="1" t="s">
        <v>94</v>
      </c>
      <c r="BH4" s="1" t="s">
        <v>110</v>
      </c>
    </row>
    <row r="5" spans="1:165" x14ac:dyDescent="0.15">
      <c r="A5" s="338" t="s">
        <v>169</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BG5" s="1" t="s">
        <v>95</v>
      </c>
      <c r="BH5" s="1" t="s">
        <v>109</v>
      </c>
    </row>
    <row r="6" spans="1:165" x14ac:dyDescent="0.15">
      <c r="A6" s="338"/>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BG6" s="1" t="s">
        <v>96</v>
      </c>
      <c r="BH6" s="1" t="s">
        <v>109</v>
      </c>
    </row>
    <row r="7" spans="1:165" ht="7.5" customHeight="1" x14ac:dyDescent="0.15">
      <c r="BG7" s="1" t="s">
        <v>97</v>
      </c>
      <c r="BH7" s="1" t="s">
        <v>109</v>
      </c>
    </row>
    <row r="8" spans="1:165" x14ac:dyDescent="0.15">
      <c r="C8" s="418"/>
      <c r="D8" s="418"/>
      <c r="E8" s="418"/>
      <c r="F8" s="418"/>
      <c r="G8" s="1" t="s">
        <v>9</v>
      </c>
      <c r="H8" s="419"/>
      <c r="I8" s="419"/>
      <c r="J8" s="1" t="s">
        <v>25</v>
      </c>
      <c r="K8" s="419"/>
      <c r="L8" s="419"/>
      <c r="M8" s="1" t="s">
        <v>8</v>
      </c>
      <c r="AB8" s="5" t="str">
        <f>IF(OR(C8="",H8="",K8=""),"←リストから選択してください（和暦年月日）","")</f>
        <v>←リストから選択してください（和暦年月日）</v>
      </c>
      <c r="BG8" s="1" t="s">
        <v>112</v>
      </c>
      <c r="BH8" s="1" t="s">
        <v>109</v>
      </c>
    </row>
    <row r="9" spans="1:165" ht="4.5" customHeight="1" x14ac:dyDescent="0.15">
      <c r="BG9" s="1" t="s">
        <v>98</v>
      </c>
      <c r="BH9" s="1" t="s">
        <v>111</v>
      </c>
    </row>
    <row r="10" spans="1:165" x14ac:dyDescent="0.15">
      <c r="K10" s="6" t="s">
        <v>24</v>
      </c>
      <c r="L10" s="7" t="s">
        <v>14</v>
      </c>
      <c r="M10" s="8"/>
      <c r="N10" s="9" t="s">
        <v>11</v>
      </c>
      <c r="O10" s="429"/>
      <c r="P10" s="429"/>
      <c r="Q10" s="429"/>
      <c r="R10" s="429"/>
      <c r="S10" s="429"/>
      <c r="T10" s="429"/>
      <c r="U10" s="429"/>
      <c r="V10" s="429"/>
      <c r="W10" s="429"/>
      <c r="X10" s="429"/>
      <c r="Y10" s="429"/>
      <c r="Z10" s="430"/>
      <c r="AA10" s="10"/>
      <c r="AB10" s="5" t="str">
        <f>IF(O10="","←直接郵便番号を記入してください","")</f>
        <v>←直接郵便番号を記入してください</v>
      </c>
      <c r="BG10" s="1" t="s">
        <v>99</v>
      </c>
      <c r="BH10" s="1" t="s">
        <v>111</v>
      </c>
    </row>
    <row r="11" spans="1:165" ht="21.95" customHeight="1" x14ac:dyDescent="0.15">
      <c r="L11" s="11"/>
      <c r="M11" s="12"/>
      <c r="N11" s="426"/>
      <c r="O11" s="427"/>
      <c r="P11" s="427"/>
      <c r="Q11" s="427"/>
      <c r="R11" s="427"/>
      <c r="S11" s="427"/>
      <c r="T11" s="427"/>
      <c r="U11" s="427"/>
      <c r="V11" s="427"/>
      <c r="W11" s="427"/>
      <c r="X11" s="427"/>
      <c r="Y11" s="427"/>
      <c r="Z11" s="428"/>
      <c r="AA11" s="10"/>
      <c r="AB11" s="5" t="str">
        <f>IF(N11="","←直接転居後の住所を記入してください","")</f>
        <v>←直接転居後の住所を記入してください</v>
      </c>
      <c r="BG11" s="1" t="s">
        <v>100</v>
      </c>
      <c r="BH11" s="1" t="s">
        <v>111</v>
      </c>
      <c r="FI11" s="1" t="e">
        <f>IF(【様式第６号の２】事業報告書兼チェックシート!Y100="",IF)</f>
        <v>#NAME?</v>
      </c>
    </row>
    <row r="12" spans="1:165" x14ac:dyDescent="0.15">
      <c r="L12" s="13" t="s">
        <v>6</v>
      </c>
      <c r="M12" s="14"/>
      <c r="N12" s="420"/>
      <c r="O12" s="421"/>
      <c r="P12" s="421"/>
      <c r="Q12" s="421"/>
      <c r="R12" s="421"/>
      <c r="S12" s="421"/>
      <c r="T12" s="421"/>
      <c r="U12" s="421"/>
      <c r="V12" s="421"/>
      <c r="W12" s="421"/>
      <c r="X12" s="421"/>
      <c r="Y12" s="421"/>
      <c r="Z12" s="422"/>
      <c r="AB12" s="5" t="str">
        <f>IF(N12="","←直接建築主の氏名を記入してください","")</f>
        <v>←直接建築主の氏名を記入してください</v>
      </c>
      <c r="BG12" s="1" t="s">
        <v>101</v>
      </c>
      <c r="BH12" s="1" t="s">
        <v>111</v>
      </c>
    </row>
    <row r="13" spans="1:165" x14ac:dyDescent="0.15">
      <c r="L13" s="13" t="s">
        <v>10</v>
      </c>
      <c r="M13" s="14"/>
      <c r="N13" s="423"/>
      <c r="O13" s="424"/>
      <c r="P13" s="424"/>
      <c r="Q13" s="424"/>
      <c r="R13" s="424"/>
      <c r="S13" s="424"/>
      <c r="T13" s="424"/>
      <c r="U13" s="424"/>
      <c r="V13" s="424"/>
      <c r="W13" s="424"/>
      <c r="X13" s="424"/>
      <c r="Y13" s="424"/>
      <c r="Z13" s="425"/>
      <c r="AB13" s="5" t="str">
        <f>IF(N13="","←直接電話番号を記入してください","")</f>
        <v>←直接電話番号を記入してください</v>
      </c>
      <c r="BG13" s="1" t="s">
        <v>102</v>
      </c>
      <c r="BH13" s="1" t="s">
        <v>110</v>
      </c>
    </row>
    <row r="14" spans="1:165" x14ac:dyDescent="0.15">
      <c r="A14" s="1" t="s">
        <v>40</v>
      </c>
      <c r="BG14" s="1" t="s">
        <v>103</v>
      </c>
      <c r="BH14" s="1" t="s">
        <v>110</v>
      </c>
    </row>
    <row r="15" spans="1:165" x14ac:dyDescent="0.15">
      <c r="A15" s="1" t="s">
        <v>39</v>
      </c>
      <c r="AA15" s="15"/>
      <c r="BG15" s="1" t="s">
        <v>104</v>
      </c>
      <c r="BH15" s="1" t="s">
        <v>110</v>
      </c>
    </row>
    <row r="16" spans="1:165" ht="27" customHeight="1" x14ac:dyDescent="0.15">
      <c r="A16" s="338" t="s">
        <v>168</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BG16" s="1" t="s">
        <v>105</v>
      </c>
      <c r="BH16" s="1" t="s">
        <v>110</v>
      </c>
    </row>
    <row r="17" spans="1:60" ht="3" customHeight="1" x14ac:dyDescent="0.15">
      <c r="AA17" s="15"/>
      <c r="BG17" s="1" t="s">
        <v>106</v>
      </c>
      <c r="BH17" s="1" t="s">
        <v>110</v>
      </c>
    </row>
    <row r="18" spans="1:60" x14ac:dyDescent="0.15">
      <c r="A18" s="1" t="s">
        <v>29</v>
      </c>
      <c r="BG18" s="1" t="s">
        <v>107</v>
      </c>
      <c r="BH18" s="1" t="s">
        <v>110</v>
      </c>
    </row>
    <row r="19" spans="1:60" ht="5.45" customHeight="1" x14ac:dyDescent="0.15">
      <c r="AA19" s="15"/>
      <c r="BG19" s="1" t="s">
        <v>108</v>
      </c>
      <c r="BH19" s="1" t="s">
        <v>110</v>
      </c>
    </row>
    <row r="20" spans="1:60" ht="13.5" customHeight="1" x14ac:dyDescent="0.15">
      <c r="B20" s="66"/>
      <c r="C20" s="404" t="s">
        <v>120</v>
      </c>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4"/>
    </row>
    <row r="21" spans="1:60" x14ac:dyDescent="0.15">
      <c r="B21" s="49"/>
      <c r="C21" s="404"/>
      <c r="D21" s="404"/>
      <c r="E21" s="404"/>
      <c r="F21" s="404"/>
      <c r="G21" s="404"/>
      <c r="H21" s="404"/>
      <c r="I21" s="404"/>
      <c r="J21" s="404"/>
      <c r="K21" s="404"/>
      <c r="L21" s="404"/>
      <c r="M21" s="404"/>
      <c r="N21" s="404"/>
      <c r="O21" s="404"/>
      <c r="P21" s="404"/>
      <c r="Q21" s="404"/>
      <c r="R21" s="404"/>
      <c r="S21" s="404"/>
      <c r="T21" s="404"/>
      <c r="U21" s="404"/>
      <c r="V21" s="404"/>
      <c r="W21" s="404"/>
      <c r="X21" s="404"/>
      <c r="Y21" s="404"/>
      <c r="Z21" s="404"/>
      <c r="AA21" s="404"/>
    </row>
    <row r="22" spans="1:60" ht="15.75" customHeight="1" x14ac:dyDescent="0.15">
      <c r="B22" s="50"/>
      <c r="C22" s="459" t="s">
        <v>121</v>
      </c>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row>
    <row r="23" spans="1:60" ht="5.45" customHeight="1" x14ac:dyDescent="0.15">
      <c r="AA23" s="15"/>
    </row>
    <row r="24" spans="1:60" ht="13.5" customHeight="1" x14ac:dyDescent="0.15">
      <c r="B24" s="66"/>
      <c r="C24" s="338" t="s">
        <v>172</v>
      </c>
      <c r="D24" s="338"/>
      <c r="E24" s="338"/>
      <c r="F24" s="338"/>
      <c r="G24" s="338"/>
      <c r="H24" s="338"/>
      <c r="I24" s="338"/>
      <c r="J24" s="338"/>
      <c r="K24" s="338"/>
      <c r="L24" s="338"/>
      <c r="M24" s="338"/>
      <c r="N24" s="338"/>
      <c r="O24" s="338"/>
      <c r="P24" s="338"/>
      <c r="Q24" s="338"/>
      <c r="R24" s="338"/>
      <c r="S24" s="338"/>
      <c r="T24" s="338"/>
      <c r="U24" s="338"/>
      <c r="V24" s="338"/>
      <c r="W24" s="338"/>
      <c r="X24" s="338"/>
      <c r="Y24" s="338"/>
      <c r="Z24" s="338"/>
      <c r="AA24" s="338"/>
    </row>
    <row r="25" spans="1:60" x14ac:dyDescent="0.15">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row>
    <row r="26" spans="1:60" ht="5.25" customHeight="1" x14ac:dyDescent="0.15">
      <c r="C26" s="17"/>
      <c r="D26" s="16"/>
    </row>
    <row r="27" spans="1:60" ht="4.5" customHeight="1" x14ac:dyDescent="0.15">
      <c r="C27" s="16"/>
    </row>
    <row r="28" spans="1:60" ht="3.75" customHeight="1" x14ac:dyDescent="0.15">
      <c r="C28" s="16"/>
    </row>
    <row r="29" spans="1:60" x14ac:dyDescent="0.15">
      <c r="D29" s="396" t="s">
        <v>1</v>
      </c>
      <c r="E29" s="397"/>
      <c r="F29" s="397"/>
      <c r="G29" s="397"/>
      <c r="H29" s="342"/>
      <c r="I29" s="345" t="s">
        <v>85</v>
      </c>
      <c r="J29" s="346"/>
      <c r="K29" s="346"/>
      <c r="L29" s="347"/>
      <c r="M29" s="348" t="s">
        <v>426</v>
      </c>
      <c r="N29" s="349"/>
      <c r="O29" s="349"/>
      <c r="P29" s="349"/>
      <c r="Q29" s="349"/>
      <c r="R29" s="349"/>
      <c r="S29" s="349"/>
      <c r="T29" s="349"/>
      <c r="U29" s="349"/>
      <c r="V29" s="349"/>
      <c r="W29" s="349"/>
      <c r="X29" s="350"/>
      <c r="AB29" s="5" t="str">
        <f>IF(M29="","←リストから選択してください（市町村名）","")</f>
        <v/>
      </c>
      <c r="BG29" s="1" t="str">
        <f>IF(M29="","",VLOOKUP(M29,BG1:BH19,2,FALSE))</f>
        <v>鳥取県西部総合事務所長</v>
      </c>
    </row>
    <row r="30" spans="1:60" x14ac:dyDescent="0.15">
      <c r="D30" s="399"/>
      <c r="E30" s="400"/>
      <c r="F30" s="400"/>
      <c r="G30" s="400"/>
      <c r="H30" s="343"/>
      <c r="I30" s="420"/>
      <c r="J30" s="421"/>
      <c r="K30" s="421"/>
      <c r="L30" s="421"/>
      <c r="M30" s="421"/>
      <c r="N30" s="421"/>
      <c r="O30" s="421"/>
      <c r="P30" s="421"/>
      <c r="Q30" s="421"/>
      <c r="R30" s="421"/>
      <c r="S30" s="421"/>
      <c r="T30" s="421"/>
      <c r="U30" s="421"/>
      <c r="V30" s="421"/>
      <c r="W30" s="421"/>
      <c r="X30" s="422"/>
      <c r="AB30" s="5" t="str">
        <f>IF(I30="","←市町村名より後の所在地を直接記入してください","")</f>
        <v>←市町村名より後の所在地を直接記入してください</v>
      </c>
    </row>
    <row r="31" spans="1:60" x14ac:dyDescent="0.15">
      <c r="D31" s="396" t="s">
        <v>123</v>
      </c>
      <c r="E31" s="397"/>
      <c r="F31" s="397"/>
      <c r="G31" s="397"/>
      <c r="H31" s="342"/>
      <c r="I31" s="348" t="s">
        <v>442</v>
      </c>
      <c r="J31" s="349"/>
      <c r="K31" s="349"/>
      <c r="L31" s="349"/>
      <c r="M31" s="349"/>
      <c r="N31" s="350"/>
      <c r="O31" s="345" t="s">
        <v>89</v>
      </c>
      <c r="P31" s="346"/>
      <c r="Q31" s="346"/>
      <c r="R31" s="347"/>
      <c r="S31" s="451"/>
      <c r="T31" s="452"/>
      <c r="U31" s="452"/>
      <c r="V31" s="452"/>
      <c r="W31" s="346" t="s">
        <v>76</v>
      </c>
      <c r="X31" s="347"/>
      <c r="AB31" s="5" t="str">
        <f>IF(I31="","←リストから選択してください（増築、改築、修繕、模様替）","")</f>
        <v/>
      </c>
    </row>
    <row r="32" spans="1:60" x14ac:dyDescent="0.15">
      <c r="D32" s="396" t="s">
        <v>117</v>
      </c>
      <c r="E32" s="397"/>
      <c r="F32" s="397"/>
      <c r="G32" s="397"/>
      <c r="H32" s="342"/>
      <c r="I32" s="441"/>
      <c r="J32" s="442"/>
      <c r="K32" s="442"/>
      <c r="L32" s="342" t="s">
        <v>137</v>
      </c>
      <c r="M32" s="431"/>
      <c r="N32" s="431"/>
      <c r="O32" s="431"/>
      <c r="P32" s="431"/>
      <c r="Q32" s="431"/>
      <c r="R32" s="448"/>
      <c r="S32" s="448"/>
      <c r="T32" s="448"/>
      <c r="U32" s="448"/>
      <c r="V32" s="392"/>
      <c r="W32" s="392"/>
      <c r="X32" s="56"/>
      <c r="AB32" s="18" t="str">
        <f>IF(I32="","←延床面積を入力してください。",IF(AND(I31="併用住宅",V32=""),"←面積を入力してください。",""))</f>
        <v>←延床面積を入力してください。</v>
      </c>
    </row>
    <row r="33" spans="2:28" x14ac:dyDescent="0.15">
      <c r="D33" s="399"/>
      <c r="E33" s="400"/>
      <c r="F33" s="400"/>
      <c r="G33" s="400"/>
      <c r="H33" s="343"/>
      <c r="I33" s="441"/>
      <c r="J33" s="442"/>
      <c r="K33" s="442"/>
      <c r="L33" s="343"/>
      <c r="M33" s="431"/>
      <c r="N33" s="431"/>
      <c r="O33" s="431"/>
      <c r="P33" s="431"/>
      <c r="Q33" s="431"/>
      <c r="R33" s="448"/>
      <c r="S33" s="448"/>
      <c r="T33" s="448"/>
      <c r="U33" s="448"/>
      <c r="V33" s="392"/>
      <c r="W33" s="392"/>
      <c r="X33" s="57"/>
      <c r="AB33" s="18" t="str">
        <f>IF(AND(I31="併用住宅",V33=""),"←面積を入力してください。","")</f>
        <v/>
      </c>
    </row>
    <row r="34" spans="2:28" x14ac:dyDescent="0.15">
      <c r="D34" s="354" t="s">
        <v>27</v>
      </c>
      <c r="E34" s="354"/>
      <c r="F34" s="354"/>
      <c r="G34" s="354"/>
      <c r="H34" s="354"/>
      <c r="I34" s="447"/>
      <c r="J34" s="447"/>
      <c r="K34" s="447"/>
      <c r="L34" s="447"/>
      <c r="M34" s="447"/>
      <c r="N34" s="447"/>
      <c r="O34" s="447"/>
      <c r="P34" s="447"/>
      <c r="Q34" s="447"/>
      <c r="R34" s="447"/>
      <c r="S34" s="447"/>
      <c r="T34" s="447"/>
      <c r="U34" s="447"/>
      <c r="V34" s="447"/>
      <c r="W34" s="447"/>
      <c r="X34" s="447"/>
      <c r="AB34" s="5" t="str">
        <f>IF(I34="","←リストから選択してください（在来軸組工法・その他）","")</f>
        <v>←リストから選択してください（在来軸組工法・その他）</v>
      </c>
    </row>
    <row r="35" spans="2:28" x14ac:dyDescent="0.15">
      <c r="D35" s="396" t="s">
        <v>2</v>
      </c>
      <c r="E35" s="397"/>
      <c r="F35" s="397"/>
      <c r="G35" s="397"/>
      <c r="H35" s="342"/>
      <c r="I35" s="355" t="s">
        <v>118</v>
      </c>
      <c r="J35" s="356"/>
      <c r="K35" s="356"/>
      <c r="L35" s="356"/>
      <c r="M35" s="356"/>
      <c r="N35" s="450"/>
      <c r="O35" s="450"/>
      <c r="P35" s="450"/>
      <c r="Q35" s="450"/>
      <c r="R35" s="39" t="s">
        <v>9</v>
      </c>
      <c r="S35" s="344"/>
      <c r="T35" s="344"/>
      <c r="U35" s="39" t="s">
        <v>25</v>
      </c>
      <c r="V35" s="344"/>
      <c r="W35" s="344"/>
      <c r="X35" s="40" t="s">
        <v>8</v>
      </c>
      <c r="AB35" s="5" t="str">
        <f>IF(OR(N35="",S35="",V35=""),"←リストから選択してください（和暦年月日）","")</f>
        <v>←リストから選択してください（和暦年月日）</v>
      </c>
    </row>
    <row r="36" spans="2:28" x14ac:dyDescent="0.15">
      <c r="D36" s="399"/>
      <c r="E36" s="400"/>
      <c r="F36" s="400"/>
      <c r="G36" s="400"/>
      <c r="H36" s="343"/>
      <c r="I36" s="457" t="s">
        <v>119</v>
      </c>
      <c r="J36" s="458"/>
      <c r="K36" s="458"/>
      <c r="L36" s="458"/>
      <c r="M36" s="458"/>
      <c r="N36" s="414"/>
      <c r="O36" s="414"/>
      <c r="P36" s="414"/>
      <c r="Q36" s="414"/>
      <c r="R36" s="19" t="s">
        <v>9</v>
      </c>
      <c r="S36" s="351"/>
      <c r="T36" s="351"/>
      <c r="U36" s="19" t="s">
        <v>25</v>
      </c>
      <c r="V36" s="351"/>
      <c r="W36" s="351"/>
      <c r="X36" s="20" t="s">
        <v>8</v>
      </c>
      <c r="AB36" s="5" t="str">
        <f>IF(OR(N36="",S36="",V36=""),"←リストから選択してください（和暦年月日）","")</f>
        <v>←リストから選択してください（和暦年月日）</v>
      </c>
    </row>
    <row r="37" spans="2:28" ht="11.1" customHeight="1" x14ac:dyDescent="0.15">
      <c r="D37" s="453" t="str">
        <f>IF(I34="その他","（工法名）","")</f>
        <v/>
      </c>
      <c r="E37" s="453"/>
      <c r="F37" s="453"/>
      <c r="G37" s="453"/>
      <c r="H37" s="453"/>
      <c r="I37" s="454"/>
      <c r="J37" s="454"/>
      <c r="K37" s="454"/>
      <c r="L37" s="454"/>
      <c r="M37" s="454"/>
      <c r="N37" s="454"/>
      <c r="O37" s="454"/>
      <c r="P37" s="454"/>
      <c r="Q37" s="454"/>
      <c r="R37" s="454"/>
      <c r="S37" s="454"/>
      <c r="T37" s="454"/>
      <c r="U37" s="454"/>
      <c r="V37" s="454"/>
      <c r="W37" s="454"/>
      <c r="X37" s="454"/>
      <c r="Y37" s="21" t="str">
        <f>IF(AND($I$34="その他",I37=""),"←工法を直接入力してください","")</f>
        <v/>
      </c>
    </row>
    <row r="38" spans="2:28" ht="2.4500000000000002" customHeight="1" x14ac:dyDescent="0.15">
      <c r="AA38" s="15"/>
    </row>
    <row r="39" spans="2:28" x14ac:dyDescent="0.15">
      <c r="B39" s="66"/>
      <c r="C39" s="1" t="s">
        <v>114</v>
      </c>
    </row>
    <row r="40" spans="2:28" x14ac:dyDescent="0.15">
      <c r="D40" s="345" t="s">
        <v>3</v>
      </c>
      <c r="E40" s="346"/>
      <c r="F40" s="346"/>
      <c r="G40" s="346"/>
      <c r="H40" s="347"/>
      <c r="I40" s="449"/>
      <c r="J40" s="429"/>
      <c r="K40" s="429"/>
      <c r="L40" s="429"/>
      <c r="M40" s="429"/>
      <c r="N40" s="429"/>
      <c r="O40" s="429"/>
      <c r="P40" s="429"/>
      <c r="Q40" s="429"/>
      <c r="R40" s="429"/>
      <c r="S40" s="429"/>
      <c r="T40" s="429"/>
      <c r="U40" s="429"/>
      <c r="V40" s="429"/>
      <c r="W40" s="429"/>
      <c r="X40" s="430"/>
      <c r="AB40" s="5" t="str">
        <f>IF(I40="","←直接記入してください","")</f>
        <v>←直接記入してください</v>
      </c>
    </row>
    <row r="41" spans="2:28" x14ac:dyDescent="0.15">
      <c r="D41" s="345" t="s">
        <v>4</v>
      </c>
      <c r="E41" s="346"/>
      <c r="F41" s="346"/>
      <c r="G41" s="346"/>
      <c r="H41" s="347"/>
      <c r="I41" s="420"/>
      <c r="J41" s="421"/>
      <c r="K41" s="421"/>
      <c r="L41" s="421"/>
      <c r="M41" s="421"/>
      <c r="N41" s="421"/>
      <c r="O41" s="421"/>
      <c r="P41" s="421"/>
      <c r="Q41" s="421"/>
      <c r="R41" s="421"/>
      <c r="S41" s="421"/>
      <c r="T41" s="421"/>
      <c r="U41" s="421"/>
      <c r="V41" s="421"/>
      <c r="W41" s="421"/>
      <c r="X41" s="422"/>
      <c r="AB41" s="5" t="str">
        <f>IF(I41="","←直接記入してください","")</f>
        <v>←直接記入してください</v>
      </c>
    </row>
    <row r="42" spans="2:28" x14ac:dyDescent="0.15">
      <c r="D42" s="345" t="s">
        <v>26</v>
      </c>
      <c r="E42" s="346"/>
      <c r="F42" s="346"/>
      <c r="G42" s="346"/>
      <c r="H42" s="347"/>
      <c r="I42" s="443"/>
      <c r="J42" s="444"/>
      <c r="K42" s="444"/>
      <c r="L42" s="444"/>
      <c r="M42" s="444"/>
      <c r="N42" s="444"/>
      <c r="O42" s="444"/>
      <c r="P42" s="444"/>
      <c r="Q42" s="444"/>
      <c r="R42" s="444"/>
      <c r="S42" s="444"/>
      <c r="T42" s="444"/>
      <c r="U42" s="444"/>
      <c r="V42" s="444"/>
      <c r="W42" s="444"/>
      <c r="X42" s="445"/>
      <c r="AB42" s="5" t="str">
        <f>IF(I42="","←直接記入してください","")</f>
        <v>←直接記入してください</v>
      </c>
    </row>
    <row r="43" spans="2:28" ht="5.45" customHeight="1" x14ac:dyDescent="0.15"/>
    <row r="44" spans="2:28" x14ac:dyDescent="0.15">
      <c r="B44" s="66"/>
      <c r="C44" s="1" t="s">
        <v>113</v>
      </c>
    </row>
    <row r="45" spans="2:28" x14ac:dyDescent="0.15">
      <c r="D45" s="345" t="s">
        <v>28</v>
      </c>
      <c r="E45" s="346"/>
      <c r="F45" s="346"/>
      <c r="G45" s="346"/>
      <c r="H45" s="347"/>
      <c r="I45" s="348"/>
      <c r="J45" s="349"/>
      <c r="K45" s="349"/>
      <c r="L45" s="349"/>
      <c r="M45" s="349"/>
      <c r="N45" s="350"/>
      <c r="O45" s="345" t="s">
        <v>124</v>
      </c>
      <c r="P45" s="346"/>
      <c r="Q45" s="346"/>
      <c r="R45" s="346"/>
      <c r="S45" s="347"/>
      <c r="T45" s="348"/>
      <c r="U45" s="349"/>
      <c r="V45" s="349"/>
      <c r="W45" s="349"/>
      <c r="X45" s="349"/>
      <c r="Y45" s="350"/>
      <c r="AB45" s="5" t="str">
        <f>IF(OR(I45="",T45=""),"←リストから選択してください（要・不要）","")</f>
        <v>←リストから選択してください（要・不要）</v>
      </c>
    </row>
    <row r="46" spans="2:28" x14ac:dyDescent="0.15">
      <c r="D46" s="345" t="s">
        <v>238</v>
      </c>
      <c r="E46" s="346"/>
      <c r="F46" s="346"/>
      <c r="G46" s="346"/>
      <c r="H46" s="347"/>
      <c r="I46" s="348"/>
      <c r="J46" s="349"/>
      <c r="K46" s="349"/>
      <c r="L46" s="349"/>
      <c r="M46" s="349"/>
      <c r="N46" s="350"/>
      <c r="O46" s="355" t="s">
        <v>239</v>
      </c>
      <c r="P46" s="356"/>
      <c r="Q46" s="356"/>
      <c r="R46" s="356"/>
      <c r="S46" s="357"/>
      <c r="T46" s="361"/>
      <c r="U46" s="362"/>
      <c r="V46" s="362"/>
      <c r="W46" s="362"/>
      <c r="X46" s="362"/>
      <c r="Y46" s="363"/>
      <c r="AB46" s="5" t="str">
        <f>IF(OR(I46="",T46=""),"←リストから選択してください（有・無）","")</f>
        <v>←リストから選択してください（有・無）</v>
      </c>
    </row>
    <row r="47" spans="2:28" x14ac:dyDescent="0.15">
      <c r="D47" s="364" t="s">
        <v>240</v>
      </c>
      <c r="E47" s="365"/>
      <c r="F47" s="365"/>
      <c r="G47" s="365"/>
      <c r="H47" s="365"/>
      <c r="I47" s="365"/>
      <c r="J47" s="365"/>
      <c r="K47" s="365"/>
      <c r="L47" s="365"/>
      <c r="M47" s="365"/>
      <c r="N47" s="366"/>
      <c r="O47" s="367"/>
      <c r="P47" s="368"/>
      <c r="Q47" s="368"/>
      <c r="R47" s="110" t="s">
        <v>9</v>
      </c>
      <c r="S47" s="369"/>
      <c r="T47" s="369"/>
      <c r="U47" s="110" t="s">
        <v>25</v>
      </c>
      <c r="V47" s="369"/>
      <c r="W47" s="369"/>
      <c r="X47" s="110" t="s">
        <v>8</v>
      </c>
      <c r="Y47" s="111"/>
      <c r="AB47" s="5" t="str">
        <f>IF(AND(OR(I45="要",T45="要"),OR(O47="",S47="",V47="")),"←リストから選択してください（和暦年月日）","")</f>
        <v/>
      </c>
    </row>
    <row r="48" spans="2:28" ht="15.75" customHeight="1" x14ac:dyDescent="0.15">
      <c r="E48" s="41" t="str">
        <f>IF(I45="要","＜実績報告時の提出書類＞検査済証の写し",IF(T45="要","＜実績報告時の提出書類＞建築工事届の写し",""))</f>
        <v/>
      </c>
    </row>
    <row r="49" spans="2:55" x14ac:dyDescent="0.15">
      <c r="B49" s="66"/>
      <c r="C49" s="1" t="s">
        <v>163</v>
      </c>
    </row>
    <row r="50" spans="2:55" ht="5.45" customHeight="1" x14ac:dyDescent="0.15"/>
    <row r="51" spans="2:55" ht="13.5" customHeight="1" x14ac:dyDescent="0.15">
      <c r="B51" s="66"/>
      <c r="C51" s="30" t="s">
        <v>244</v>
      </c>
      <c r="D51" s="116"/>
      <c r="E51" s="30"/>
      <c r="F51" s="30"/>
      <c r="G51" s="30"/>
      <c r="H51" s="30"/>
      <c r="I51" s="30"/>
      <c r="J51" s="30"/>
      <c r="K51" s="30"/>
      <c r="L51" s="30"/>
      <c r="M51" s="30"/>
      <c r="N51" s="30"/>
      <c r="O51" s="30"/>
      <c r="P51" s="30"/>
      <c r="Q51" s="30"/>
      <c r="R51" s="30"/>
      <c r="S51" s="30"/>
      <c r="T51" s="30"/>
      <c r="U51" s="30"/>
      <c r="V51" s="30"/>
      <c r="W51" s="30"/>
      <c r="X51" s="30"/>
      <c r="Y51" s="30"/>
      <c r="Z51" s="30"/>
    </row>
    <row r="52" spans="2:55" ht="13.5" customHeight="1" x14ac:dyDescent="0.15">
      <c r="C52" s="30" t="str">
        <f>IF(B51="✔","⇒省エネ改修の補助金については別途申請が必要です。","")</f>
        <v/>
      </c>
      <c r="D52" s="116"/>
      <c r="E52" s="30"/>
      <c r="F52" s="30"/>
      <c r="G52" s="30"/>
      <c r="H52" s="30"/>
      <c r="I52" s="30"/>
      <c r="J52" s="30"/>
      <c r="K52" s="30"/>
      <c r="L52" s="30"/>
      <c r="M52" s="30"/>
      <c r="N52" s="30"/>
      <c r="O52" s="30"/>
      <c r="P52" s="30"/>
      <c r="Q52" s="30"/>
      <c r="R52" s="30"/>
      <c r="S52" s="30"/>
      <c r="T52" s="30"/>
      <c r="U52" s="30"/>
      <c r="V52" s="30"/>
      <c r="W52" s="30"/>
      <c r="X52" s="30"/>
      <c r="Y52" s="30"/>
      <c r="Z52" s="30"/>
    </row>
    <row r="53" spans="2:55" ht="5.45" customHeight="1" x14ac:dyDescent="0.15"/>
    <row r="54" spans="2:55" ht="13.5" customHeight="1" x14ac:dyDescent="0.15">
      <c r="B54" s="66"/>
      <c r="C54" s="30" t="s">
        <v>435</v>
      </c>
      <c r="D54" s="116"/>
      <c r="E54" s="30"/>
      <c r="F54" s="30"/>
      <c r="G54" s="30"/>
      <c r="H54" s="30"/>
      <c r="I54" s="30"/>
      <c r="J54" s="30"/>
      <c r="K54" s="30"/>
      <c r="L54" s="30"/>
      <c r="M54" s="30"/>
      <c r="N54" s="30"/>
      <c r="O54" s="30"/>
      <c r="P54" s="30"/>
      <c r="Q54" s="30"/>
      <c r="R54" s="30"/>
      <c r="S54" s="30"/>
      <c r="T54" s="30"/>
      <c r="U54" s="30"/>
      <c r="V54" s="30"/>
      <c r="W54" s="30"/>
      <c r="X54" s="30"/>
      <c r="Y54" s="30"/>
      <c r="Z54" s="30"/>
    </row>
    <row r="55" spans="2:55" ht="6" customHeight="1" x14ac:dyDescent="0.15">
      <c r="C55" s="30"/>
      <c r="D55" s="116"/>
      <c r="E55" s="30"/>
      <c r="F55" s="30"/>
      <c r="G55" s="30"/>
      <c r="H55" s="30"/>
      <c r="I55" s="30"/>
      <c r="J55" s="30"/>
      <c r="K55" s="30"/>
      <c r="L55" s="30"/>
      <c r="M55" s="30"/>
      <c r="N55" s="30"/>
      <c r="O55" s="30"/>
      <c r="P55" s="30"/>
      <c r="Q55" s="30"/>
      <c r="R55" s="30"/>
      <c r="S55" s="30"/>
      <c r="T55" s="30"/>
      <c r="U55" s="30"/>
      <c r="V55" s="30"/>
      <c r="W55" s="30"/>
      <c r="X55" s="30"/>
      <c r="Y55" s="30"/>
      <c r="Z55" s="30"/>
    </row>
    <row r="56" spans="2:55" ht="13.5" customHeight="1" x14ac:dyDescent="0.15">
      <c r="B56" s="66"/>
      <c r="C56" s="30" t="s">
        <v>440</v>
      </c>
      <c r="D56" s="116"/>
      <c r="E56" s="30"/>
      <c r="F56" s="30"/>
      <c r="G56" s="30"/>
      <c r="H56" s="30"/>
      <c r="I56" s="30"/>
      <c r="J56" s="30"/>
      <c r="K56" s="30"/>
      <c r="L56" s="30"/>
      <c r="M56" s="30"/>
      <c r="N56" s="30"/>
      <c r="O56" s="30"/>
      <c r="P56" s="30"/>
      <c r="Q56" s="30"/>
      <c r="R56" s="30"/>
      <c r="S56" s="30"/>
      <c r="T56" s="30"/>
      <c r="U56" s="30"/>
      <c r="V56" s="30"/>
      <c r="W56" s="30"/>
      <c r="X56" s="30"/>
      <c r="Y56" s="30"/>
      <c r="Z56" s="30"/>
    </row>
    <row r="57" spans="2:55" ht="3.95" customHeight="1" x14ac:dyDescent="0.15">
      <c r="B57" s="336"/>
      <c r="C57" s="30"/>
      <c r="D57" s="116"/>
      <c r="E57" s="30"/>
      <c r="F57" s="30"/>
      <c r="G57" s="30"/>
      <c r="H57" s="30"/>
      <c r="I57" s="30"/>
      <c r="J57" s="30"/>
      <c r="K57" s="30"/>
      <c r="L57" s="30"/>
      <c r="M57" s="30"/>
      <c r="N57" s="30"/>
      <c r="O57" s="30"/>
      <c r="P57" s="30"/>
      <c r="Q57" s="30"/>
      <c r="R57" s="30"/>
      <c r="S57" s="30"/>
      <c r="T57" s="30"/>
      <c r="U57" s="30"/>
      <c r="V57" s="30"/>
      <c r="W57" s="30"/>
      <c r="X57" s="30"/>
      <c r="Y57" s="30"/>
      <c r="Z57" s="30"/>
    </row>
    <row r="58" spans="2:55" ht="13.5" customHeight="1" x14ac:dyDescent="0.15">
      <c r="B58" s="336"/>
      <c r="C58" s="66"/>
      <c r="D58" s="30" t="s">
        <v>441</v>
      </c>
      <c r="E58" s="30"/>
      <c r="F58" s="30"/>
      <c r="G58" s="30"/>
      <c r="H58" s="30"/>
      <c r="I58" s="30"/>
      <c r="J58" s="30"/>
      <c r="K58" s="30"/>
      <c r="L58" s="30"/>
      <c r="M58" s="30"/>
      <c r="N58" s="30"/>
      <c r="O58" s="30"/>
      <c r="P58" s="30"/>
      <c r="Q58" s="30"/>
      <c r="R58" s="30"/>
      <c r="S58" s="30"/>
      <c r="T58" s="30"/>
      <c r="U58" s="30"/>
      <c r="V58" s="30"/>
      <c r="W58" s="30"/>
      <c r="X58" s="30"/>
      <c r="Y58" s="30"/>
      <c r="Z58" s="30"/>
    </row>
    <row r="59" spans="2:55" ht="12.75" customHeight="1" x14ac:dyDescent="0.15">
      <c r="B59" s="336"/>
      <c r="C59" s="116"/>
      <c r="D59" s="116" t="str">
        <f>IF(B56="✔",(IF(C58="✔","","地域型グリーン化事業に県産材の材料代を含めている場合、住まいる支援事業は利用できません")),"")</f>
        <v/>
      </c>
      <c r="E59" s="30"/>
      <c r="F59" s="30"/>
      <c r="G59" s="30"/>
      <c r="H59" s="30"/>
      <c r="I59" s="30"/>
      <c r="J59" s="30"/>
      <c r="K59" s="30"/>
      <c r="L59" s="30"/>
      <c r="M59" s="30"/>
      <c r="N59" s="30"/>
      <c r="O59" s="30"/>
      <c r="P59" s="30"/>
      <c r="Q59" s="30"/>
      <c r="R59" s="30"/>
      <c r="S59" s="30"/>
      <c r="T59" s="30"/>
      <c r="U59" s="30"/>
      <c r="V59" s="30"/>
      <c r="W59" s="30"/>
      <c r="X59" s="30"/>
      <c r="Y59" s="30"/>
      <c r="Z59" s="30"/>
    </row>
    <row r="60" spans="2:55" x14ac:dyDescent="0.15">
      <c r="B60" s="66"/>
      <c r="C60" s="1" t="s">
        <v>243</v>
      </c>
    </row>
    <row r="61" spans="2:55" ht="27" customHeight="1" x14ac:dyDescent="0.15">
      <c r="D61" s="411" t="s">
        <v>41</v>
      </c>
      <c r="E61" s="412"/>
      <c r="F61" s="412"/>
      <c r="G61" s="412"/>
      <c r="H61" s="413"/>
      <c r="I61" s="348"/>
      <c r="J61" s="349"/>
      <c r="K61" s="349"/>
      <c r="L61" s="349"/>
      <c r="M61" s="349"/>
      <c r="N61" s="350"/>
      <c r="P61" s="373"/>
      <c r="Q61" s="373"/>
      <c r="R61" s="373"/>
      <c r="S61" s="373"/>
      <c r="T61" s="373"/>
      <c r="U61" s="373"/>
      <c r="V61" s="373"/>
      <c r="W61" s="373"/>
      <c r="X61" s="373"/>
      <c r="Y61" s="373"/>
      <c r="Z61" s="373"/>
      <c r="AA61" s="373"/>
      <c r="AB61" s="5" t="str">
        <f>IF(I61="","←リストから選択してください（有・無）","")</f>
        <v>←リストから選択してください（有・無）</v>
      </c>
    </row>
    <row r="62" spans="2:55" ht="7.5" customHeight="1" x14ac:dyDescent="0.15">
      <c r="E62" s="16"/>
      <c r="P62" s="22"/>
    </row>
    <row r="63" spans="2:55" s="328" customFormat="1" ht="10.5" customHeight="1" x14ac:dyDescent="0.15">
      <c r="D63" s="329" t="s">
        <v>436</v>
      </c>
      <c r="E63" s="330"/>
      <c r="F63" s="330"/>
      <c r="G63" s="330"/>
      <c r="H63" s="330"/>
      <c r="I63" s="331"/>
      <c r="J63" s="331"/>
      <c r="K63" s="331"/>
      <c r="L63" s="331"/>
      <c r="M63" s="331"/>
      <c r="N63" s="331"/>
      <c r="O63" s="331"/>
      <c r="P63" s="331"/>
      <c r="Q63" s="331"/>
      <c r="R63" s="331"/>
      <c r="S63" s="331"/>
      <c r="T63" s="331"/>
      <c r="U63" s="331"/>
      <c r="V63" s="331"/>
      <c r="W63" s="331"/>
      <c r="X63" s="331"/>
      <c r="Y63" s="332"/>
      <c r="AA63" s="333"/>
      <c r="AB63" s="334"/>
      <c r="AC63" s="334"/>
      <c r="AD63" s="334"/>
      <c r="AE63" s="334"/>
      <c r="AF63" s="334"/>
      <c r="AG63" s="334"/>
      <c r="AH63" s="334"/>
      <c r="AI63" s="334"/>
      <c r="AJ63" s="334"/>
      <c r="AK63" s="334"/>
      <c r="AL63" s="334"/>
      <c r="AM63" s="334"/>
      <c r="AN63" s="334"/>
      <c r="AO63" s="334"/>
      <c r="AP63" s="334"/>
      <c r="AQ63" s="334"/>
      <c r="AR63" s="334"/>
      <c r="AS63" s="334"/>
      <c r="AT63" s="334"/>
      <c r="AU63" s="334"/>
      <c r="AV63" s="334"/>
      <c r="AW63" s="334"/>
      <c r="AX63" s="334"/>
      <c r="AY63" s="334"/>
      <c r="AZ63" s="334"/>
      <c r="BA63" s="334"/>
      <c r="BB63" s="334"/>
      <c r="BC63" s="334"/>
    </row>
    <row r="64" spans="2:55" s="328" customFormat="1" ht="3.75" customHeight="1" x14ac:dyDescent="0.15">
      <c r="D64" s="330"/>
      <c r="E64" s="330"/>
      <c r="F64" s="330"/>
      <c r="G64" s="330"/>
      <c r="H64" s="330"/>
      <c r="I64" s="331"/>
      <c r="J64" s="331"/>
      <c r="K64" s="331"/>
      <c r="L64" s="331"/>
      <c r="M64" s="331"/>
      <c r="N64" s="331"/>
      <c r="O64" s="331"/>
      <c r="P64" s="331"/>
      <c r="Q64" s="331"/>
      <c r="R64" s="331"/>
      <c r="S64" s="331"/>
      <c r="T64" s="331"/>
      <c r="U64" s="331"/>
      <c r="V64" s="331"/>
      <c r="W64" s="331"/>
      <c r="X64" s="331"/>
      <c r="Y64" s="332"/>
      <c r="AA64" s="333"/>
      <c r="AB64" s="334"/>
      <c r="AC64" s="334"/>
      <c r="AD64" s="334"/>
      <c r="AE64" s="334"/>
      <c r="AF64" s="334"/>
      <c r="AG64" s="334"/>
      <c r="AH64" s="334"/>
      <c r="AI64" s="334"/>
      <c r="AJ64" s="334"/>
      <c r="AK64" s="334"/>
      <c r="AL64" s="334"/>
      <c r="AM64" s="334"/>
      <c r="AN64" s="334"/>
      <c r="AO64" s="334"/>
      <c r="AP64" s="334"/>
      <c r="AQ64" s="334"/>
      <c r="AR64" s="334"/>
      <c r="AS64" s="334"/>
      <c r="AT64" s="334"/>
      <c r="AU64" s="334"/>
      <c r="AV64" s="334"/>
      <c r="AW64" s="334"/>
      <c r="AX64" s="334"/>
      <c r="AY64" s="334"/>
      <c r="AZ64" s="334"/>
      <c r="BA64" s="334"/>
      <c r="BB64" s="334"/>
      <c r="BC64" s="334"/>
    </row>
    <row r="65" spans="1:28" ht="13.5" customHeight="1" x14ac:dyDescent="0.15">
      <c r="D65" s="411" t="s">
        <v>437</v>
      </c>
      <c r="E65" s="412"/>
      <c r="F65" s="412"/>
      <c r="G65" s="412"/>
      <c r="H65" s="412"/>
      <c r="I65" s="412"/>
      <c r="J65" s="412"/>
      <c r="K65" s="412"/>
      <c r="L65" s="412"/>
      <c r="M65" s="412"/>
      <c r="N65" s="412"/>
      <c r="O65" s="413"/>
      <c r="P65" s="345" t="s">
        <v>5</v>
      </c>
      <c r="Q65" s="346"/>
      <c r="R65" s="346"/>
      <c r="S65" s="346"/>
      <c r="T65" s="347"/>
      <c r="U65" s="345" t="s">
        <v>22</v>
      </c>
      <c r="V65" s="346"/>
      <c r="W65" s="346"/>
      <c r="X65" s="346"/>
      <c r="Y65" s="346"/>
      <c r="Z65" s="347"/>
    </row>
    <row r="66" spans="1:28" x14ac:dyDescent="0.15">
      <c r="D66" s="460"/>
      <c r="E66" s="461"/>
      <c r="F66" s="461"/>
      <c r="G66" s="461"/>
      <c r="H66" s="461"/>
      <c r="I66" s="461"/>
      <c r="J66" s="461"/>
      <c r="K66" s="461"/>
      <c r="L66" s="461"/>
      <c r="M66" s="461"/>
      <c r="N66" s="461"/>
      <c r="O66" s="462"/>
      <c r="P66" s="348"/>
      <c r="Q66" s="349"/>
      <c r="R66" s="349"/>
      <c r="S66" s="349"/>
      <c r="T66" s="350"/>
      <c r="U66" s="348"/>
      <c r="V66" s="349"/>
      <c r="W66" s="349"/>
      <c r="X66" s="349"/>
      <c r="Y66" s="349"/>
      <c r="Z66" s="350"/>
    </row>
    <row r="67" spans="1:28" x14ac:dyDescent="0.15">
      <c r="D67" s="460"/>
      <c r="E67" s="461"/>
      <c r="F67" s="461"/>
      <c r="G67" s="461"/>
      <c r="H67" s="461"/>
      <c r="I67" s="461"/>
      <c r="J67" s="461"/>
      <c r="K67" s="461"/>
      <c r="L67" s="461"/>
      <c r="M67" s="461"/>
      <c r="N67" s="461"/>
      <c r="O67" s="462"/>
      <c r="P67" s="348"/>
      <c r="Q67" s="349"/>
      <c r="R67" s="349"/>
      <c r="S67" s="349"/>
      <c r="T67" s="350"/>
      <c r="U67" s="348"/>
      <c r="V67" s="349"/>
      <c r="W67" s="349"/>
      <c r="X67" s="349"/>
      <c r="Y67" s="349"/>
      <c r="Z67" s="350"/>
    </row>
    <row r="68" spans="1:28" x14ac:dyDescent="0.15">
      <c r="D68" s="460"/>
      <c r="E68" s="461"/>
      <c r="F68" s="461"/>
      <c r="G68" s="461"/>
      <c r="H68" s="461"/>
      <c r="I68" s="461"/>
      <c r="J68" s="461"/>
      <c r="K68" s="461"/>
      <c r="L68" s="461"/>
      <c r="M68" s="461"/>
      <c r="N68" s="461"/>
      <c r="O68" s="462"/>
      <c r="P68" s="348"/>
      <c r="Q68" s="349"/>
      <c r="R68" s="349"/>
      <c r="S68" s="349"/>
      <c r="T68" s="350"/>
      <c r="U68" s="348"/>
      <c r="V68" s="349"/>
      <c r="W68" s="349"/>
      <c r="X68" s="349"/>
      <c r="Y68" s="349"/>
      <c r="Z68" s="350"/>
    </row>
    <row r="69" spans="1:28" x14ac:dyDescent="0.15">
      <c r="D69" s="460"/>
      <c r="E69" s="461"/>
      <c r="F69" s="461"/>
      <c r="G69" s="461"/>
      <c r="H69" s="461"/>
      <c r="I69" s="461"/>
      <c r="J69" s="461"/>
      <c r="K69" s="461"/>
      <c r="L69" s="461"/>
      <c r="M69" s="461"/>
      <c r="N69" s="461"/>
      <c r="O69" s="462"/>
      <c r="P69" s="348"/>
      <c r="Q69" s="349"/>
      <c r="R69" s="349"/>
      <c r="S69" s="349"/>
      <c r="T69" s="350"/>
      <c r="U69" s="348"/>
      <c r="V69" s="349"/>
      <c r="W69" s="349"/>
      <c r="X69" s="349"/>
      <c r="Y69" s="349"/>
      <c r="Z69" s="350"/>
    </row>
    <row r="70" spans="1:28" x14ac:dyDescent="0.15">
      <c r="D70" s="460"/>
      <c r="E70" s="461"/>
      <c r="F70" s="461"/>
      <c r="G70" s="461"/>
      <c r="H70" s="461"/>
      <c r="I70" s="461"/>
      <c r="J70" s="461"/>
      <c r="K70" s="461"/>
      <c r="L70" s="461"/>
      <c r="M70" s="461"/>
      <c r="N70" s="461"/>
      <c r="O70" s="462"/>
      <c r="P70" s="348"/>
      <c r="Q70" s="349"/>
      <c r="R70" s="349"/>
      <c r="S70" s="349"/>
      <c r="T70" s="350"/>
      <c r="U70" s="348"/>
      <c r="V70" s="349"/>
      <c r="W70" s="349"/>
      <c r="X70" s="349"/>
      <c r="Y70" s="349"/>
      <c r="Z70" s="350"/>
    </row>
    <row r="71" spans="1:28" x14ac:dyDescent="0.15">
      <c r="B71" s="66"/>
      <c r="C71" s="1" t="s">
        <v>241</v>
      </c>
      <c r="E71" s="16"/>
      <c r="P71" s="22"/>
    </row>
    <row r="72" spans="1:28" x14ac:dyDescent="0.15">
      <c r="B72" s="16"/>
      <c r="E72" s="52" t="str">
        <f>IF(B71="","",IF(OR(I44="有",T44="有"),"＜実績報告時の提出書類&gt;変更後の改修部分の図面に改修内容を記載したもの、配置図","＜実績報告時の提出書類＞変更後の改修部分の図面に改修内容を記載したもの"))</f>
        <v/>
      </c>
      <c r="P72" s="22"/>
    </row>
    <row r="73" spans="1:28" x14ac:dyDescent="0.15">
      <c r="A73" s="1" t="s">
        <v>33</v>
      </c>
    </row>
    <row r="74" spans="1:28" x14ac:dyDescent="0.15">
      <c r="B74" s="66" t="s">
        <v>444</v>
      </c>
      <c r="C74" s="338" t="s">
        <v>125</v>
      </c>
      <c r="D74" s="338"/>
      <c r="E74" s="338"/>
      <c r="F74" s="338"/>
      <c r="G74" s="338"/>
      <c r="H74" s="338"/>
      <c r="I74" s="338"/>
      <c r="J74" s="338"/>
      <c r="K74" s="338"/>
      <c r="L74" s="338"/>
      <c r="M74" s="338"/>
      <c r="N74" s="338"/>
      <c r="O74" s="338"/>
      <c r="P74" s="338"/>
      <c r="Q74" s="338"/>
      <c r="R74" s="338"/>
      <c r="S74" s="338"/>
      <c r="T74" s="338"/>
      <c r="U74" s="338"/>
      <c r="V74" s="338"/>
      <c r="W74" s="338"/>
      <c r="X74" s="338"/>
      <c r="Y74" s="338"/>
      <c r="Z74" s="338"/>
      <c r="AA74" s="338"/>
    </row>
    <row r="75" spans="1:28" x14ac:dyDescent="0.15">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row>
    <row r="77" spans="1:28" x14ac:dyDescent="0.15">
      <c r="B77" s="66" t="s">
        <v>444</v>
      </c>
      <c r="C77" s="1" t="s">
        <v>86</v>
      </c>
    </row>
    <row r="78" spans="1:28" x14ac:dyDescent="0.15">
      <c r="D78" s="345" t="s">
        <v>79</v>
      </c>
      <c r="E78" s="346"/>
      <c r="F78" s="346"/>
      <c r="G78" s="346"/>
      <c r="H78" s="347"/>
      <c r="I78" s="438" t="s">
        <v>399</v>
      </c>
      <c r="J78" s="439"/>
      <c r="K78" s="439"/>
      <c r="L78" s="439"/>
      <c r="M78" s="439"/>
      <c r="N78" s="439"/>
      <c r="O78" s="439"/>
      <c r="P78" s="439"/>
      <c r="Q78" s="439"/>
      <c r="R78" s="439"/>
      <c r="S78" s="439"/>
      <c r="T78" s="439"/>
      <c r="U78" s="439"/>
      <c r="V78" s="439"/>
      <c r="W78" s="439"/>
      <c r="X78" s="440"/>
      <c r="AB78" s="5" t="str">
        <f>IF(AND(B77="✔",I78=""),"←直接入力してください","")</f>
        <v/>
      </c>
    </row>
    <row r="79" spans="1:28" x14ac:dyDescent="0.15">
      <c r="D79" s="41" t="s">
        <v>161</v>
      </c>
      <c r="E79" s="55"/>
      <c r="F79" s="55"/>
      <c r="G79" s="55"/>
      <c r="H79" s="55"/>
      <c r="I79" s="55"/>
      <c r="J79" s="55"/>
      <c r="K79" s="55"/>
      <c r="L79" s="55"/>
      <c r="M79" s="55"/>
      <c r="N79" s="55"/>
      <c r="O79" s="55"/>
      <c r="P79" s="55"/>
      <c r="Q79" s="55"/>
      <c r="R79" s="55"/>
      <c r="S79" s="55"/>
      <c r="T79" s="55"/>
      <c r="U79" s="55"/>
      <c r="V79" s="55"/>
      <c r="W79" s="55"/>
      <c r="X79" s="55"/>
      <c r="Y79" s="55"/>
      <c r="AB79" s="5"/>
    </row>
    <row r="80" spans="1:28" x14ac:dyDescent="0.15">
      <c r="F80" s="58"/>
      <c r="K80" s="43" t="s">
        <v>162</v>
      </c>
    </row>
    <row r="81" spans="1:39" x14ac:dyDescent="0.15">
      <c r="B81" s="66"/>
      <c r="C81" s="1" t="s">
        <v>87</v>
      </c>
    </row>
    <row r="82" spans="1:39" ht="21.6" customHeight="1" x14ac:dyDescent="0.15">
      <c r="B82" s="394" t="str">
        <f>IF(AND(B77="✔",B81="✔"),"「プレカットを行う場合は、県内のプレカット工場で加工すること。」と「プレカットを一切使用しない。」のどちらかを✔してください。","")</f>
        <v/>
      </c>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row>
    <row r="83" spans="1:39" x14ac:dyDescent="0.15">
      <c r="AA83" s="29" t="s">
        <v>69</v>
      </c>
    </row>
    <row r="84" spans="1:39" x14ac:dyDescent="0.15">
      <c r="T84" s="23"/>
    </row>
    <row r="85" spans="1:39" ht="18" customHeight="1" x14ac:dyDescent="0.15">
      <c r="D85" s="345" t="s">
        <v>48</v>
      </c>
      <c r="E85" s="346"/>
      <c r="F85" s="346"/>
      <c r="G85" s="346"/>
      <c r="H85" s="346"/>
      <c r="I85" s="346"/>
      <c r="J85" s="346"/>
      <c r="K85" s="346"/>
      <c r="L85" s="346"/>
      <c r="M85" s="346"/>
      <c r="N85" s="346"/>
      <c r="O85" s="346"/>
      <c r="P85" s="347"/>
      <c r="Q85" s="345" t="s">
        <v>47</v>
      </c>
      <c r="R85" s="346"/>
      <c r="S85" s="346"/>
      <c r="T85" s="347"/>
      <c r="U85" s="455" t="str">
        <f>IF(I31="併用住宅","併用住宅の場合、住宅部分の使用量","")</f>
        <v/>
      </c>
      <c r="V85" s="455"/>
      <c r="W85" s="455"/>
      <c r="X85" s="455"/>
      <c r="Y85" s="393" t="s">
        <v>81</v>
      </c>
      <c r="Z85" s="393"/>
      <c r="AA85" s="393"/>
    </row>
    <row r="86" spans="1:39" ht="18" customHeight="1" x14ac:dyDescent="0.15">
      <c r="D86" s="355" t="s">
        <v>82</v>
      </c>
      <c r="E86" s="356"/>
      <c r="F86" s="356"/>
      <c r="G86" s="356"/>
      <c r="H86" s="356"/>
      <c r="I86" s="356"/>
      <c r="J86" s="356"/>
      <c r="K86" s="356"/>
      <c r="L86" s="356"/>
      <c r="M86" s="356"/>
      <c r="N86" s="356"/>
      <c r="O86" s="356"/>
      <c r="P86" s="357"/>
      <c r="Q86" s="358"/>
      <c r="R86" s="359"/>
      <c r="S86" s="359"/>
      <c r="T86" s="360"/>
      <c r="U86" s="455"/>
      <c r="V86" s="455"/>
      <c r="W86" s="455"/>
      <c r="X86" s="455"/>
      <c r="Y86" s="408"/>
      <c r="Z86" s="408"/>
      <c r="AA86" s="408"/>
      <c r="AE86" s="1"/>
      <c r="AF86" s="1"/>
      <c r="AG86" s="1"/>
      <c r="AH86" s="24"/>
      <c r="AI86" s="25"/>
      <c r="AJ86" s="25"/>
      <c r="AK86" s="25"/>
      <c r="AL86" s="25"/>
      <c r="AM86" s="25"/>
    </row>
    <row r="87" spans="1:39" ht="18" customHeight="1" x14ac:dyDescent="0.15">
      <c r="D87" s="26"/>
      <c r="E87" s="415" t="s">
        <v>130</v>
      </c>
      <c r="F87" s="416"/>
      <c r="G87" s="416"/>
      <c r="H87" s="416"/>
      <c r="I87" s="416"/>
      <c r="J87" s="416"/>
      <c r="K87" s="416"/>
      <c r="L87" s="416"/>
      <c r="M87" s="416"/>
      <c r="N87" s="416"/>
      <c r="O87" s="416"/>
      <c r="P87" s="417"/>
      <c r="Q87" s="358"/>
      <c r="R87" s="359"/>
      <c r="S87" s="359"/>
      <c r="T87" s="360"/>
      <c r="U87" s="432"/>
      <c r="V87" s="432"/>
      <c r="W87" s="432"/>
      <c r="X87" s="432"/>
      <c r="Y87" s="352" t="str">
        <f>IF(OR(Q87="",Q86=""),"",ROUNDDOWN(Q87,1)*2)</f>
        <v/>
      </c>
      <c r="Z87" s="353"/>
      <c r="AA87" s="27" t="s">
        <v>54</v>
      </c>
      <c r="AE87" s="1"/>
      <c r="AF87" s="1"/>
      <c r="AG87" s="1"/>
      <c r="AH87" s="24"/>
      <c r="AI87" s="25"/>
      <c r="AJ87" s="25"/>
      <c r="AK87" s="25"/>
      <c r="AL87" s="25"/>
      <c r="AM87" s="25"/>
    </row>
    <row r="88" spans="1:39" ht="18" customHeight="1" x14ac:dyDescent="0.15">
      <c r="D88" s="11"/>
      <c r="E88" s="383" t="s">
        <v>131</v>
      </c>
      <c r="F88" s="384"/>
      <c r="G88" s="384"/>
      <c r="H88" s="384"/>
      <c r="I88" s="384"/>
      <c r="J88" s="384"/>
      <c r="K88" s="384"/>
      <c r="L88" s="384"/>
      <c r="M88" s="384"/>
      <c r="N88" s="384"/>
      <c r="O88" s="384"/>
      <c r="P88" s="385"/>
      <c r="Q88" s="435"/>
      <c r="R88" s="436"/>
      <c r="S88" s="436"/>
      <c r="T88" s="437"/>
      <c r="U88" s="434"/>
      <c r="V88" s="434"/>
      <c r="W88" s="434"/>
      <c r="X88" s="434"/>
      <c r="Y88" s="352" t="str">
        <f>IF(Q88="","",INT(Q88)*0.2)</f>
        <v/>
      </c>
      <c r="Z88" s="353"/>
      <c r="AA88" s="27" t="s">
        <v>54</v>
      </c>
      <c r="AE88" s="1"/>
      <c r="AF88" s="1"/>
      <c r="AG88" s="1"/>
      <c r="AH88" s="24"/>
      <c r="AI88" s="25"/>
      <c r="AJ88" s="25"/>
      <c r="AK88" s="25"/>
      <c r="AL88" s="25"/>
      <c r="AM88" s="25"/>
    </row>
    <row r="89" spans="1:39" ht="18" customHeight="1" x14ac:dyDescent="0.15">
      <c r="E89" s="16"/>
      <c r="X89" s="28" t="s">
        <v>68</v>
      </c>
      <c r="Y89" s="352" t="str">
        <f>IF(OR(SUM(Y87:Z88)=0,Q86=""),"",IF(AND(B20="✔",B24="✔",B39="✔",B44="✔",B49="✔",D59="",B60="✔",B74="✔",OR(B77="✔",B81="✔"),B82=""),MIN(25,SUM(Y87:Z88)),0))</f>
        <v/>
      </c>
      <c r="Z89" s="353"/>
      <c r="AA89" s="27" t="s">
        <v>0</v>
      </c>
      <c r="AB89" s="5" t="str">
        <f>IF(AND(Y89=0),"←合計金額が算出されない場合は、前のページにチェック漏れ等がありますので御確認ください。","")</f>
        <v/>
      </c>
    </row>
    <row r="90" spans="1:39" x14ac:dyDescent="0.15">
      <c r="A90" s="16" t="s">
        <v>127</v>
      </c>
    </row>
    <row r="91" spans="1:39" x14ac:dyDescent="0.15">
      <c r="A91" s="16"/>
      <c r="B91" s="42" t="s">
        <v>90</v>
      </c>
    </row>
    <row r="92" spans="1:39" x14ac:dyDescent="0.15">
      <c r="A92" s="16" t="s">
        <v>128</v>
      </c>
    </row>
    <row r="93" spans="1:39" x14ac:dyDescent="0.15">
      <c r="A93" s="16"/>
      <c r="B93" s="42" t="s">
        <v>90</v>
      </c>
    </row>
    <row r="94" spans="1:39" x14ac:dyDescent="0.15">
      <c r="A94" s="16"/>
      <c r="B94" s="42"/>
      <c r="C94" s="52" t="s">
        <v>126</v>
      </c>
    </row>
    <row r="95" spans="1:39" x14ac:dyDescent="0.15">
      <c r="C95" s="53" t="s">
        <v>147</v>
      </c>
    </row>
    <row r="96" spans="1:39" x14ac:dyDescent="0.15">
      <c r="A96" s="16" t="s">
        <v>129</v>
      </c>
    </row>
    <row r="97" spans="1:30" s="30" customFormat="1" x14ac:dyDescent="0.15"/>
    <row r="98" spans="1:30" x14ac:dyDescent="0.15">
      <c r="A98" s="1" t="s">
        <v>55</v>
      </c>
      <c r="Y98" s="393" t="s">
        <v>81</v>
      </c>
      <c r="Z98" s="393"/>
      <c r="AA98" s="393"/>
    </row>
    <row r="99" spans="1:30" ht="14.25" customHeight="1" x14ac:dyDescent="0.15">
      <c r="B99" s="1" t="s">
        <v>53</v>
      </c>
      <c r="G99" s="31"/>
      <c r="Y99" s="408"/>
      <c r="Z99" s="408"/>
      <c r="AA99" s="408"/>
    </row>
    <row r="100" spans="1:30" x14ac:dyDescent="0.15">
      <c r="B100" s="1" t="s">
        <v>439</v>
      </c>
      <c r="Y100" s="406" t="str">
        <f>IF(AND(Y89&lt;&gt;"",Y89&gt;=0.2,OR(B102="✔",P102="✔")),IF(B54="✔",0,10),"")</f>
        <v/>
      </c>
      <c r="Z100" s="407"/>
      <c r="AA100" s="27" t="s">
        <v>0</v>
      </c>
      <c r="AD100" s="4" t="s">
        <v>72</v>
      </c>
    </row>
    <row r="101" spans="1:30" ht="6.95" customHeight="1" x14ac:dyDescent="0.15">
      <c r="G101" s="31"/>
    </row>
    <row r="102" spans="1:30" x14ac:dyDescent="0.15">
      <c r="B102" s="66"/>
      <c r="C102" s="1" t="s">
        <v>50</v>
      </c>
      <c r="P102" s="66"/>
      <c r="Q102" s="1" t="s">
        <v>52</v>
      </c>
      <c r="AA102" s="1"/>
    </row>
    <row r="103" spans="1:30" ht="13.5" customHeight="1" x14ac:dyDescent="0.15">
      <c r="C103" s="1" t="s">
        <v>51</v>
      </c>
      <c r="Q103" s="387" t="s">
        <v>148</v>
      </c>
      <c r="R103" s="387"/>
      <c r="S103" s="387"/>
      <c r="T103" s="387"/>
      <c r="U103" s="387"/>
      <c r="V103" s="387"/>
      <c r="W103" s="387"/>
      <c r="X103" s="387"/>
      <c r="Y103" s="387"/>
      <c r="Z103" s="387"/>
      <c r="AA103" s="387"/>
    </row>
    <row r="104" spans="1:30" x14ac:dyDescent="0.15">
      <c r="Q104" s="387"/>
      <c r="R104" s="387"/>
      <c r="S104" s="387"/>
      <c r="T104" s="387"/>
      <c r="U104" s="387"/>
      <c r="V104" s="387"/>
      <c r="W104" s="387"/>
      <c r="X104" s="387"/>
      <c r="Y104" s="387"/>
      <c r="Z104" s="387"/>
      <c r="AA104" s="387"/>
    </row>
    <row r="105" spans="1:30" x14ac:dyDescent="0.15">
      <c r="C105" s="16" t="s">
        <v>45</v>
      </c>
      <c r="Q105" s="16" t="s">
        <v>45</v>
      </c>
      <c r="AA105" s="1"/>
    </row>
    <row r="106" spans="1:30" ht="13.5" customHeight="1" x14ac:dyDescent="0.15">
      <c r="C106" s="386" t="s">
        <v>49</v>
      </c>
      <c r="D106" s="387"/>
      <c r="E106" s="387"/>
      <c r="F106" s="387"/>
      <c r="G106" s="387"/>
      <c r="H106" s="387"/>
      <c r="I106" s="387"/>
      <c r="J106" s="387"/>
      <c r="K106" s="387"/>
      <c r="L106" s="387"/>
      <c r="M106" s="387"/>
      <c r="N106" s="387"/>
      <c r="Q106" s="386" t="s">
        <v>46</v>
      </c>
      <c r="R106" s="386"/>
      <c r="S106" s="386"/>
      <c r="T106" s="386"/>
      <c r="U106" s="386"/>
      <c r="V106" s="386"/>
      <c r="W106" s="386"/>
      <c r="X106" s="386"/>
      <c r="Y106" s="386"/>
      <c r="Z106" s="386"/>
      <c r="AA106" s="386"/>
    </row>
    <row r="107" spans="1:30" x14ac:dyDescent="0.15">
      <c r="C107" s="387"/>
      <c r="D107" s="387"/>
      <c r="E107" s="387"/>
      <c r="F107" s="387"/>
      <c r="G107" s="387"/>
      <c r="H107" s="387"/>
      <c r="I107" s="387"/>
      <c r="J107" s="387"/>
      <c r="K107" s="387"/>
      <c r="L107" s="387"/>
      <c r="M107" s="387"/>
      <c r="N107" s="387"/>
      <c r="Q107" s="386"/>
      <c r="R107" s="386"/>
      <c r="S107" s="386"/>
      <c r="T107" s="386"/>
      <c r="U107" s="386"/>
      <c r="V107" s="386"/>
      <c r="W107" s="386"/>
      <c r="X107" s="386"/>
      <c r="Y107" s="386"/>
      <c r="Z107" s="386"/>
      <c r="AA107" s="386"/>
    </row>
    <row r="108" spans="1:30" x14ac:dyDescent="0.15">
      <c r="C108" s="44" t="s">
        <v>88</v>
      </c>
      <c r="D108" s="45"/>
      <c r="E108" s="45"/>
      <c r="F108" s="45"/>
      <c r="G108" s="45"/>
      <c r="H108" s="45"/>
      <c r="I108" s="45"/>
      <c r="J108" s="45"/>
      <c r="K108" s="45"/>
      <c r="L108" s="45"/>
      <c r="M108" s="45"/>
      <c r="N108" s="45"/>
      <c r="Q108" s="44" t="s">
        <v>88</v>
      </c>
      <c r="R108" s="45"/>
      <c r="S108" s="45"/>
      <c r="T108" s="45"/>
      <c r="U108" s="45"/>
      <c r="V108" s="45"/>
      <c r="W108" s="45"/>
      <c r="X108" s="45"/>
      <c r="Y108" s="45"/>
      <c r="Z108" s="45"/>
      <c r="AA108" s="45"/>
    </row>
    <row r="109" spans="1:30" ht="13.5" customHeight="1" x14ac:dyDescent="0.15">
      <c r="C109" s="405" t="s">
        <v>233</v>
      </c>
      <c r="D109" s="405"/>
      <c r="E109" s="405"/>
      <c r="F109" s="405"/>
      <c r="G109" s="405"/>
      <c r="H109" s="405"/>
      <c r="I109" s="405"/>
      <c r="J109" s="405"/>
      <c r="K109" s="405"/>
      <c r="L109" s="405"/>
      <c r="M109" s="405"/>
      <c r="N109" s="405"/>
      <c r="Q109" s="405" t="s">
        <v>234</v>
      </c>
      <c r="R109" s="405"/>
      <c r="S109" s="405"/>
      <c r="T109" s="405"/>
      <c r="U109" s="405"/>
      <c r="V109" s="405"/>
      <c r="W109" s="405"/>
      <c r="X109" s="405"/>
      <c r="Y109" s="405"/>
      <c r="Z109" s="405"/>
      <c r="AA109" s="405"/>
    </row>
    <row r="110" spans="1:30" x14ac:dyDescent="0.15">
      <c r="C110" s="405"/>
      <c r="D110" s="405"/>
      <c r="E110" s="405"/>
      <c r="F110" s="405"/>
      <c r="G110" s="405"/>
      <c r="H110" s="405"/>
      <c r="I110" s="405"/>
      <c r="J110" s="405"/>
      <c r="K110" s="405"/>
      <c r="L110" s="405"/>
      <c r="M110" s="405"/>
      <c r="N110" s="405"/>
      <c r="Q110" s="405"/>
      <c r="R110" s="405"/>
      <c r="S110" s="405"/>
      <c r="T110" s="405"/>
      <c r="U110" s="405"/>
      <c r="V110" s="405"/>
      <c r="W110" s="405"/>
      <c r="X110" s="405"/>
      <c r="Y110" s="405"/>
      <c r="Z110" s="405"/>
      <c r="AA110" s="405"/>
    </row>
    <row r="111" spans="1:30" ht="13.5" customHeight="1" x14ac:dyDescent="0.15">
      <c r="D111" s="33"/>
      <c r="E111" s="33"/>
      <c r="F111" s="33"/>
      <c r="G111" s="33"/>
      <c r="H111" s="33"/>
      <c r="I111" s="33"/>
      <c r="J111" s="33"/>
      <c r="K111" s="33"/>
      <c r="L111" s="33"/>
      <c r="M111" s="33"/>
      <c r="N111" s="33"/>
      <c r="Q111" s="54" t="s">
        <v>235</v>
      </c>
      <c r="R111" s="34"/>
      <c r="S111" s="34"/>
      <c r="T111" s="34"/>
      <c r="U111" s="34"/>
      <c r="V111" s="34"/>
      <c r="W111" s="34"/>
      <c r="X111" s="34"/>
      <c r="Y111" s="34"/>
      <c r="Z111" s="34"/>
      <c r="AA111" s="34"/>
    </row>
    <row r="112" spans="1:30" ht="6.95" customHeight="1" x14ac:dyDescent="0.15">
      <c r="G112" s="31"/>
    </row>
    <row r="113" spans="1:30" x14ac:dyDescent="0.15">
      <c r="C113" s="410" t="s">
        <v>73</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34"/>
    </row>
    <row r="114" spans="1:30" x14ac:dyDescent="0.15">
      <c r="C114" s="410"/>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34"/>
    </row>
    <row r="115" spans="1:30" ht="13.5" customHeight="1" x14ac:dyDescent="0.15">
      <c r="Y115" s="35"/>
      <c r="Z115" s="35"/>
      <c r="AA115" s="35"/>
    </row>
    <row r="116" spans="1:30" x14ac:dyDescent="0.15">
      <c r="A116" s="1" t="s">
        <v>60</v>
      </c>
      <c r="G116" s="31"/>
      <c r="Y116" s="409" t="s">
        <v>81</v>
      </c>
      <c r="Z116" s="409"/>
      <c r="AA116" s="409"/>
    </row>
    <row r="117" spans="1:30" ht="13.5" customHeight="1" x14ac:dyDescent="0.15">
      <c r="B117" s="1" t="s">
        <v>176</v>
      </c>
      <c r="G117" s="31"/>
      <c r="Y117" s="408"/>
      <c r="Z117" s="408"/>
      <c r="AA117" s="408"/>
    </row>
    <row r="118" spans="1:30" x14ac:dyDescent="0.15">
      <c r="B118" s="71" t="s">
        <v>177</v>
      </c>
      <c r="G118" s="31"/>
      <c r="Y118" s="406" t="str">
        <f>IF(AND(Y88&gt;=0.2,B123="✔",B125="✔",B128="✔",B131="✔"),10,IF(AND(Y88&gt;=0.2,B123="✔",B125="✔",B133="✔"),10,IF(AND(B125="✔",B135="✔",B123=""),10,"")))</f>
        <v/>
      </c>
      <c r="Z118" s="407"/>
      <c r="AA118" s="27" t="s">
        <v>0</v>
      </c>
    </row>
    <row r="119" spans="1:30" x14ac:dyDescent="0.15">
      <c r="B119" s="71" t="s">
        <v>178</v>
      </c>
      <c r="G119" s="31"/>
      <c r="Y119" s="70"/>
      <c r="Z119" s="70"/>
      <c r="AA119" s="69"/>
    </row>
    <row r="120" spans="1:30" x14ac:dyDescent="0.15">
      <c r="B120" s="71" t="s">
        <v>179</v>
      </c>
      <c r="G120" s="31"/>
      <c r="Y120" s="70"/>
      <c r="Z120" s="70"/>
      <c r="AA120" s="69"/>
    </row>
    <row r="121" spans="1:30" ht="9" customHeight="1" x14ac:dyDescent="0.15">
      <c r="G121" s="31"/>
      <c r="Y121" s="70"/>
      <c r="Z121" s="70"/>
      <c r="AA121" s="69"/>
    </row>
    <row r="122" spans="1:30" ht="6.95" customHeight="1" x14ac:dyDescent="0.15">
      <c r="G122" s="31"/>
    </row>
    <row r="123" spans="1:30" x14ac:dyDescent="0.15">
      <c r="B123" s="66"/>
      <c r="C123" s="1" t="s">
        <v>78</v>
      </c>
      <c r="G123" s="31"/>
      <c r="AD123" s="4" t="s">
        <v>72</v>
      </c>
    </row>
    <row r="124" spans="1:30" ht="6.95" customHeight="1" x14ac:dyDescent="0.15">
      <c r="G124" s="31"/>
    </row>
    <row r="125" spans="1:30" x14ac:dyDescent="0.15">
      <c r="B125" s="66"/>
      <c r="C125" s="1" t="s">
        <v>77</v>
      </c>
      <c r="G125" s="31"/>
    </row>
    <row r="126" spans="1:30" x14ac:dyDescent="0.15">
      <c r="C126" s="36" t="s">
        <v>171</v>
      </c>
      <c r="G126" s="31"/>
    </row>
    <row r="127" spans="1:30" ht="6.95" customHeight="1" x14ac:dyDescent="0.15">
      <c r="G127" s="31"/>
    </row>
    <row r="128" spans="1:30" x14ac:dyDescent="0.15">
      <c r="B128" s="66"/>
      <c r="C128" s="31" t="s">
        <v>75</v>
      </c>
      <c r="G128" s="31"/>
    </row>
    <row r="129" spans="1:28" x14ac:dyDescent="0.15">
      <c r="C129" s="36" t="s">
        <v>115</v>
      </c>
      <c r="G129" s="31"/>
    </row>
    <row r="130" spans="1:28" ht="6.95" customHeight="1" x14ac:dyDescent="0.15">
      <c r="G130" s="31"/>
    </row>
    <row r="131" spans="1:28" x14ac:dyDescent="0.15">
      <c r="B131" s="66"/>
      <c r="C131" s="31" t="s">
        <v>132</v>
      </c>
      <c r="G131" s="31"/>
    </row>
    <row r="132" spans="1:28" ht="6.95" customHeight="1" x14ac:dyDescent="0.15">
      <c r="G132" s="31"/>
    </row>
    <row r="133" spans="1:28" x14ac:dyDescent="0.15">
      <c r="B133" s="66"/>
      <c r="C133" s="1" t="s">
        <v>133</v>
      </c>
      <c r="G133" s="31"/>
    </row>
    <row r="134" spans="1:28" ht="7.5" customHeight="1" x14ac:dyDescent="0.15">
      <c r="G134" s="31"/>
    </row>
    <row r="135" spans="1:28" x14ac:dyDescent="0.15">
      <c r="B135" s="66"/>
      <c r="C135" s="1" t="s">
        <v>134</v>
      </c>
      <c r="G135" s="31"/>
    </row>
    <row r="136" spans="1:28" ht="6.95" customHeight="1" x14ac:dyDescent="0.15">
      <c r="G136" s="31"/>
    </row>
    <row r="137" spans="1:28" ht="15" customHeight="1" x14ac:dyDescent="0.15">
      <c r="B137" s="381" t="s">
        <v>7</v>
      </c>
      <c r="C137" s="381"/>
      <c r="D137" s="381"/>
      <c r="E137" s="381"/>
      <c r="F137" s="381"/>
      <c r="G137" s="381"/>
      <c r="H137" s="354" t="s">
        <v>155</v>
      </c>
      <c r="I137" s="354"/>
      <c r="J137" s="354"/>
      <c r="K137" s="354"/>
      <c r="L137" s="354"/>
      <c r="M137" s="354"/>
      <c r="N137" s="354"/>
      <c r="O137" s="337"/>
      <c r="P137" s="337"/>
      <c r="Q137" s="337"/>
      <c r="R137" s="337"/>
      <c r="S137" s="337"/>
      <c r="T137" s="337"/>
      <c r="U137" s="337"/>
      <c r="V137" s="337"/>
      <c r="W137" s="337"/>
      <c r="X137" s="337"/>
      <c r="Y137" s="337"/>
      <c r="Z137" s="337"/>
      <c r="AB137" s="5" t="str">
        <f>IF(AND(O137="",Y118=10),"→申請者の申請時住所の小学校区を記載してください。","")</f>
        <v/>
      </c>
    </row>
    <row r="138" spans="1:28" ht="15" customHeight="1" x14ac:dyDescent="0.15">
      <c r="B138" s="381"/>
      <c r="C138" s="381"/>
      <c r="D138" s="381"/>
      <c r="E138" s="381"/>
      <c r="F138" s="381"/>
      <c r="G138" s="381"/>
      <c r="H138" s="354" t="s">
        <v>156</v>
      </c>
      <c r="I138" s="354"/>
      <c r="J138" s="354"/>
      <c r="K138" s="354"/>
      <c r="L138" s="354"/>
      <c r="M138" s="354"/>
      <c r="N138" s="354"/>
      <c r="O138" s="337"/>
      <c r="P138" s="337"/>
      <c r="Q138" s="337"/>
      <c r="R138" s="337"/>
      <c r="S138" s="337"/>
      <c r="T138" s="337"/>
      <c r="U138" s="337"/>
      <c r="V138" s="337"/>
      <c r="W138" s="337"/>
      <c r="X138" s="337"/>
      <c r="Y138" s="337"/>
      <c r="Z138" s="337"/>
      <c r="AB138" s="5" t="str">
        <f>IF(AND(O138="",Y118=10),"→申請者の住宅建設地の小学校区を記載してください。","")</f>
        <v/>
      </c>
    </row>
    <row r="139" spans="1:28" ht="15" customHeight="1" x14ac:dyDescent="0.15">
      <c r="A139" s="79"/>
      <c r="B139" s="388" t="s">
        <v>157</v>
      </c>
      <c r="C139" s="388"/>
      <c r="D139" s="388"/>
      <c r="E139" s="388"/>
      <c r="F139" s="388"/>
      <c r="G139" s="388"/>
      <c r="H139" s="354" t="s">
        <v>14</v>
      </c>
      <c r="I139" s="354"/>
      <c r="J139" s="354"/>
      <c r="K139" s="354"/>
      <c r="L139" s="354"/>
      <c r="M139" s="354"/>
      <c r="N139" s="354"/>
      <c r="O139" s="337"/>
      <c r="P139" s="337"/>
      <c r="Q139" s="337"/>
      <c r="R139" s="337"/>
      <c r="S139" s="337"/>
      <c r="T139" s="337"/>
      <c r="U139" s="337"/>
      <c r="V139" s="337"/>
      <c r="W139" s="337"/>
      <c r="X139" s="337"/>
      <c r="Y139" s="337"/>
      <c r="Z139" s="337"/>
      <c r="AB139" s="5" t="str">
        <f>IF(AND(O139="",Y118=10),"→同居、近居対象の親族世帯の住所を記載してください。","")</f>
        <v/>
      </c>
    </row>
    <row r="140" spans="1:28" ht="15" customHeight="1" x14ac:dyDescent="0.15">
      <c r="A140" s="79"/>
      <c r="B140" s="389"/>
      <c r="C140" s="389"/>
      <c r="D140" s="389"/>
      <c r="E140" s="389"/>
      <c r="F140" s="389"/>
      <c r="G140" s="389"/>
      <c r="H140" s="354" t="s">
        <v>158</v>
      </c>
      <c r="I140" s="354"/>
      <c r="J140" s="354"/>
      <c r="K140" s="354"/>
      <c r="L140" s="354"/>
      <c r="M140" s="354"/>
      <c r="N140" s="354"/>
      <c r="O140" s="337"/>
      <c r="P140" s="337"/>
      <c r="Q140" s="337"/>
      <c r="R140" s="337"/>
      <c r="S140" s="337"/>
      <c r="T140" s="337"/>
      <c r="U140" s="337"/>
      <c r="V140" s="337"/>
      <c r="W140" s="337"/>
      <c r="X140" s="337"/>
      <c r="Y140" s="337"/>
      <c r="Z140" s="337"/>
      <c r="AB140" s="5" t="str">
        <f>IF(AND(O140="",Y118=10),"→同居、近居対象の親族世帯の小学校区を記載してください。","")</f>
        <v/>
      </c>
    </row>
    <row r="141" spans="1:28" ht="15" customHeight="1" x14ac:dyDescent="0.15">
      <c r="A141" s="79"/>
      <c r="B141" s="390"/>
      <c r="C141" s="390"/>
      <c r="D141" s="390"/>
      <c r="E141" s="390"/>
      <c r="F141" s="390"/>
      <c r="G141" s="390"/>
      <c r="H141" s="345" t="s">
        <v>242</v>
      </c>
      <c r="I141" s="346"/>
      <c r="J141" s="346"/>
      <c r="K141" s="346"/>
      <c r="L141" s="346"/>
      <c r="M141" s="346"/>
      <c r="N141" s="347"/>
      <c r="O141" s="337"/>
      <c r="P141" s="337"/>
      <c r="Q141" s="337"/>
      <c r="R141" s="337"/>
      <c r="S141" s="337"/>
      <c r="T141" s="337"/>
      <c r="U141" s="337"/>
      <c r="V141" s="337"/>
      <c r="W141" s="337"/>
      <c r="X141" s="337"/>
      <c r="Y141" s="337"/>
      <c r="Z141" s="337"/>
      <c r="AA141" s="78"/>
      <c r="AB141" s="5" t="str">
        <f>IF(AND(O141="",Y118=10),"→選択してください。","")</f>
        <v/>
      </c>
    </row>
    <row r="142" spans="1:28" ht="12.75" customHeight="1" x14ac:dyDescent="0.15">
      <c r="C142" s="46" t="s">
        <v>88</v>
      </c>
      <c r="G142" s="31"/>
    </row>
    <row r="143" spans="1:28" ht="12" customHeight="1" x14ac:dyDescent="0.15">
      <c r="C143" s="47" t="s">
        <v>236</v>
      </c>
      <c r="G143" s="31"/>
    </row>
    <row r="144" spans="1:28" x14ac:dyDescent="0.15">
      <c r="C144" s="47" t="s">
        <v>237</v>
      </c>
      <c r="D144" s="32"/>
      <c r="E144" s="32"/>
      <c r="F144" s="32"/>
      <c r="G144" s="32"/>
      <c r="H144" s="32"/>
      <c r="I144" s="32"/>
      <c r="J144" s="32"/>
      <c r="K144" s="32"/>
      <c r="L144" s="32"/>
      <c r="M144" s="32"/>
      <c r="N144" s="32"/>
    </row>
    <row r="145" spans="1:30" ht="13.5" customHeight="1" x14ac:dyDescent="0.15">
      <c r="C145" s="47"/>
      <c r="D145" s="34"/>
      <c r="E145" s="34"/>
      <c r="F145" s="34"/>
      <c r="G145" s="34"/>
      <c r="H145" s="34"/>
      <c r="I145" s="34"/>
      <c r="J145" s="34"/>
      <c r="K145" s="34"/>
      <c r="L145" s="34"/>
      <c r="M145" s="34"/>
      <c r="N145" s="34"/>
      <c r="O145" s="31"/>
      <c r="P145" s="31"/>
      <c r="Q145" s="31"/>
      <c r="R145" s="31"/>
      <c r="S145" s="31"/>
      <c r="T145" s="31"/>
      <c r="U145" s="31"/>
      <c r="V145" s="31"/>
    </row>
    <row r="146" spans="1:30" x14ac:dyDescent="0.15">
      <c r="C146" s="31"/>
      <c r="G146" s="31"/>
      <c r="AA146" s="29" t="s">
        <v>69</v>
      </c>
    </row>
    <row r="147" spans="1:30" x14ac:dyDescent="0.15">
      <c r="A147" s="1" t="s">
        <v>145</v>
      </c>
      <c r="Y147" s="393" t="s">
        <v>81</v>
      </c>
      <c r="Z147" s="393"/>
      <c r="AA147" s="393"/>
    </row>
    <row r="148" spans="1:30" ht="12.75" customHeight="1" x14ac:dyDescent="0.15">
      <c r="B148" s="338" t="s">
        <v>138</v>
      </c>
      <c r="C148" s="338"/>
      <c r="D148" s="338"/>
      <c r="E148" s="338"/>
      <c r="F148" s="338"/>
      <c r="G148" s="338"/>
      <c r="H148" s="338"/>
      <c r="I148" s="338"/>
      <c r="J148" s="338"/>
      <c r="K148" s="338"/>
      <c r="L148" s="338"/>
      <c r="M148" s="338"/>
      <c r="N148" s="338"/>
      <c r="O148" s="338"/>
      <c r="P148" s="338"/>
      <c r="Q148" s="338"/>
      <c r="R148" s="338"/>
      <c r="S148" s="338"/>
      <c r="T148" s="338"/>
      <c r="U148" s="338"/>
      <c r="V148" s="338"/>
      <c r="W148" s="338"/>
      <c r="X148" s="456"/>
      <c r="Y148" s="393"/>
      <c r="Z148" s="393"/>
      <c r="AA148" s="393"/>
    </row>
    <row r="149" spans="1:30" x14ac:dyDescent="0.15">
      <c r="B149" s="338"/>
      <c r="C149" s="338"/>
      <c r="D149" s="338"/>
      <c r="E149" s="338"/>
      <c r="F149" s="338"/>
      <c r="G149" s="338"/>
      <c r="H149" s="338"/>
      <c r="I149" s="338"/>
      <c r="J149" s="338"/>
      <c r="K149" s="338"/>
      <c r="L149" s="338"/>
      <c r="M149" s="338"/>
      <c r="N149" s="338"/>
      <c r="O149" s="338"/>
      <c r="P149" s="338"/>
      <c r="Q149" s="338"/>
      <c r="R149" s="338"/>
      <c r="S149" s="338"/>
      <c r="T149" s="338"/>
      <c r="U149" s="338"/>
      <c r="V149" s="338"/>
      <c r="W149" s="338"/>
      <c r="X149" s="456"/>
      <c r="Y149" s="370" t="str">
        <f>IF(AND(Y89&lt;&gt;"",Y89&gt;=0.2,B153="✔",(AC156+AC164+AC173)&gt;=2),MIN(15,SUM(Y162,Y172,Y179)),"")</f>
        <v/>
      </c>
      <c r="Z149" s="371"/>
      <c r="AA149" s="27" t="s">
        <v>0</v>
      </c>
    </row>
    <row r="150" spans="1:30" x14ac:dyDescent="0.15">
      <c r="B150" s="37"/>
      <c r="C150" s="382" t="s">
        <v>181</v>
      </c>
      <c r="D150" s="382"/>
      <c r="E150" s="382"/>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row>
    <row r="151" spans="1:30" ht="13.5" customHeight="1" x14ac:dyDescent="0.15">
      <c r="B151" s="37"/>
      <c r="C151" s="382"/>
      <c r="D151" s="382"/>
      <c r="E151" s="382"/>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row>
    <row r="152" spans="1:30" ht="6.95" customHeight="1" x14ac:dyDescent="0.15">
      <c r="G152" s="31"/>
    </row>
    <row r="153" spans="1:30" x14ac:dyDescent="0.15">
      <c r="B153" s="66"/>
      <c r="C153" s="1" t="s">
        <v>23</v>
      </c>
      <c r="H153" s="1" t="s">
        <v>170</v>
      </c>
      <c r="AD153" s="4" t="s">
        <v>72</v>
      </c>
    </row>
    <row r="155" spans="1:30" ht="6.95" customHeight="1" x14ac:dyDescent="0.15">
      <c r="G155" s="31"/>
    </row>
    <row r="156" spans="1:30" ht="13.5" customHeight="1" x14ac:dyDescent="0.15">
      <c r="B156" s="66"/>
      <c r="C156" s="1" t="s">
        <v>135</v>
      </c>
      <c r="H156" s="338" t="s">
        <v>141</v>
      </c>
      <c r="I156" s="338"/>
      <c r="J156" s="338"/>
      <c r="K156" s="338"/>
      <c r="L156" s="338"/>
      <c r="M156" s="338"/>
      <c r="N156" s="338"/>
      <c r="O156" s="338"/>
      <c r="P156" s="338"/>
      <c r="Q156" s="338"/>
      <c r="R156" s="338"/>
      <c r="S156" s="338"/>
      <c r="T156" s="338"/>
      <c r="U156" s="338"/>
      <c r="V156" s="338"/>
      <c r="W156" s="338"/>
      <c r="X156" s="338"/>
      <c r="Y156" s="338"/>
      <c r="Z156" s="338"/>
      <c r="AA156" s="338"/>
      <c r="AC156" s="4">
        <f>IF(AND(B156="✔",N161&gt;=7),1,0)</f>
        <v>0</v>
      </c>
    </row>
    <row r="157" spans="1:30" x14ac:dyDescent="0.15">
      <c r="H157" s="338"/>
      <c r="I157" s="338"/>
      <c r="J157" s="338"/>
      <c r="K157" s="338"/>
      <c r="L157" s="338"/>
      <c r="M157" s="338"/>
      <c r="N157" s="338"/>
      <c r="O157" s="338"/>
      <c r="P157" s="338"/>
      <c r="Q157" s="338"/>
      <c r="R157" s="338"/>
      <c r="S157" s="338"/>
      <c r="T157" s="338"/>
      <c r="U157" s="338"/>
      <c r="V157" s="338"/>
      <c r="W157" s="338"/>
      <c r="X157" s="338"/>
      <c r="Y157" s="338"/>
      <c r="Z157" s="338"/>
      <c r="AA157" s="338"/>
    </row>
    <row r="158" spans="1:30" x14ac:dyDescent="0.15">
      <c r="H158" s="338"/>
      <c r="I158" s="338"/>
      <c r="J158" s="338"/>
      <c r="K158" s="338"/>
      <c r="L158" s="338"/>
      <c r="M158" s="338"/>
      <c r="N158" s="338"/>
      <c r="O158" s="338"/>
      <c r="P158" s="338"/>
      <c r="Q158" s="338"/>
      <c r="R158" s="338"/>
      <c r="S158" s="338"/>
      <c r="T158" s="338"/>
      <c r="U158" s="338"/>
      <c r="V158" s="338"/>
      <c r="W158" s="338"/>
      <c r="X158" s="338"/>
      <c r="Y158" s="338"/>
      <c r="Z158" s="338"/>
      <c r="AA158" s="338"/>
    </row>
    <row r="159" spans="1:30" x14ac:dyDescent="0.15">
      <c r="H159" s="338"/>
      <c r="I159" s="338"/>
      <c r="J159" s="338"/>
      <c r="K159" s="338"/>
      <c r="L159" s="338"/>
      <c r="M159" s="338"/>
      <c r="N159" s="338"/>
      <c r="O159" s="338"/>
      <c r="P159" s="338"/>
      <c r="Q159" s="338"/>
      <c r="R159" s="338"/>
      <c r="S159" s="338"/>
      <c r="T159" s="338"/>
      <c r="U159" s="338"/>
      <c r="V159" s="338"/>
      <c r="W159" s="338"/>
      <c r="X159" s="338"/>
      <c r="Y159" s="338"/>
      <c r="Z159" s="338"/>
      <c r="AA159" s="338"/>
    </row>
    <row r="160" spans="1:30" x14ac:dyDescent="0.15">
      <c r="H160" s="394" t="s">
        <v>139</v>
      </c>
      <c r="I160" s="394"/>
      <c r="J160" s="394"/>
      <c r="K160" s="394"/>
      <c r="L160" s="394"/>
      <c r="M160" s="394"/>
      <c r="N160" s="394"/>
      <c r="O160" s="394"/>
      <c r="P160" s="394"/>
      <c r="Q160" s="394"/>
      <c r="R160" s="394"/>
      <c r="S160" s="394"/>
      <c r="T160" s="394"/>
      <c r="U160" s="394"/>
      <c r="V160" s="394"/>
      <c r="W160" s="394"/>
      <c r="X160" s="395"/>
      <c r="Y160" s="393" t="s">
        <v>81</v>
      </c>
      <c r="Z160" s="393"/>
      <c r="AA160" s="393"/>
    </row>
    <row r="161" spans="2:29" ht="13.5" customHeight="1" x14ac:dyDescent="0.15">
      <c r="D161" s="1" t="s">
        <v>136</v>
      </c>
      <c r="N161" s="348"/>
      <c r="O161" s="349"/>
      <c r="P161" s="350"/>
      <c r="Q161" s="1" t="s">
        <v>80</v>
      </c>
      <c r="Y161" s="393"/>
      <c r="Z161" s="393"/>
      <c r="AA161" s="393"/>
      <c r="AB161" s="5" t="str">
        <f>IF(AND(B156="✔",N161=""),"←建築大工技能を活用した見付面積を入力してください。","")</f>
        <v/>
      </c>
    </row>
    <row r="162" spans="2:29" x14ac:dyDescent="0.15">
      <c r="C162" s="43" t="s">
        <v>167</v>
      </c>
      <c r="H162" s="37"/>
      <c r="I162" s="37"/>
      <c r="J162" s="37"/>
      <c r="K162" s="37"/>
      <c r="L162" s="37"/>
      <c r="M162" s="37"/>
      <c r="N162" s="37"/>
      <c r="O162" s="37"/>
      <c r="P162" s="37"/>
      <c r="Q162" s="37"/>
      <c r="R162" s="37"/>
      <c r="S162" s="37"/>
      <c r="T162" s="37"/>
      <c r="U162" s="37"/>
      <c r="V162" s="37"/>
      <c r="W162" s="37"/>
      <c r="X162" s="37"/>
      <c r="Y162" s="370" t="str">
        <f>IF(AND(N161&gt;=7,B156="✔"),INT(N161)*1.1,"")</f>
        <v/>
      </c>
      <c r="Z162" s="371"/>
      <c r="AA162" s="27" t="s">
        <v>0</v>
      </c>
    </row>
    <row r="164" spans="2:29" x14ac:dyDescent="0.15">
      <c r="B164" s="66"/>
      <c r="C164" s="1" t="s">
        <v>143</v>
      </c>
      <c r="H164" s="59" t="s">
        <v>164</v>
      </c>
      <c r="AC164" s="4">
        <f>IF(AND(B164="✔",N168&gt;=7),1,0)</f>
        <v>0</v>
      </c>
    </row>
    <row r="165" spans="2:29" x14ac:dyDescent="0.15">
      <c r="H165" s="59" t="s">
        <v>165</v>
      </c>
    </row>
    <row r="166" spans="2:29" x14ac:dyDescent="0.15">
      <c r="H166" s="1" t="s">
        <v>173</v>
      </c>
    </row>
    <row r="167" spans="2:29" ht="13.5" customHeight="1" x14ac:dyDescent="0.15">
      <c r="H167" s="394" t="s">
        <v>174</v>
      </c>
      <c r="I167" s="394"/>
      <c r="J167" s="394"/>
      <c r="K167" s="394"/>
      <c r="L167" s="394"/>
      <c r="M167" s="394"/>
      <c r="N167" s="394"/>
      <c r="O167" s="394"/>
      <c r="P167" s="394"/>
      <c r="Q167" s="394"/>
      <c r="R167" s="394"/>
      <c r="S167" s="394"/>
      <c r="T167" s="394"/>
      <c r="U167" s="394"/>
      <c r="V167" s="394"/>
      <c r="W167" s="394"/>
      <c r="X167" s="431"/>
      <c r="Y167" s="3"/>
      <c r="AB167" s="57" t="str">
        <f>IF(AND(N168&gt;0,R168=""),"←こて塗り仕上げの材料を選択してください。",IF(AND(R168="その他のこて塗り",V168=""),"←こて塗りの材料を記載してください。",""))</f>
        <v/>
      </c>
    </row>
    <row r="168" spans="2:29" x14ac:dyDescent="0.15">
      <c r="D168" s="1" t="s">
        <v>160</v>
      </c>
      <c r="N168" s="348"/>
      <c r="O168" s="349"/>
      <c r="P168" s="350"/>
      <c r="Q168" s="1" t="s">
        <v>80</v>
      </c>
      <c r="R168" s="446"/>
      <c r="S168" s="446"/>
      <c r="T168" s="446"/>
      <c r="U168" s="446"/>
      <c r="V168" s="391"/>
      <c r="W168" s="392"/>
      <c r="X168" s="392"/>
      <c r="Y168" s="392"/>
      <c r="Z168" s="392"/>
      <c r="AB168" s="5" t="str">
        <f>IF(AND(B164="✔",N168=""),"←こて塗りの面積を入力してください。","")</f>
        <v/>
      </c>
      <c r="AC168" s="57"/>
    </row>
    <row r="169" spans="2:29" x14ac:dyDescent="0.15">
      <c r="C169" s="43" t="s">
        <v>166</v>
      </c>
      <c r="Y169" s="55"/>
      <c r="Z169" s="55"/>
      <c r="AB169" s="5"/>
      <c r="AC169" s="57"/>
    </row>
    <row r="170" spans="2:29" x14ac:dyDescent="0.15">
      <c r="Y170" s="393" t="s">
        <v>81</v>
      </c>
      <c r="Z170" s="393"/>
      <c r="AA170" s="393"/>
    </row>
    <row r="171" spans="2:29" x14ac:dyDescent="0.15">
      <c r="Y171" s="393"/>
      <c r="Z171" s="393"/>
      <c r="AA171" s="393"/>
    </row>
    <row r="172" spans="2:29" x14ac:dyDescent="0.15">
      <c r="Y172" s="370" t="str">
        <f>IF(AND(N168&gt;=7,B164="✔"),INT(N168)*1.3,"")</f>
        <v/>
      </c>
      <c r="Z172" s="371"/>
      <c r="AA172" s="27" t="s">
        <v>0</v>
      </c>
    </row>
    <row r="173" spans="2:29" x14ac:dyDescent="0.15">
      <c r="B173" s="66"/>
      <c r="C173" s="1" t="s">
        <v>144</v>
      </c>
      <c r="H173" s="338" t="s">
        <v>142</v>
      </c>
      <c r="I173" s="338"/>
      <c r="J173" s="338"/>
      <c r="K173" s="338"/>
      <c r="L173" s="338"/>
      <c r="M173" s="338"/>
      <c r="N173" s="338"/>
      <c r="O173" s="338"/>
      <c r="P173" s="338"/>
      <c r="Q173" s="338"/>
      <c r="R173" s="338"/>
      <c r="S173" s="338"/>
      <c r="T173" s="338"/>
      <c r="U173" s="338"/>
      <c r="V173" s="338"/>
      <c r="W173" s="338"/>
      <c r="X173" s="338"/>
      <c r="Y173" s="338"/>
      <c r="Z173" s="338"/>
      <c r="AA173" s="338"/>
      <c r="AC173" s="4">
        <f>IF(AND(B173="✔",N179&gt;=3),1,0)</f>
        <v>0</v>
      </c>
    </row>
    <row r="174" spans="2:29" x14ac:dyDescent="0.15">
      <c r="H174" s="338"/>
      <c r="I174" s="338"/>
      <c r="J174" s="338"/>
      <c r="K174" s="338"/>
      <c r="L174" s="338"/>
      <c r="M174" s="338"/>
      <c r="N174" s="338"/>
      <c r="O174" s="338"/>
      <c r="P174" s="338"/>
      <c r="Q174" s="338"/>
      <c r="R174" s="338"/>
      <c r="S174" s="338"/>
      <c r="T174" s="338"/>
      <c r="U174" s="338"/>
      <c r="V174" s="338"/>
      <c r="W174" s="338"/>
      <c r="X174" s="338"/>
      <c r="Y174" s="338"/>
      <c r="Z174" s="338"/>
      <c r="AA174" s="338"/>
    </row>
    <row r="175" spans="2:29" x14ac:dyDescent="0.15">
      <c r="H175" s="338"/>
      <c r="I175" s="338"/>
      <c r="J175" s="338"/>
      <c r="K175" s="338"/>
      <c r="L175" s="338"/>
      <c r="M175" s="338"/>
      <c r="N175" s="338"/>
      <c r="O175" s="338"/>
      <c r="P175" s="338"/>
      <c r="Q175" s="338"/>
      <c r="R175" s="338"/>
      <c r="S175" s="338"/>
      <c r="T175" s="338"/>
      <c r="U175" s="338"/>
      <c r="V175" s="338"/>
      <c r="W175" s="338"/>
      <c r="X175" s="338"/>
      <c r="Y175" s="338"/>
      <c r="Z175" s="338"/>
      <c r="AA175" s="338"/>
    </row>
    <row r="176" spans="2:29" ht="13.5" customHeight="1" x14ac:dyDescent="0.15">
      <c r="H176" s="380" t="s">
        <v>56</v>
      </c>
      <c r="I176" s="380"/>
      <c r="J176" s="380"/>
      <c r="K176" s="380"/>
      <c r="L176" s="380"/>
      <c r="M176" s="380"/>
      <c r="N176" s="380"/>
      <c r="O176" s="380"/>
      <c r="P176" s="404" t="s">
        <v>58</v>
      </c>
      <c r="Q176" s="404"/>
      <c r="R176" s="404"/>
      <c r="S176" s="404"/>
      <c r="T176" s="404"/>
      <c r="U176" s="404"/>
      <c r="V176" s="404"/>
      <c r="W176" s="404"/>
      <c r="X176" s="404"/>
      <c r="Y176" s="404"/>
      <c r="Z176" s="404"/>
      <c r="AA176" s="404"/>
    </row>
    <row r="177" spans="1:28" x14ac:dyDescent="0.15">
      <c r="H177" s="380" t="s">
        <v>57</v>
      </c>
      <c r="I177" s="380"/>
      <c r="J177" s="380"/>
      <c r="K177" s="380"/>
      <c r="L177" s="380"/>
      <c r="M177" s="380"/>
      <c r="N177" s="380"/>
      <c r="O177" s="380"/>
      <c r="P177" s="10" t="s">
        <v>59</v>
      </c>
      <c r="Q177" s="10"/>
      <c r="R177" s="10"/>
      <c r="S177" s="10"/>
      <c r="T177" s="10"/>
      <c r="U177" s="10"/>
      <c r="V177" s="10"/>
      <c r="W177" s="10"/>
      <c r="X177" s="10"/>
      <c r="Y177" s="393" t="s">
        <v>81</v>
      </c>
      <c r="Z177" s="393"/>
      <c r="AA177" s="393"/>
    </row>
    <row r="178" spans="1:28" x14ac:dyDescent="0.15">
      <c r="H178" s="394" t="s">
        <v>140</v>
      </c>
      <c r="I178" s="394"/>
      <c r="J178" s="394"/>
      <c r="K178" s="394"/>
      <c r="L178" s="394"/>
      <c r="M178" s="394"/>
      <c r="N178" s="394"/>
      <c r="O178" s="394"/>
      <c r="P178" s="394"/>
      <c r="Q178" s="394"/>
      <c r="R178" s="394"/>
      <c r="S178" s="394"/>
      <c r="T178" s="394"/>
      <c r="U178" s="394"/>
      <c r="V178" s="394"/>
      <c r="W178" s="394"/>
      <c r="X178" s="395"/>
      <c r="Y178" s="393"/>
      <c r="Z178" s="393"/>
      <c r="AA178" s="393"/>
    </row>
    <row r="179" spans="1:28" x14ac:dyDescent="0.15">
      <c r="G179" s="1" t="s">
        <v>83</v>
      </c>
      <c r="N179" s="348"/>
      <c r="O179" s="349"/>
      <c r="P179" s="350"/>
      <c r="Q179" s="1" t="s">
        <v>80</v>
      </c>
      <c r="Y179" s="370" t="str">
        <f>IF(AND(N179&gt;=3,B173="✔"),INT(N179)*1.9,"")</f>
        <v/>
      </c>
      <c r="Z179" s="371"/>
      <c r="AA179" s="27" t="s">
        <v>0</v>
      </c>
      <c r="AB179" s="5" t="str">
        <f>IF(AND(B173="✔",N179=""),"←木製建具の見付面積を入力してください。","")</f>
        <v/>
      </c>
    </row>
    <row r="180" spans="1:28" x14ac:dyDescent="0.15">
      <c r="C180" s="382" t="s">
        <v>189</v>
      </c>
      <c r="D180" s="382"/>
      <c r="E180" s="382"/>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row>
    <row r="181" spans="1:28" x14ac:dyDescent="0.15">
      <c r="C181" s="382"/>
      <c r="D181" s="382"/>
      <c r="E181" s="382"/>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row>
    <row r="182" spans="1:28" x14ac:dyDescent="0.15">
      <c r="C182" s="382"/>
      <c r="D182" s="382"/>
      <c r="E182" s="382"/>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row>
    <row r="183" spans="1:28" x14ac:dyDescent="0.15">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row>
    <row r="184" spans="1:28" x14ac:dyDescent="0.15">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29" t="s">
        <v>69</v>
      </c>
    </row>
    <row r="185" spans="1:28" x14ac:dyDescent="0.15">
      <c r="G185" s="31"/>
      <c r="K185" s="374" t="str">
        <f>IF(Y89="","",MIN(SUM(Y89,Y100,Y118,Y149),50,ROUNDDOWN(S31/2,1)))</f>
        <v/>
      </c>
      <c r="L185" s="375"/>
      <c r="M185" s="376"/>
      <c r="AB185" s="65">
        <f>SUM(Y149,Y10,Y100,Y89,Y118)</f>
        <v>0</v>
      </c>
    </row>
    <row r="186" spans="1:28" x14ac:dyDescent="0.15">
      <c r="C186" s="1" t="s">
        <v>61</v>
      </c>
      <c r="G186" s="31"/>
      <c r="K186" s="377"/>
      <c r="L186" s="378"/>
      <c r="M186" s="379"/>
      <c r="N186" s="1" t="s">
        <v>62</v>
      </c>
    </row>
    <row r="187" spans="1:28" x14ac:dyDescent="0.15">
      <c r="A187" s="16" t="s">
        <v>74</v>
      </c>
      <c r="G187" s="31"/>
    </row>
    <row r="188" spans="1:28" x14ac:dyDescent="0.15">
      <c r="A188" s="21" t="s">
        <v>159</v>
      </c>
      <c r="G188" s="31"/>
    </row>
    <row r="189" spans="1:28" ht="17.25" x14ac:dyDescent="0.15">
      <c r="A189" s="38" t="s">
        <v>66</v>
      </c>
    </row>
    <row r="192" spans="1:28" x14ac:dyDescent="0.15">
      <c r="C192" s="1" t="s">
        <v>188</v>
      </c>
    </row>
    <row r="193" spans="3:28" x14ac:dyDescent="0.15">
      <c r="C193" s="21" t="s">
        <v>84</v>
      </c>
    </row>
    <row r="195" spans="3:28" x14ac:dyDescent="0.15">
      <c r="C195" s="1" t="s">
        <v>184</v>
      </c>
    </row>
    <row r="196" spans="3:28" x14ac:dyDescent="0.15">
      <c r="C196" s="1" t="s">
        <v>185</v>
      </c>
    </row>
    <row r="197" spans="3:28" x14ac:dyDescent="0.15">
      <c r="C197" s="1" t="str">
        <f>IF(I61="有","他に利用する補助金一覧表（様式第６号の２別紙）","")</f>
        <v/>
      </c>
    </row>
    <row r="198" spans="3:28" x14ac:dyDescent="0.15">
      <c r="C198" s="1" t="str">
        <f>IF(AND(I45="",I45=""),"",IF(I45="要","検査済証の写し",""))</f>
        <v/>
      </c>
    </row>
    <row r="199" spans="3:28" x14ac:dyDescent="0.15">
      <c r="C199" s="1" t="str">
        <f>IF(AND(T45="",T45=""),"",IF(T45="要","建築工事届の写し（検査済み証がある場合は不要）",""))</f>
        <v/>
      </c>
    </row>
    <row r="200" spans="3:28" x14ac:dyDescent="0.15">
      <c r="C200" s="1" t="str">
        <f>IF(B71="✔","変更後の改修部分の図面に改修内容を記載したもの）","")</f>
        <v/>
      </c>
    </row>
    <row r="201" spans="3:28" x14ac:dyDescent="0.15">
      <c r="C201" s="1" t="s">
        <v>186</v>
      </c>
    </row>
    <row r="202" spans="3:28" x14ac:dyDescent="0.15">
      <c r="C202" s="1" t="s">
        <v>187</v>
      </c>
    </row>
    <row r="203" spans="3:28" ht="25.5" customHeight="1" x14ac:dyDescent="0.15">
      <c r="C203" s="372" t="str">
        <f>IF(B77="","","県内プレカット加工証明書（様式第９号）の原本若しくはその写し又はプレカット工場が記載された県産材の産地証明書写し")</f>
        <v>県内プレカット加工証明書（様式第９号）の原本若しくはその写し又はプレカット工場が記載された県産材の産地証明書写し</v>
      </c>
      <c r="D203" s="372"/>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row>
    <row r="204" spans="3:28" ht="37.5" customHeight="1" x14ac:dyDescent="0.15">
      <c r="C204" s="372" t="str">
        <f>IF(Q88="","","県産内外装材の見付面積及び使用場所を図示した立面図、展開図等の図面並びに含水率の測定結果写真（日本農林規格県産材であることを証明する書類の写しで含水率20%以下であることを証することができる場合を除く。）")</f>
        <v/>
      </c>
      <c r="D204" s="372"/>
      <c r="E204" s="372"/>
      <c r="F204" s="372"/>
      <c r="G204" s="372"/>
      <c r="H204" s="372"/>
      <c r="I204" s="372"/>
      <c r="J204" s="372"/>
      <c r="K204" s="372"/>
      <c r="L204" s="372"/>
      <c r="M204" s="372"/>
      <c r="N204" s="372"/>
      <c r="O204" s="372"/>
      <c r="P204" s="372"/>
      <c r="Q204" s="372"/>
      <c r="R204" s="372"/>
      <c r="S204" s="372"/>
      <c r="T204" s="372"/>
      <c r="U204" s="372"/>
      <c r="V204" s="372"/>
      <c r="W204" s="372"/>
      <c r="X204" s="372"/>
      <c r="Y204" s="372"/>
      <c r="Z204" s="372"/>
      <c r="AA204" s="372"/>
    </row>
    <row r="205" spans="3:28" x14ac:dyDescent="0.15">
      <c r="C205" s="372" t="str">
        <f>IF(OR(Y100=0,Y100=""),"","補助対象住宅に転居後の世帯全員の住民票")</f>
        <v/>
      </c>
      <c r="D205" s="372"/>
      <c r="E205" s="372"/>
      <c r="F205" s="372"/>
      <c r="G205" s="372"/>
      <c r="H205" s="372"/>
      <c r="I205" s="372"/>
      <c r="J205" s="372"/>
      <c r="K205" s="372"/>
      <c r="L205" s="372"/>
      <c r="M205" s="372"/>
      <c r="N205" s="372"/>
      <c r="O205" s="372"/>
      <c r="P205" s="372"/>
      <c r="Q205" s="372"/>
      <c r="R205" s="372"/>
      <c r="S205" s="372"/>
      <c r="T205" s="372"/>
      <c r="U205" s="372"/>
      <c r="V205" s="372"/>
      <c r="W205" s="372"/>
      <c r="X205" s="372"/>
      <c r="Y205" s="372"/>
      <c r="Z205" s="372"/>
      <c r="AA205" s="372"/>
    </row>
    <row r="206" spans="3:28" x14ac:dyDescent="0.15">
      <c r="C206" s="372" t="str">
        <f>IF(AND(Y100=10,B102="",P102="✔"),"申請者の戸籍抄本、申請者の戸籍謄本","")</f>
        <v/>
      </c>
      <c r="D206" s="372"/>
      <c r="E206" s="372"/>
      <c r="F206" s="372"/>
      <c r="G206" s="372"/>
      <c r="H206" s="372"/>
      <c r="I206" s="372"/>
      <c r="J206" s="372"/>
      <c r="K206" s="372"/>
      <c r="L206" s="372"/>
      <c r="M206" s="372"/>
      <c r="N206" s="372"/>
      <c r="O206" s="372"/>
      <c r="P206" s="372"/>
      <c r="Q206" s="372"/>
      <c r="R206" s="372"/>
      <c r="S206" s="372"/>
      <c r="T206" s="372"/>
      <c r="U206" s="372"/>
      <c r="V206" s="372"/>
      <c r="W206" s="372"/>
      <c r="X206" s="372"/>
      <c r="Y206" s="372"/>
      <c r="Z206" s="372"/>
      <c r="AA206" s="372"/>
      <c r="AB206" s="72" t="str">
        <f>IF(C206="","","戸籍謄本、戸籍抄本、誓約書いづれか一つを添付してください。")</f>
        <v/>
      </c>
    </row>
    <row r="207" spans="3:28" ht="28.5" customHeight="1" x14ac:dyDescent="0.15">
      <c r="C207" s="338" t="str">
        <f>IF(B123="✔","同居又は近居する直系親族世帯全員の住民票の写し　（補助対象住宅に転居後のもの）
同居又は近居する直系親族と姓が異なる場合は、申請者の戸籍謄本等直系親族とわかる書類）","")</f>
        <v/>
      </c>
      <c r="D207" s="338"/>
      <c r="E207" s="338"/>
      <c r="F207" s="338"/>
      <c r="G207" s="338"/>
      <c r="H207" s="338"/>
      <c r="I207" s="338"/>
      <c r="J207" s="338"/>
      <c r="K207" s="338"/>
      <c r="L207" s="338"/>
      <c r="M207" s="338"/>
      <c r="N207" s="338"/>
      <c r="O207" s="338"/>
      <c r="P207" s="338"/>
      <c r="Q207" s="338"/>
      <c r="R207" s="338"/>
      <c r="S207" s="338"/>
      <c r="T207" s="338"/>
      <c r="U207" s="338"/>
      <c r="V207" s="338"/>
      <c r="W207" s="338"/>
      <c r="X207" s="338"/>
      <c r="Y207" s="338"/>
      <c r="Z207" s="338"/>
      <c r="AA207" s="338"/>
      <c r="AB207" s="72"/>
    </row>
    <row r="208" spans="3:28" x14ac:dyDescent="0.15">
      <c r="C208" s="1" t="str">
        <f>IF(Y118=10,"補助対象住宅に転居後の同居又は近居の対象となる直系親族世帯全員の住民票","")</f>
        <v/>
      </c>
    </row>
    <row r="209" spans="1:38" ht="15.75" customHeight="1" x14ac:dyDescent="0.15">
      <c r="C209" s="338" t="str">
        <f>IF(B153="","","各伝統技能の施工面積及び施工箇所を図示した立面図、展開図等の図面")</f>
        <v/>
      </c>
      <c r="D209" s="338"/>
      <c r="E209" s="338"/>
      <c r="F209" s="338"/>
      <c r="G209" s="338"/>
      <c r="H209" s="338"/>
      <c r="I209" s="338"/>
      <c r="J209" s="338"/>
      <c r="K209" s="338"/>
      <c r="L209" s="338"/>
      <c r="M209" s="338"/>
      <c r="N209" s="338"/>
      <c r="O209" s="338"/>
      <c r="P209" s="338"/>
      <c r="Q209" s="338"/>
      <c r="R209" s="338"/>
      <c r="S209" s="338"/>
      <c r="T209" s="338"/>
      <c r="U209" s="338"/>
      <c r="V209" s="338"/>
      <c r="W209" s="338"/>
      <c r="X209" s="338"/>
      <c r="Y209" s="338"/>
      <c r="Z209" s="338"/>
      <c r="AA209" s="338"/>
    </row>
    <row r="210" spans="1:38" x14ac:dyDescent="0.15">
      <c r="C210" s="1" t="str">
        <f>IF(B156="✔","建築大工技能に係る施工状況写真（建築主名を記載した工事看板を写し込んだもの）","")</f>
        <v/>
      </c>
    </row>
    <row r="211" spans="1:38" ht="29.25" customHeight="1" x14ac:dyDescent="0.15">
      <c r="C211" s="338" t="str">
        <f>IF(B164="✔","左官仕上げのこて塗りが確認できる施工状況写真（建築主名を記載した工事看板を写し込んだもの）","")</f>
        <v/>
      </c>
      <c r="D211" s="338"/>
      <c r="E211" s="338"/>
      <c r="F211" s="338"/>
      <c r="G211" s="338"/>
      <c r="H211" s="338"/>
      <c r="I211" s="338"/>
      <c r="J211" s="338"/>
      <c r="K211" s="338"/>
      <c r="L211" s="338"/>
      <c r="M211" s="338"/>
      <c r="N211" s="338"/>
      <c r="O211" s="338"/>
      <c r="P211" s="338"/>
      <c r="Q211" s="338"/>
      <c r="R211" s="338"/>
      <c r="S211" s="338"/>
      <c r="T211" s="338"/>
      <c r="U211" s="338"/>
      <c r="V211" s="338"/>
      <c r="W211" s="338"/>
      <c r="X211" s="338"/>
      <c r="Y211" s="338"/>
      <c r="Z211" s="338"/>
      <c r="AA211" s="338"/>
      <c r="AB211" s="72" t="str">
        <f>IF(C211="","","こて塗りで実際施工中の写真を添付してください（建築主名記載の工事看板入り）。")</f>
        <v/>
      </c>
    </row>
    <row r="212" spans="1:38" ht="44.25" customHeight="1" x14ac:dyDescent="0.15">
      <c r="C212" s="338" t="str">
        <f>IF(B173="✔","木製建具の種類及び見付面積が確認できる資料、設置完了後の写真（建具の種類ごとに建築主名、建具業者名及び建具の名称を記載した工事看板を写し込んだもの）及び当該木製建具に係る納品書の写し","")</f>
        <v/>
      </c>
      <c r="D212" s="338"/>
      <c r="E212" s="338"/>
      <c r="F212" s="338"/>
      <c r="G212" s="338"/>
      <c r="H212" s="338"/>
      <c r="I212" s="338"/>
      <c r="J212" s="338"/>
      <c r="K212" s="338"/>
      <c r="L212" s="338"/>
      <c r="M212" s="338"/>
      <c r="N212" s="338"/>
      <c r="O212" s="338"/>
      <c r="P212" s="338"/>
      <c r="Q212" s="338"/>
      <c r="R212" s="338"/>
      <c r="S212" s="338"/>
      <c r="T212" s="338"/>
      <c r="U212" s="338"/>
      <c r="V212" s="338"/>
      <c r="W212" s="338"/>
      <c r="X212" s="338"/>
      <c r="Y212" s="338"/>
      <c r="Z212" s="338"/>
      <c r="AA212" s="338"/>
    </row>
    <row r="213" spans="1:38" x14ac:dyDescent="0.15">
      <c r="C213" s="1" t="str">
        <f>IF(AC214="はい","現地審査に関する通知書（竣工時）の写し","")</f>
        <v/>
      </c>
      <c r="AB213" s="95" t="s">
        <v>202</v>
      </c>
      <c r="AC213" s="95"/>
      <c r="AD213" s="95"/>
      <c r="AE213" s="95"/>
      <c r="AF213" s="95"/>
      <c r="AG213" s="95"/>
      <c r="AH213" s="95"/>
      <c r="AI213" s="95"/>
      <c r="AJ213" s="95"/>
      <c r="AK213" s="95"/>
    </row>
    <row r="214" spans="1:38" x14ac:dyDescent="0.15">
      <c r="AB214" s="95" t="s">
        <v>203</v>
      </c>
      <c r="AC214" s="339" t="s">
        <v>220</v>
      </c>
      <c r="AD214" s="340"/>
      <c r="AE214" s="340"/>
      <c r="AF214" s="340"/>
      <c r="AG214" s="340"/>
      <c r="AH214" s="340"/>
      <c r="AI214" s="340"/>
      <c r="AJ214" s="340"/>
      <c r="AK214" s="341"/>
      <c r="AL214" s="95" t="s">
        <v>205</v>
      </c>
    </row>
    <row r="218" spans="1:38" x14ac:dyDescent="0.15">
      <c r="A218" s="338" t="s">
        <v>438</v>
      </c>
      <c r="B218" s="338"/>
      <c r="C218" s="338"/>
      <c r="D218" s="338"/>
      <c r="E218" s="338"/>
      <c r="F218" s="338"/>
      <c r="G218" s="338"/>
      <c r="H218" s="338"/>
      <c r="I218" s="338"/>
      <c r="J218" s="338"/>
      <c r="K218" s="338"/>
      <c r="L218" s="338"/>
      <c r="M218" s="338"/>
      <c r="N218" s="338"/>
      <c r="O218" s="338"/>
      <c r="P218" s="338"/>
      <c r="Q218" s="338"/>
      <c r="R218" s="338"/>
      <c r="S218" s="338"/>
      <c r="T218" s="338"/>
      <c r="U218" s="338"/>
      <c r="V218" s="338"/>
      <c r="W218" s="338"/>
      <c r="X218" s="338"/>
      <c r="Y218" s="338"/>
      <c r="Z218" s="338"/>
      <c r="AA218" s="338"/>
    </row>
    <row r="219" spans="1:38" x14ac:dyDescent="0.15">
      <c r="A219" s="338"/>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row>
    <row r="221" spans="1:38" ht="17.25" customHeight="1" x14ac:dyDescent="0.15">
      <c r="J221" s="403" t="s">
        <v>180</v>
      </c>
      <c r="K221" s="337"/>
      <c r="L221" s="337"/>
      <c r="M221" s="337"/>
      <c r="N221" s="337"/>
      <c r="O221" s="337"/>
      <c r="P221" s="337"/>
      <c r="Q221" s="337"/>
      <c r="R221" s="337"/>
      <c r="S221" s="337"/>
      <c r="T221" s="337"/>
      <c r="U221" s="337"/>
      <c r="V221" s="337"/>
      <c r="W221" s="337"/>
      <c r="X221" s="337"/>
      <c r="Y221" s="337"/>
      <c r="Z221" s="337"/>
      <c r="AA221" s="337"/>
      <c r="AB221" s="5" t="str">
        <f>IF(P221="","←工事監理者氏名（工事監理者が不要な場合は工事施工者氏名を選択し、当該内容）を入力してください。","")</f>
        <v>←工事監理者氏名（工事監理者が不要な場合は工事施工者氏名を選択し、当該内容）を入力してください。</v>
      </c>
    </row>
    <row r="222" spans="1:38" ht="17.25" customHeight="1" x14ac:dyDescent="0.15">
      <c r="J222" s="354" t="s">
        <v>149</v>
      </c>
      <c r="K222" s="354"/>
      <c r="L222" s="354"/>
      <c r="M222" s="354"/>
      <c r="N222" s="354"/>
      <c r="O222" s="354"/>
      <c r="P222" s="337"/>
      <c r="Q222" s="337"/>
      <c r="R222" s="337"/>
      <c r="S222" s="337"/>
      <c r="T222" s="337"/>
      <c r="U222" s="337"/>
      <c r="V222" s="337"/>
      <c r="W222" s="337"/>
      <c r="X222" s="337"/>
      <c r="Y222" s="337"/>
      <c r="Z222" s="337"/>
      <c r="AA222" s="337"/>
      <c r="AB222" s="5" t="str">
        <f>IF(P222="","←建築士事務所名を入力してください。","")</f>
        <v>←建築士事務所名を入力してください。</v>
      </c>
    </row>
    <row r="223" spans="1:38" ht="17.25" customHeight="1" x14ac:dyDescent="0.15">
      <c r="J223" s="396" t="s">
        <v>150</v>
      </c>
      <c r="K223" s="397"/>
      <c r="L223" s="397"/>
      <c r="M223" s="397"/>
      <c r="N223" s="397"/>
      <c r="O223" s="342"/>
      <c r="P223" s="345" t="s">
        <v>48</v>
      </c>
      <c r="Q223" s="346"/>
      <c r="R223" s="346"/>
      <c r="S223" s="346"/>
      <c r="T223" s="349"/>
      <c r="U223" s="349"/>
      <c r="V223" s="349"/>
      <c r="W223" s="349"/>
      <c r="X223" s="349"/>
      <c r="Y223" s="349"/>
      <c r="Z223" s="349"/>
      <c r="AA223" s="350"/>
      <c r="AB223" s="5" t="str">
        <f>IF(T223="","←建築士事務所の登録区分を選択（１級、２級、木造）してください。","")</f>
        <v>←建築士事務所の登録区分を選択（１級、２級、木造）してください。</v>
      </c>
    </row>
    <row r="224" spans="1:38" ht="17.25" customHeight="1" x14ac:dyDescent="0.15">
      <c r="J224" s="391"/>
      <c r="K224" s="392"/>
      <c r="L224" s="392"/>
      <c r="M224" s="392"/>
      <c r="N224" s="392"/>
      <c r="O224" s="398"/>
      <c r="P224" s="345" t="s">
        <v>151</v>
      </c>
      <c r="Q224" s="346"/>
      <c r="R224" s="346"/>
      <c r="S224" s="346"/>
      <c r="T224" s="349"/>
      <c r="U224" s="349"/>
      <c r="V224" s="349"/>
      <c r="W224" s="349"/>
      <c r="X224" s="349"/>
      <c r="Y224" s="349"/>
      <c r="Z224" s="346" t="s">
        <v>152</v>
      </c>
      <c r="AA224" s="347"/>
      <c r="AB224" s="5" t="str">
        <f>IF(T224="","←建築士事務所の登録を受けた都道府県名入力してください。","")</f>
        <v>←建築士事務所の登録を受けた都道府県名入力してください。</v>
      </c>
    </row>
    <row r="225" spans="1:28" ht="17.25" customHeight="1" x14ac:dyDescent="0.15">
      <c r="J225" s="399"/>
      <c r="K225" s="400"/>
      <c r="L225" s="400"/>
      <c r="M225" s="400"/>
      <c r="N225" s="400"/>
      <c r="O225" s="343"/>
      <c r="P225" s="345" t="s">
        <v>153</v>
      </c>
      <c r="Q225" s="346"/>
      <c r="R225" s="346"/>
      <c r="S225" s="346"/>
      <c r="T225" s="401"/>
      <c r="U225" s="401"/>
      <c r="V225" s="401"/>
      <c r="W225" s="401"/>
      <c r="X225" s="401"/>
      <c r="Y225" s="401"/>
      <c r="Z225" s="401"/>
      <c r="AA225" s="402"/>
      <c r="AB225" s="5" t="str">
        <f>IF(T225="","←建築士事務所の登録番号を入力してください。","")</f>
        <v>←建築士事務所の登録番号を入力してください。</v>
      </c>
    </row>
    <row r="226" spans="1:28" x14ac:dyDescent="0.15">
      <c r="A226" s="1" t="s">
        <v>154</v>
      </c>
    </row>
    <row r="227" spans="1:28" ht="26.25" customHeight="1" x14ac:dyDescent="0.15">
      <c r="A227" s="338" t="s">
        <v>175</v>
      </c>
      <c r="B227" s="338"/>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row>
  </sheetData>
  <sheetProtection algorithmName="SHA-512" hashValue="l+2EnlFnEH43A3jdtdvvdDa2oT2lnCB+TCUQ8L9Cb5/cWpJiPjAj89SeFGKlfCp65bNzJUV/3QH8XeDnvQ0AlQ==" saltValue="vcEcfKtt8Z5ayuv6wUPgZA==" spinCount="100000" sheet="1" objects="1" scenarios="1"/>
  <mergeCells count="171">
    <mergeCell ref="D68:O68"/>
    <mergeCell ref="P68:T68"/>
    <mergeCell ref="U68:Z68"/>
    <mergeCell ref="D69:O69"/>
    <mergeCell ref="P69:T69"/>
    <mergeCell ref="U69:Z69"/>
    <mergeCell ref="D70:O70"/>
    <mergeCell ref="P70:T70"/>
    <mergeCell ref="U70:Z70"/>
    <mergeCell ref="D65:O65"/>
    <mergeCell ref="P65:T65"/>
    <mergeCell ref="U65:Z65"/>
    <mergeCell ref="D66:O66"/>
    <mergeCell ref="P66:T66"/>
    <mergeCell ref="U66:Z66"/>
    <mergeCell ref="D67:O67"/>
    <mergeCell ref="P67:T67"/>
    <mergeCell ref="U67:Z67"/>
    <mergeCell ref="I40:X40"/>
    <mergeCell ref="N35:Q35"/>
    <mergeCell ref="A16:AA16"/>
    <mergeCell ref="V36:W36"/>
    <mergeCell ref="S31:V31"/>
    <mergeCell ref="V35:W35"/>
    <mergeCell ref="C203:AA203"/>
    <mergeCell ref="D37:H37"/>
    <mergeCell ref="I37:X37"/>
    <mergeCell ref="U85:X86"/>
    <mergeCell ref="Y85:AA86"/>
    <mergeCell ref="Y87:Z87"/>
    <mergeCell ref="C180:AA182"/>
    <mergeCell ref="Q106:AA107"/>
    <mergeCell ref="Y147:AA148"/>
    <mergeCell ref="B148:X149"/>
    <mergeCell ref="Y172:Z172"/>
    <mergeCell ref="H178:X178"/>
    <mergeCell ref="I45:N45"/>
    <mergeCell ref="Y162:Z162"/>
    <mergeCell ref="Y170:AA171"/>
    <mergeCell ref="I36:M36"/>
    <mergeCell ref="C22:AA22"/>
    <mergeCell ref="C24:AA25"/>
    <mergeCell ref="D34:H34"/>
    <mergeCell ref="I34:X34"/>
    <mergeCell ref="D31:H31"/>
    <mergeCell ref="V32:W32"/>
    <mergeCell ref="R33:U33"/>
    <mergeCell ref="O31:R31"/>
    <mergeCell ref="V33:W33"/>
    <mergeCell ref="R32:U32"/>
    <mergeCell ref="D35:H36"/>
    <mergeCell ref="A218:AA219"/>
    <mergeCell ref="H167:X167"/>
    <mergeCell ref="B82:AA82"/>
    <mergeCell ref="U87:X87"/>
    <mergeCell ref="A3:AA3"/>
    <mergeCell ref="U88:X88"/>
    <mergeCell ref="Q88:T88"/>
    <mergeCell ref="D78:H78"/>
    <mergeCell ref="I78:X78"/>
    <mergeCell ref="I30:X30"/>
    <mergeCell ref="D29:H30"/>
    <mergeCell ref="I29:L29"/>
    <mergeCell ref="M29:X29"/>
    <mergeCell ref="I31:N31"/>
    <mergeCell ref="M32:Q33"/>
    <mergeCell ref="D32:H33"/>
    <mergeCell ref="I32:K33"/>
    <mergeCell ref="D42:H42"/>
    <mergeCell ref="D41:H41"/>
    <mergeCell ref="D40:H40"/>
    <mergeCell ref="I41:X41"/>
    <mergeCell ref="I42:X42"/>
    <mergeCell ref="W31:X31"/>
    <mergeCell ref="R168:U168"/>
    <mergeCell ref="A5:AA6"/>
    <mergeCell ref="C109:N110"/>
    <mergeCell ref="Q109:AA110"/>
    <mergeCell ref="Y100:Z100"/>
    <mergeCell ref="Y98:AA99"/>
    <mergeCell ref="Y118:Z118"/>
    <mergeCell ref="Y116:AA117"/>
    <mergeCell ref="C113:Z114"/>
    <mergeCell ref="Q87:T87"/>
    <mergeCell ref="Y89:Z89"/>
    <mergeCell ref="D61:H61"/>
    <mergeCell ref="I61:N61"/>
    <mergeCell ref="N36:Q36"/>
    <mergeCell ref="I35:M35"/>
    <mergeCell ref="D45:H45"/>
    <mergeCell ref="E87:P87"/>
    <mergeCell ref="C8:F8"/>
    <mergeCell ref="H8:I8"/>
    <mergeCell ref="K8:L8"/>
    <mergeCell ref="N12:Z12"/>
    <mergeCell ref="N13:Z13"/>
    <mergeCell ref="N11:Z11"/>
    <mergeCell ref="O10:Z10"/>
    <mergeCell ref="C20:AA21"/>
    <mergeCell ref="A227:AA227"/>
    <mergeCell ref="Y177:AA178"/>
    <mergeCell ref="Y179:Z179"/>
    <mergeCell ref="H160:X160"/>
    <mergeCell ref="Q103:AA104"/>
    <mergeCell ref="J223:O225"/>
    <mergeCell ref="P223:S223"/>
    <mergeCell ref="T223:AA223"/>
    <mergeCell ref="P224:S224"/>
    <mergeCell ref="T224:Y224"/>
    <mergeCell ref="Z224:AA224"/>
    <mergeCell ref="P225:S225"/>
    <mergeCell ref="T225:AA225"/>
    <mergeCell ref="C209:AA209"/>
    <mergeCell ref="C211:AA211"/>
    <mergeCell ref="C212:AA212"/>
    <mergeCell ref="J221:O221"/>
    <mergeCell ref="P221:AA221"/>
    <mergeCell ref="J222:O222"/>
    <mergeCell ref="P222:AA222"/>
    <mergeCell ref="N161:P161"/>
    <mergeCell ref="Y160:AA161"/>
    <mergeCell ref="H176:O176"/>
    <mergeCell ref="P176:AA176"/>
    <mergeCell ref="V47:W47"/>
    <mergeCell ref="Y149:Z149"/>
    <mergeCell ref="N168:P168"/>
    <mergeCell ref="H173:AA175"/>
    <mergeCell ref="H156:AA159"/>
    <mergeCell ref="C204:AA204"/>
    <mergeCell ref="C205:AA205"/>
    <mergeCell ref="C206:AA206"/>
    <mergeCell ref="P61:AA61"/>
    <mergeCell ref="K185:M186"/>
    <mergeCell ref="N179:P179"/>
    <mergeCell ref="H177:O177"/>
    <mergeCell ref="B137:G138"/>
    <mergeCell ref="C150:AA151"/>
    <mergeCell ref="H139:N139"/>
    <mergeCell ref="O139:Z139"/>
    <mergeCell ref="H140:N140"/>
    <mergeCell ref="O140:Z140"/>
    <mergeCell ref="C74:AA75"/>
    <mergeCell ref="E88:P88"/>
    <mergeCell ref="C106:N107"/>
    <mergeCell ref="B139:G141"/>
    <mergeCell ref="H141:N141"/>
    <mergeCell ref="V168:Z168"/>
    <mergeCell ref="O141:Z141"/>
    <mergeCell ref="C207:AA207"/>
    <mergeCell ref="AC214:AK214"/>
    <mergeCell ref="L32:L33"/>
    <mergeCell ref="S35:T35"/>
    <mergeCell ref="O45:S45"/>
    <mergeCell ref="T45:Y45"/>
    <mergeCell ref="S36:T36"/>
    <mergeCell ref="Y88:Z88"/>
    <mergeCell ref="Q85:T85"/>
    <mergeCell ref="H137:N137"/>
    <mergeCell ref="O137:Z137"/>
    <mergeCell ref="H138:N138"/>
    <mergeCell ref="O138:Z138"/>
    <mergeCell ref="D86:P86"/>
    <mergeCell ref="D85:P85"/>
    <mergeCell ref="Q86:T86"/>
    <mergeCell ref="D46:H46"/>
    <mergeCell ref="I46:N46"/>
    <mergeCell ref="O46:S46"/>
    <mergeCell ref="T46:Y46"/>
    <mergeCell ref="D47:N47"/>
    <mergeCell ref="O47:Q47"/>
    <mergeCell ref="S47:T47"/>
  </mergeCells>
  <phoneticPr fontId="1"/>
  <conditionalFormatting sqref="O10:Z10 N11:Z13 I34:X34 I40:X42 I30:I32 M29 Q86:Q87">
    <cfRule type="containsBlanks" dxfId="82" priority="177">
      <formula>LEN(TRIM(I10))=0</formula>
    </cfRule>
  </conditionalFormatting>
  <conditionalFormatting sqref="V32:W32">
    <cfRule type="expression" dxfId="81" priority="165">
      <formula>AND($I$31="併用住宅",$V$32="")</formula>
    </cfRule>
  </conditionalFormatting>
  <conditionalFormatting sqref="V33:W33">
    <cfRule type="expression" dxfId="80" priority="164">
      <formula>AND($I$31="併用住宅",$V$33="")</formula>
    </cfRule>
  </conditionalFormatting>
  <conditionalFormatting sqref="I61:N61">
    <cfRule type="containsBlanks" dxfId="79" priority="162">
      <formula>LEN(TRIM(I61))=0</formula>
    </cfRule>
  </conditionalFormatting>
  <conditionalFormatting sqref="U85:X86">
    <cfRule type="expression" dxfId="78" priority="156">
      <formula>$I$31="併用住宅"</formula>
    </cfRule>
  </conditionalFormatting>
  <conditionalFormatting sqref="B20">
    <cfRule type="containsBlanks" dxfId="77" priority="182">
      <formula>LEN(TRIM(B20))=0</formula>
    </cfRule>
  </conditionalFormatting>
  <conditionalFormatting sqref="U87:X87">
    <cfRule type="expression" dxfId="76" priority="154">
      <formula>$I$31="併用住宅"</formula>
    </cfRule>
    <cfRule type="expression" dxfId="75" priority="158">
      <formula>AND($I$31="併用住宅",$U$87="")</formula>
    </cfRule>
  </conditionalFormatting>
  <conditionalFormatting sqref="S31">
    <cfRule type="containsBlanks" dxfId="74" priority="101">
      <formula>LEN(TRIM(S31))=0</formula>
    </cfRule>
  </conditionalFormatting>
  <conditionalFormatting sqref="H8">
    <cfRule type="containsBlanks" dxfId="73" priority="93">
      <formula>LEN(TRIM(H8))=0</formula>
    </cfRule>
  </conditionalFormatting>
  <conditionalFormatting sqref="K8">
    <cfRule type="containsBlanks" dxfId="72" priority="92">
      <formula>LEN(TRIM(K8))=0</formula>
    </cfRule>
  </conditionalFormatting>
  <conditionalFormatting sqref="C8:F8">
    <cfRule type="containsBlanks" dxfId="71" priority="91">
      <formula>LEN(TRIM(C8))=0</formula>
    </cfRule>
  </conditionalFormatting>
  <conditionalFormatting sqref="N168:P168">
    <cfRule type="containsBlanks" dxfId="70" priority="184">
      <formula>LEN(TRIM(N168))=0</formula>
    </cfRule>
  </conditionalFormatting>
  <conditionalFormatting sqref="N179:P179">
    <cfRule type="containsBlanks" dxfId="69" priority="185">
      <formula>LEN(TRIM(N179))=0</formula>
    </cfRule>
  </conditionalFormatting>
  <conditionalFormatting sqref="V35 S35">
    <cfRule type="containsBlanks" dxfId="68" priority="80">
      <formula>LEN(TRIM(S35))=0</formula>
    </cfRule>
  </conditionalFormatting>
  <conditionalFormatting sqref="N35:Q35">
    <cfRule type="containsBlanks" dxfId="67" priority="79">
      <formula>LEN(TRIM(N35))=0</formula>
    </cfRule>
  </conditionalFormatting>
  <conditionalFormatting sqref="V36 S36">
    <cfRule type="containsBlanks" dxfId="66" priority="78">
      <formula>LEN(TRIM(S36))=0</formula>
    </cfRule>
  </conditionalFormatting>
  <conditionalFormatting sqref="N36:Q36">
    <cfRule type="containsBlanks" dxfId="65" priority="77">
      <formula>LEN(TRIM(N36))=0</formula>
    </cfRule>
  </conditionalFormatting>
  <conditionalFormatting sqref="U88:X88">
    <cfRule type="expression" dxfId="64" priority="180">
      <formula>$I$31="併用住宅"</formula>
    </cfRule>
    <cfRule type="expression" dxfId="63" priority="181">
      <formula>AND($I$31="併用住宅",#REF!="")</formula>
    </cfRule>
  </conditionalFormatting>
  <conditionalFormatting sqref="N161:P161">
    <cfRule type="containsBlanks" dxfId="62" priority="183">
      <formula>LEN(TRIM(N161))=0</formula>
    </cfRule>
  </conditionalFormatting>
  <conditionalFormatting sqref="P221:AA222">
    <cfRule type="containsBlanks" dxfId="61" priority="54">
      <formula>LEN(TRIM(P221))=0</formula>
    </cfRule>
  </conditionalFormatting>
  <conditionalFormatting sqref="T223:AA223 T225:AA225 T224 Z224">
    <cfRule type="containsBlanks" dxfId="60" priority="53">
      <formula>LEN(TRIM(T223))=0</formula>
    </cfRule>
  </conditionalFormatting>
  <conditionalFormatting sqref="O137:Z140">
    <cfRule type="containsBlanks" dxfId="59" priority="52">
      <formula>LEN(TRIM(O137))=0</formula>
    </cfRule>
  </conditionalFormatting>
  <conditionalFormatting sqref="I37:X37">
    <cfRule type="expression" dxfId="58" priority="51">
      <formula>AND($I$34="その他",$I$37="")</formula>
    </cfRule>
  </conditionalFormatting>
  <conditionalFormatting sqref="R168:U168">
    <cfRule type="containsBlanks" dxfId="57" priority="49">
      <formula>LEN(TRIM(R168))=0</formula>
    </cfRule>
  </conditionalFormatting>
  <conditionalFormatting sqref="V168:Z168">
    <cfRule type="expression" dxfId="56" priority="45">
      <formula>AND($R$168="その他のこて塗り",$V$168="")</formula>
    </cfRule>
    <cfRule type="expression" dxfId="55" priority="46">
      <formula>"$R$158=""その他のこて塗り"""</formula>
    </cfRule>
  </conditionalFormatting>
  <conditionalFormatting sqref="I78:X78">
    <cfRule type="containsBlanks" dxfId="54" priority="44">
      <formula>LEN(TRIM(I78))=0</formula>
    </cfRule>
  </conditionalFormatting>
  <conditionalFormatting sqref="Q88">
    <cfRule type="containsBlanks" dxfId="53" priority="43">
      <formula>LEN(TRIM(Q88))=0</formula>
    </cfRule>
  </conditionalFormatting>
  <conditionalFormatting sqref="B24">
    <cfRule type="containsBlanks" dxfId="52" priority="42">
      <formula>LEN(TRIM(B24))=0</formula>
    </cfRule>
  </conditionalFormatting>
  <conditionalFormatting sqref="B39">
    <cfRule type="containsBlanks" dxfId="51" priority="41">
      <formula>LEN(TRIM(B39))=0</formula>
    </cfRule>
  </conditionalFormatting>
  <conditionalFormatting sqref="P102">
    <cfRule type="containsBlanks" dxfId="50" priority="33">
      <formula>LEN(TRIM(P102))=0</formula>
    </cfRule>
  </conditionalFormatting>
  <conditionalFormatting sqref="B49">
    <cfRule type="containsBlanks" dxfId="49" priority="39">
      <formula>LEN(TRIM(B49))=0</formula>
    </cfRule>
  </conditionalFormatting>
  <conditionalFormatting sqref="B60">
    <cfRule type="containsBlanks" dxfId="48" priority="38">
      <formula>LEN(TRIM(B60))=0</formula>
    </cfRule>
  </conditionalFormatting>
  <conditionalFormatting sqref="B74">
    <cfRule type="containsBlanks" dxfId="47" priority="37">
      <formula>LEN(TRIM(B74))=0</formula>
    </cfRule>
  </conditionalFormatting>
  <conditionalFormatting sqref="B77">
    <cfRule type="containsBlanks" dxfId="46" priority="36">
      <formula>LEN(TRIM(B77))=0</formula>
    </cfRule>
  </conditionalFormatting>
  <conditionalFormatting sqref="B81">
    <cfRule type="containsBlanks" dxfId="45" priority="35">
      <formula>LEN(TRIM(B81))=0</formula>
    </cfRule>
  </conditionalFormatting>
  <conditionalFormatting sqref="B102">
    <cfRule type="containsBlanks" dxfId="44" priority="34">
      <formula>LEN(TRIM(B102))=0</formula>
    </cfRule>
  </conditionalFormatting>
  <conditionalFormatting sqref="B123">
    <cfRule type="containsBlanks" dxfId="43" priority="32">
      <formula>LEN(TRIM(B123))=0</formula>
    </cfRule>
  </conditionalFormatting>
  <conditionalFormatting sqref="B125">
    <cfRule type="containsBlanks" dxfId="42" priority="31">
      <formula>LEN(TRIM(B125))=0</formula>
    </cfRule>
  </conditionalFormatting>
  <conditionalFormatting sqref="B128">
    <cfRule type="containsBlanks" dxfId="41" priority="30">
      <formula>LEN(TRIM(B128))=0</formula>
    </cfRule>
  </conditionalFormatting>
  <conditionalFormatting sqref="B131">
    <cfRule type="containsBlanks" dxfId="40" priority="29">
      <formula>LEN(TRIM(B131))=0</formula>
    </cfRule>
  </conditionalFormatting>
  <conditionalFormatting sqref="B133">
    <cfRule type="containsBlanks" dxfId="39" priority="28">
      <formula>LEN(TRIM(B133))=0</formula>
    </cfRule>
  </conditionalFormatting>
  <conditionalFormatting sqref="B135">
    <cfRule type="containsBlanks" dxfId="38" priority="27">
      <formula>LEN(TRIM(B135))=0</formula>
    </cfRule>
  </conditionalFormatting>
  <conditionalFormatting sqref="B153">
    <cfRule type="containsBlanks" dxfId="37" priority="26">
      <formula>LEN(TRIM(B153))=0</formula>
    </cfRule>
  </conditionalFormatting>
  <conditionalFormatting sqref="B156">
    <cfRule type="containsBlanks" dxfId="36" priority="25">
      <formula>LEN(TRIM(B156))=0</formula>
    </cfRule>
  </conditionalFormatting>
  <conditionalFormatting sqref="B173">
    <cfRule type="containsBlanks" dxfId="35" priority="23">
      <formula>LEN(TRIM(B173))=0</formula>
    </cfRule>
  </conditionalFormatting>
  <conditionalFormatting sqref="B164">
    <cfRule type="containsBlanks" dxfId="34" priority="22">
      <formula>LEN(TRIM(B164))=0</formula>
    </cfRule>
  </conditionalFormatting>
  <conditionalFormatting sqref="I45:N45">
    <cfRule type="containsBlanks" dxfId="33" priority="21">
      <formula>LEN(TRIM(I45))=0</formula>
    </cfRule>
  </conditionalFormatting>
  <conditionalFormatting sqref="T45:Y45">
    <cfRule type="containsBlanks" dxfId="32" priority="20">
      <formula>LEN(TRIM(T45))=0</formula>
    </cfRule>
  </conditionalFormatting>
  <conditionalFormatting sqref="B44">
    <cfRule type="containsBlanks" dxfId="31" priority="19">
      <formula>LEN(TRIM(B44))=0</formula>
    </cfRule>
  </conditionalFormatting>
  <conditionalFormatting sqref="I46:N46">
    <cfRule type="containsBlanks" dxfId="30" priority="18">
      <formula>LEN(TRIM(I46))=0</formula>
    </cfRule>
  </conditionalFormatting>
  <conditionalFormatting sqref="T46:Y46">
    <cfRule type="containsBlanks" dxfId="29" priority="17">
      <formula>LEN(TRIM(T46))=0</formula>
    </cfRule>
  </conditionalFormatting>
  <conditionalFormatting sqref="O47">
    <cfRule type="containsBlanks" dxfId="28" priority="16">
      <formula>LEN(TRIM(O47))=0</formula>
    </cfRule>
  </conditionalFormatting>
  <conditionalFormatting sqref="V47 S47">
    <cfRule type="containsBlanks" dxfId="27" priority="15">
      <formula>LEN(TRIM(S47))=0</formula>
    </cfRule>
  </conditionalFormatting>
  <conditionalFormatting sqref="B71">
    <cfRule type="containsBlanks" dxfId="26" priority="14">
      <formula>LEN(TRIM(B71))=0</formula>
    </cfRule>
  </conditionalFormatting>
  <conditionalFormatting sqref="O141:Z141">
    <cfRule type="containsBlanks" dxfId="25" priority="13">
      <formula>LEN(TRIM(O141))=0</formula>
    </cfRule>
  </conditionalFormatting>
  <conditionalFormatting sqref="B54">
    <cfRule type="containsBlanks" dxfId="24" priority="12">
      <formula>LEN(TRIM(B54))=0</formula>
    </cfRule>
  </conditionalFormatting>
  <conditionalFormatting sqref="B51">
    <cfRule type="containsBlanks" dxfId="23" priority="11">
      <formula>LEN(TRIM(B51))=0</formula>
    </cfRule>
  </conditionalFormatting>
  <conditionalFormatting sqref="I63:X64">
    <cfRule type="expression" dxfId="22" priority="9">
      <formula>AND($I$34="その他",#REF!="")</formula>
    </cfRule>
  </conditionalFormatting>
  <conditionalFormatting sqref="U65:U66 U68:U70">
    <cfRule type="expression" dxfId="21" priority="8">
      <formula>AND($I$34="その他",#REF!="")</formula>
    </cfRule>
  </conditionalFormatting>
  <conditionalFormatting sqref="P65:P66 P68:P70">
    <cfRule type="expression" dxfId="20" priority="7">
      <formula>AND($I$34="その他",#REF!="")</formula>
    </cfRule>
  </conditionalFormatting>
  <conditionalFormatting sqref="D66:Z66 D68:Z70">
    <cfRule type="cellIs" dxfId="19" priority="6" operator="equal">
      <formula>""</formula>
    </cfRule>
  </conditionalFormatting>
  <conditionalFormatting sqref="U67">
    <cfRule type="expression" dxfId="18" priority="5">
      <formula>AND($I$34="その他",#REF!="")</formula>
    </cfRule>
  </conditionalFormatting>
  <conditionalFormatting sqref="P67">
    <cfRule type="expression" dxfId="17" priority="4">
      <formula>AND($I$34="その他",#REF!="")</formula>
    </cfRule>
  </conditionalFormatting>
  <conditionalFormatting sqref="D67:Z67">
    <cfRule type="cellIs" dxfId="16" priority="3" operator="equal">
      <formula>""</formula>
    </cfRule>
  </conditionalFormatting>
  <conditionalFormatting sqref="C58">
    <cfRule type="containsBlanks" dxfId="15" priority="1">
      <formula>LEN(TRIM(C58))=0</formula>
    </cfRule>
  </conditionalFormatting>
  <conditionalFormatting sqref="B56">
    <cfRule type="containsBlanks" dxfId="14" priority="2">
      <formula>LEN(TRIM(B56))=0</formula>
    </cfRule>
  </conditionalFormatting>
  <dataValidations count="19">
    <dataValidation type="list" allowBlank="1" showInputMessage="1" showErrorMessage="1" sqref="I61:N61 I46:N46 T46:Y46">
      <formula1>"有,無,"</formula1>
    </dataValidation>
    <dataValidation type="list" allowBlank="1" showInputMessage="1" showErrorMessage="1" sqref="I34:X34">
      <formula1>"在来軸組工法,伝統工法,その他"</formula1>
    </dataValidation>
    <dataValidation type="decimal" operator="greaterThanOrEqual" allowBlank="1" showInputMessage="1" showErrorMessage="1" errorTitle="エラー" error="10以上の数値を入力してください。（10未満の数値や数値以外の内容は入力できません。）" sqref="Q86:T86">
      <formula1>0.3</formula1>
    </dataValidation>
    <dataValidation type="decimal" allowBlank="1" showInputMessage="1" showErrorMessage="1" errorTitle="エラー" error="0.3以上の数値を入力してください。（0.3未満は補助対象外です。_x000a_また数値以外の内容は入力できません。）" sqref="Q87:T87">
      <formula1>0.3</formula1>
      <formula2>Q86</formula2>
    </dataValidation>
    <dataValidation type="list" allowBlank="1" showInputMessage="1" showErrorMessage="1" sqref="M29:X29">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35:T36 S47:T47">
      <formula1>"1,2,3,4,5,6,7,8,9,10,11,12,"</formula1>
    </dataValidation>
    <dataValidation type="list" allowBlank="1" showInputMessage="1" showErrorMessage="1" sqref="K8:L8">
      <formula1>"1,2,3,4,5,6,7,8,9,10,11,12,13,14,15,16,17,18,19,20,21,22,23,24,25,26,27,28,29,30,31, "</formula1>
    </dataValidation>
    <dataValidation type="list" allowBlank="1" showInputMessage="1" showErrorMessage="1" sqref="C8:F8 N35:Q36 O47">
      <formula1>"2,3,4,5,6,7,8,9,10,"</formula1>
    </dataValidation>
    <dataValidation type="list" allowBlank="1" showInputMessage="1" showErrorMessage="1" sqref="I45:N45 T45:Y45">
      <formula1>"要,不要,"</formula1>
    </dataValidation>
    <dataValidation type="list" allowBlank="1" showInputMessage="1" showErrorMessage="1" sqref="V35:W36 V47:W47">
      <formula1>"1,2,3,4,5,6,7,8,9,10,11,12,13,14,15,16,17,18,19,20,21,22,23,24,25,26,27,28,29,30,31,"</formula1>
    </dataValidation>
    <dataValidation type="list" allowBlank="1" showInputMessage="1" showErrorMessage="1" sqref="I31:N31">
      <formula1>"増築,改築,修繕,模様替"</formula1>
    </dataValidation>
    <dataValidation type="list" allowBlank="1" showInputMessage="1" showErrorMessage="1" sqref="B20 B135 B24 B39 B74 B49 B71 B77 B81 B102 P102 B123 B125 B128 B131 B133 B173 B153 B156 B164 B44 B60 B54 B51 B56 C58">
      <formula1>"✔,"</formula1>
    </dataValidation>
    <dataValidation type="list" allowBlank="1" showInputMessage="1" showErrorMessage="1" sqref="T223:AA223">
      <formula1>"一級建築士事務所,二級建築士事務所,木造建築士事務所"</formula1>
    </dataValidation>
    <dataValidation type="list" allowBlank="1" showInputMessage="1" showErrorMessage="1" sqref="R168:U168">
      <formula1>"モルタル塗,漆喰塗,土壁塗,そとん壁,じゅらく塗,珪藻土塗,その他のこて塗り"</formula1>
    </dataValidation>
    <dataValidation type="list" allowBlank="1" showInputMessage="1" showErrorMessage="1" sqref="J221:O221">
      <formula1>"工事監理者氏名,工事施工者氏名"</formula1>
    </dataValidation>
    <dataValidation type="whole" allowBlank="1" showInputMessage="1" showErrorMessage="1" error="1以上が補助対象です。整数値以外入力不可です。" sqref="Q88:T88">
      <formula1>1</formula1>
      <formula2>10000</formula2>
    </dataValidation>
    <dataValidation type="list" allowBlank="1" showInputMessage="1" showErrorMessage="1" sqref="AC214:AK214">
      <formula1>"はい,いいえ"</formula1>
    </dataValidation>
    <dataValidation type="list" allowBlank="1" showInputMessage="1" showErrorMessage="1" sqref="O141:Z141">
      <formula1>"申請者と同じ,申請者と異なる"</formula1>
    </dataValidation>
    <dataValidation type="list" allowBlank="1" showInputMessage="1" showErrorMessage="1" sqref="I78:X78">
      <formula1>"智頭,久大,大山,ミヨシ,その他"</formula1>
    </dataValidation>
  </dataValidations>
  <pageMargins left="0.70866141732283472" right="0.70866141732283472" top="0.35433070866141736" bottom="0.35433070866141736" header="0.31496062992125984" footer="0.31496062992125984"/>
  <pageSetup paperSize="9" orientation="portrait" horizontalDpi="1200" verticalDpi="1200" r:id="rId1"/>
  <rowBreaks count="3" manualBreakCount="3">
    <brk id="72" max="26" man="1"/>
    <brk id="136" max="26" man="1"/>
    <brk id="184" max="16383" man="1"/>
  </rowBreaks>
  <colBreaks count="1" manualBreakCount="1">
    <brk id="27" max="196"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63"/>
  <sheetViews>
    <sheetView view="pageBreakPreview" zoomScaleNormal="100" zoomScaleSheetLayoutView="100" workbookViewId="0">
      <selection activeCell="A17" sqref="A17:Z17"/>
    </sheetView>
  </sheetViews>
  <sheetFormatPr defaultColWidth="3.125" defaultRowHeight="18" customHeight="1" x14ac:dyDescent="0.15"/>
  <cols>
    <col min="1" max="26" width="3.125" style="1"/>
    <col min="27" max="27" width="9.125" style="21" customWidth="1"/>
    <col min="28" max="16384" width="3.125" style="1"/>
  </cols>
  <sheetData>
    <row r="1" spans="1:63" ht="15.75" customHeight="1" x14ac:dyDescent="0.15">
      <c r="A1" s="1" t="s">
        <v>196</v>
      </c>
    </row>
    <row r="2" spans="1:63" ht="15.75" customHeight="1" x14ac:dyDescent="0.15">
      <c r="A2" s="325"/>
      <c r="B2" s="325"/>
      <c r="C2" s="325"/>
      <c r="D2" s="325"/>
      <c r="E2" s="325"/>
      <c r="F2" s="325"/>
      <c r="G2" s="325"/>
      <c r="H2" s="325"/>
      <c r="I2" s="325"/>
      <c r="J2" s="325"/>
      <c r="K2" s="325"/>
      <c r="L2" s="325"/>
      <c r="M2" s="325"/>
      <c r="N2" s="325"/>
      <c r="O2" s="326" t="s">
        <v>434</v>
      </c>
      <c r="P2" s="326"/>
      <c r="Q2" s="481" t="str">
        <f>IF(【様式第６号の２】事業報告書兼チェックシート!C8="","",【様式第６号の２】事業報告書兼チェックシート!C8)</f>
        <v/>
      </c>
      <c r="R2" s="481"/>
      <c r="S2" s="327" t="s">
        <v>9</v>
      </c>
      <c r="T2" s="481" t="str">
        <f>IF(【様式第６号の２】事業報告書兼チェックシート!H8="","",【様式第６号の２】事業報告書兼チェックシート!H8)</f>
        <v/>
      </c>
      <c r="U2" s="481"/>
      <c r="V2" s="327" t="s">
        <v>396</v>
      </c>
      <c r="W2" s="481" t="str">
        <f>IF(【様式第６号の２】事業報告書兼チェックシート!K8="","",【様式第６号の２】事業報告書兼チェックシート!K8)</f>
        <v/>
      </c>
      <c r="X2" s="481"/>
      <c r="Y2" s="327" t="s">
        <v>8</v>
      </c>
      <c r="Z2" s="327"/>
      <c r="AA2" s="93" t="str">
        <f>IF(A2="令和　年　月　日","←申請日を入力してください。","")</f>
        <v/>
      </c>
      <c r="BK2" s="106" t="s">
        <v>192</v>
      </c>
    </row>
    <row r="3" spans="1:63" ht="15.7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BK3" s="106" t="s">
        <v>204</v>
      </c>
    </row>
    <row r="4" spans="1:63" ht="15.75" customHeight="1" x14ac:dyDescent="0.15"/>
    <row r="5" spans="1:63" ht="15.75" customHeight="1" x14ac:dyDescent="0.15">
      <c r="B5" s="1" t="str">
        <f>IF(【様式第６号の２】事業報告書兼チェックシート!BG29="","鳥取県　　　　　所長　様",【様式第６号の２】事業報告書兼チェックシート!BG29&amp;"　様")</f>
        <v>鳥取県西部総合事務所長　様</v>
      </c>
    </row>
    <row r="6" spans="1:63" ht="15.75" customHeight="1" x14ac:dyDescent="0.15"/>
    <row r="7" spans="1:63" ht="15.75" customHeight="1" x14ac:dyDescent="0.15"/>
    <row r="8" spans="1:63" ht="15.75" customHeight="1" x14ac:dyDescent="0.15">
      <c r="M8" s="1" t="s">
        <v>15</v>
      </c>
    </row>
    <row r="9" spans="1:63" ht="15.75" customHeight="1" x14ac:dyDescent="0.15">
      <c r="M9" s="1" t="s">
        <v>14</v>
      </c>
      <c r="O9" s="74" t="s">
        <v>38</v>
      </c>
      <c r="P9" s="480" t="str">
        <f>IF(【様式第６号の２】事業報告書兼チェックシート!O10="","",【様式第６号の２】事業報告書兼チェックシート!O10)</f>
        <v/>
      </c>
      <c r="Q9" s="480"/>
      <c r="R9" s="480"/>
      <c r="S9" s="480"/>
      <c r="T9" s="480"/>
      <c r="U9" s="480"/>
      <c r="V9" s="480"/>
      <c r="W9" s="480"/>
      <c r="X9" s="480"/>
    </row>
    <row r="10" spans="1:63" ht="35.25" customHeight="1" x14ac:dyDescent="0.15">
      <c r="O10" s="482" t="str">
        <f>IF(【様式第６号の２】事業報告書兼チェックシート!N11="","",【様式第６号の２】事業報告書兼チェックシート!N11)</f>
        <v/>
      </c>
      <c r="P10" s="482"/>
      <c r="Q10" s="482"/>
      <c r="R10" s="482"/>
      <c r="S10" s="482"/>
      <c r="T10" s="482"/>
      <c r="U10" s="482"/>
      <c r="V10" s="482"/>
      <c r="W10" s="482"/>
      <c r="X10" s="482"/>
    </row>
    <row r="11" spans="1:63" ht="16.5" customHeight="1" x14ac:dyDescent="0.15">
      <c r="M11" s="1" t="s">
        <v>6</v>
      </c>
      <c r="O11" s="482" t="str">
        <f>IF(【様式第６号の２】事業報告書兼チェックシート!N12="","",【様式第６号の２】事業報告書兼チェックシート!N12)</f>
        <v/>
      </c>
      <c r="P11" s="482"/>
      <c r="Q11" s="482"/>
      <c r="R11" s="482"/>
      <c r="S11" s="482"/>
      <c r="T11" s="482"/>
      <c r="U11" s="482"/>
      <c r="V11" s="482"/>
      <c r="W11" s="482"/>
      <c r="X11" s="482"/>
      <c r="AA11" s="21" t="s">
        <v>63</v>
      </c>
    </row>
    <row r="12" spans="1:63" ht="16.5" customHeight="1" x14ac:dyDescent="0.15">
      <c r="M12" s="1" t="s">
        <v>10</v>
      </c>
      <c r="O12" s="482" t="str">
        <f>IF(【様式第６号の２】事業報告書兼チェックシート!N13="","",【様式第６号の２】事業報告書兼チェックシート!N13)</f>
        <v/>
      </c>
      <c r="P12" s="482"/>
      <c r="Q12" s="482"/>
      <c r="R12" s="482"/>
      <c r="S12" s="482"/>
      <c r="T12" s="482"/>
      <c r="U12" s="482"/>
      <c r="V12" s="482"/>
      <c r="W12" s="482"/>
      <c r="X12" s="482"/>
    </row>
    <row r="13" spans="1:63" ht="16.5" customHeight="1" x14ac:dyDescent="0.15"/>
    <row r="14" spans="1:63" ht="16.5" customHeight="1" x14ac:dyDescent="0.15"/>
    <row r="15" spans="1:63" ht="16.5" customHeight="1" x14ac:dyDescent="0.15">
      <c r="A15" s="476" t="s">
        <v>191</v>
      </c>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94"/>
      <c r="AB15" s="94"/>
      <c r="AC15" s="94"/>
      <c r="AD15" s="94"/>
      <c r="AE15" s="94"/>
      <c r="AF15" s="94"/>
      <c r="AG15" s="94"/>
    </row>
    <row r="16" spans="1:63" ht="16.5" customHeight="1" x14ac:dyDescent="0.15">
      <c r="AA16" s="94"/>
      <c r="AB16" s="94"/>
      <c r="AC16" s="469"/>
      <c r="AD16" s="470"/>
      <c r="AE16" s="470"/>
      <c r="AF16" s="470"/>
      <c r="AG16" s="471"/>
      <c r="AH16" s="95"/>
    </row>
    <row r="17" spans="1:52" ht="45" customHeight="1" x14ac:dyDescent="0.15">
      <c r="A17" s="483" t="s">
        <v>192</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93" t="str">
        <f>IF(OR(A17=BK2,A17=BK3),"←交付決定年月日及びその番号を入力してください（変更承認を受けている場合はその承認年月日及びその番号の追記も必要になります。）","")</f>
        <v>←交付決定年月日及びその番号を入力してください（変更承認を受けている場合はその承認年月日及びその番号の追記も必要になります。）</v>
      </c>
    </row>
    <row r="18" spans="1:52" ht="16.5" customHeight="1" x14ac:dyDescent="0.15">
      <c r="AA18" s="94" t="s">
        <v>224</v>
      </c>
    </row>
    <row r="19" spans="1:52" ht="16.5" customHeight="1" x14ac:dyDescent="0.15">
      <c r="A19" s="476" t="s">
        <v>16</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338" t="s">
        <v>204</v>
      </c>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8"/>
    </row>
    <row r="20" spans="1:52" ht="16.5" customHeight="1" x14ac:dyDescent="0.15"/>
    <row r="21" spans="1:52" ht="16.5" customHeight="1" x14ac:dyDescent="0.15">
      <c r="B21" s="345" t="s">
        <v>194</v>
      </c>
      <c r="C21" s="346"/>
      <c r="D21" s="346"/>
      <c r="E21" s="346"/>
      <c r="F21" s="346"/>
      <c r="G21" s="347"/>
      <c r="H21" s="345" t="s">
        <v>17</v>
      </c>
      <c r="I21" s="346"/>
      <c r="J21" s="346"/>
      <c r="K21" s="346"/>
      <c r="L21" s="346"/>
      <c r="M21" s="346"/>
      <c r="N21" s="346"/>
      <c r="O21" s="346"/>
      <c r="P21" s="346"/>
      <c r="Q21" s="346"/>
      <c r="R21" s="346"/>
      <c r="S21" s="346"/>
      <c r="T21" s="346"/>
      <c r="U21" s="346"/>
      <c r="V21" s="346"/>
      <c r="W21" s="346"/>
      <c r="X21" s="346"/>
      <c r="Y21" s="347"/>
    </row>
    <row r="22" spans="1:52" ht="16.5" customHeight="1" x14ac:dyDescent="0.15">
      <c r="B22" s="396" t="s">
        <v>195</v>
      </c>
      <c r="C22" s="397"/>
      <c r="D22" s="397"/>
      <c r="E22" s="397"/>
      <c r="F22" s="397"/>
      <c r="G22" s="342"/>
      <c r="H22" s="477" t="s">
        <v>18</v>
      </c>
      <c r="I22" s="478"/>
      <c r="J22" s="478"/>
      <c r="K22" s="478"/>
      <c r="L22" s="478"/>
      <c r="M22" s="478"/>
      <c r="N22" s="478"/>
      <c r="O22" s="478"/>
      <c r="P22" s="479"/>
      <c r="Q22" s="345" t="s">
        <v>193</v>
      </c>
      <c r="R22" s="346"/>
      <c r="S22" s="346"/>
      <c r="T22" s="346"/>
      <c r="U22" s="346"/>
      <c r="V22" s="346"/>
      <c r="W22" s="346"/>
      <c r="X22" s="346"/>
      <c r="Y22" s="347"/>
    </row>
    <row r="23" spans="1:52" ht="16.5" customHeight="1" x14ac:dyDescent="0.15">
      <c r="B23" s="399"/>
      <c r="C23" s="400"/>
      <c r="D23" s="400"/>
      <c r="E23" s="400"/>
      <c r="F23" s="400"/>
      <c r="G23" s="343"/>
      <c r="H23" s="474" t="str">
        <f>IF('要入力　交付決定状況入力シート'!C9="","",'要入力　交付決定状況入力シート'!C9)</f>
        <v/>
      </c>
      <c r="I23" s="475"/>
      <c r="J23" s="475"/>
      <c r="K23" s="475"/>
      <c r="L23" s="475"/>
      <c r="M23" s="475"/>
      <c r="N23" s="475"/>
      <c r="O23" s="475"/>
      <c r="P23" s="75" t="s">
        <v>19</v>
      </c>
      <c r="Q23" s="474" t="str">
        <f>'要入力　交付決定状況入力シート'!D9</f>
        <v/>
      </c>
      <c r="R23" s="475"/>
      <c r="S23" s="475"/>
      <c r="T23" s="475"/>
      <c r="U23" s="475"/>
      <c r="V23" s="475"/>
      <c r="W23" s="475"/>
      <c r="X23" s="475"/>
      <c r="Y23" s="75" t="s">
        <v>19</v>
      </c>
      <c r="AA23" s="94" t="str">
        <f>IF(OR(H23="",Q23=""),"←金額は｢要入力　交付決定状況入力シート｣と連動、当該シートの青の欄に交付決定通知（変更した場合は変更承認通知）記載の金額を入力してください。","")</f>
        <v>←金額は｢要入力　交付決定状況入力シート｣と連動、当該シートの青の欄に交付決定通知（変更した場合は変更承認通知）記載の金額を入力してください。</v>
      </c>
    </row>
    <row r="24" spans="1:52" ht="16.5" customHeight="1" x14ac:dyDescent="0.15">
      <c r="B24" s="345" t="s">
        <v>197</v>
      </c>
      <c r="C24" s="346"/>
      <c r="D24" s="346"/>
      <c r="E24" s="346"/>
      <c r="F24" s="346"/>
      <c r="G24" s="347"/>
      <c r="H24" s="472" t="str">
        <f>IF(【様式第６号の２】事業報告書兼チェックシート!K185="","",'要入力　交付決定状況入力シート'!G9)</f>
        <v/>
      </c>
      <c r="I24" s="473"/>
      <c r="J24" s="473"/>
      <c r="K24" s="473"/>
      <c r="L24" s="473"/>
      <c r="M24" s="473"/>
      <c r="N24" s="473"/>
      <c r="O24" s="473"/>
      <c r="P24" s="75" t="s">
        <v>19</v>
      </c>
      <c r="Q24" s="472" t="str">
        <f>IF(【様式第６号の２】事業報告書兼チェックシート!K185="","",'要入力　交付決定状況入力シート'!H9)</f>
        <v/>
      </c>
      <c r="R24" s="473"/>
      <c r="S24" s="473"/>
      <c r="T24" s="473"/>
      <c r="U24" s="473"/>
      <c r="V24" s="473"/>
      <c r="W24" s="473"/>
      <c r="X24" s="473"/>
      <c r="Y24" s="75" t="s">
        <v>19</v>
      </c>
      <c r="AA24" s="94" t="s">
        <v>64</v>
      </c>
    </row>
    <row r="25" spans="1:52" ht="16.5" customHeight="1" x14ac:dyDescent="0.15">
      <c r="B25" s="345" t="s">
        <v>198</v>
      </c>
      <c r="C25" s="346"/>
      <c r="D25" s="346"/>
      <c r="E25" s="346"/>
      <c r="F25" s="346"/>
      <c r="G25" s="347"/>
      <c r="H25" s="472" t="str">
        <f>IF(H23="","",H24-H23)</f>
        <v/>
      </c>
      <c r="I25" s="473"/>
      <c r="J25" s="473"/>
      <c r="K25" s="473"/>
      <c r="L25" s="473"/>
      <c r="M25" s="473"/>
      <c r="N25" s="473"/>
      <c r="O25" s="473"/>
      <c r="P25" s="75" t="s">
        <v>19</v>
      </c>
      <c r="Q25" s="472" t="str">
        <f>IF(Q23="","",Q24-Q23)</f>
        <v/>
      </c>
      <c r="R25" s="473"/>
      <c r="S25" s="473"/>
      <c r="T25" s="473"/>
      <c r="U25" s="473"/>
      <c r="V25" s="473"/>
      <c r="W25" s="473"/>
      <c r="X25" s="473"/>
      <c r="Y25" s="75" t="s">
        <v>19</v>
      </c>
      <c r="AA25" s="94"/>
    </row>
    <row r="26" spans="1:52" ht="16.5" customHeight="1" x14ac:dyDescent="0.15">
      <c r="B26" s="396" t="s">
        <v>20</v>
      </c>
      <c r="C26" s="397"/>
      <c r="D26" s="397"/>
      <c r="E26" s="397"/>
      <c r="F26" s="397"/>
      <c r="G26" s="342"/>
      <c r="H26" s="76"/>
      <c r="I26" s="77"/>
      <c r="J26" s="39"/>
      <c r="K26" s="39"/>
      <c r="L26" s="39"/>
      <c r="M26" s="39"/>
      <c r="N26" s="39"/>
      <c r="O26" s="39"/>
      <c r="P26" s="39"/>
      <c r="Q26" s="39"/>
      <c r="R26" s="39"/>
      <c r="S26" s="39"/>
      <c r="T26" s="39"/>
      <c r="U26" s="39"/>
      <c r="V26" s="39"/>
      <c r="W26" s="39"/>
      <c r="X26" s="39"/>
      <c r="Y26" s="40"/>
      <c r="AA26" s="94"/>
    </row>
    <row r="27" spans="1:52" ht="16.5" customHeight="1" x14ac:dyDescent="0.15">
      <c r="B27" s="78"/>
      <c r="C27" s="3"/>
      <c r="D27" s="3"/>
      <c r="E27" s="3"/>
      <c r="F27" s="3"/>
      <c r="G27" s="79"/>
      <c r="H27" s="80" t="s">
        <v>190</v>
      </c>
      <c r="I27" s="81"/>
      <c r="J27" s="81"/>
      <c r="K27" s="81"/>
      <c r="L27" s="81"/>
      <c r="M27" s="81"/>
      <c r="N27" s="81"/>
      <c r="O27" s="81"/>
      <c r="P27" s="81"/>
      <c r="Q27" s="81"/>
      <c r="R27" s="81"/>
      <c r="S27" s="81"/>
      <c r="T27" s="81"/>
      <c r="U27" s="81"/>
      <c r="V27" s="81"/>
      <c r="W27" s="81"/>
      <c r="X27" s="81"/>
      <c r="Y27" s="82"/>
      <c r="AA27" s="94" t="s">
        <v>65</v>
      </c>
    </row>
    <row r="28" spans="1:52" ht="16.5" customHeight="1" x14ac:dyDescent="0.15">
      <c r="B28" s="78"/>
      <c r="C28" s="3"/>
      <c r="D28" s="3"/>
      <c r="E28" s="3"/>
      <c r="F28" s="3"/>
      <c r="G28" s="79"/>
      <c r="H28" s="80" t="str">
        <f>IF(【様式第６号の２】事業報告書兼チェックシート!I61="有","・他に利用する補助金一覧表（様式第６号の２別紙）","")</f>
        <v/>
      </c>
      <c r="I28" s="81"/>
      <c r="J28" s="81"/>
      <c r="K28" s="81"/>
      <c r="L28" s="81"/>
      <c r="M28" s="81"/>
      <c r="N28" s="81"/>
      <c r="O28" s="81"/>
      <c r="P28" s="81"/>
      <c r="Q28" s="81"/>
      <c r="R28" s="81"/>
      <c r="S28" s="81"/>
      <c r="T28" s="81"/>
      <c r="U28" s="81"/>
      <c r="V28" s="81"/>
      <c r="W28" s="81"/>
      <c r="X28" s="81"/>
      <c r="Y28" s="82"/>
    </row>
    <row r="29" spans="1:52" ht="16.5" customHeight="1" x14ac:dyDescent="0.15">
      <c r="B29" s="78"/>
      <c r="C29" s="3"/>
      <c r="D29" s="3"/>
      <c r="E29" s="3"/>
      <c r="F29" s="3"/>
      <c r="G29" s="79"/>
      <c r="H29" s="463" t="str">
        <f>IF(【様式第６号の２】事業報告書兼チェックシート!C198="","","・"&amp;【様式第６号の２】事業報告書兼チェックシート!C198)</f>
        <v/>
      </c>
      <c r="I29" s="464"/>
      <c r="J29" s="464"/>
      <c r="K29" s="464"/>
      <c r="L29" s="464"/>
      <c r="M29" s="464"/>
      <c r="N29" s="464"/>
      <c r="O29" s="464"/>
      <c r="P29" s="464"/>
      <c r="Q29" s="464"/>
      <c r="R29" s="464"/>
      <c r="S29" s="464"/>
      <c r="T29" s="464"/>
      <c r="U29" s="464"/>
      <c r="V29" s="464"/>
      <c r="W29" s="464"/>
      <c r="X29" s="464"/>
      <c r="Y29" s="465"/>
    </row>
    <row r="30" spans="1:52" ht="16.5" customHeight="1" x14ac:dyDescent="0.15">
      <c r="B30" s="78"/>
      <c r="C30" s="3"/>
      <c r="D30" s="3"/>
      <c r="E30" s="3"/>
      <c r="F30" s="3"/>
      <c r="G30" s="79"/>
      <c r="H30" s="463" t="str">
        <f>IF(【様式第６号の２】事業報告書兼チェックシート!C199="","","・"&amp;【様式第６号の２】事業報告書兼チェックシート!C199)</f>
        <v/>
      </c>
      <c r="I30" s="464"/>
      <c r="J30" s="464"/>
      <c r="K30" s="464"/>
      <c r="L30" s="464"/>
      <c r="M30" s="464"/>
      <c r="N30" s="464"/>
      <c r="O30" s="464"/>
      <c r="P30" s="464"/>
      <c r="Q30" s="464"/>
      <c r="R30" s="464"/>
      <c r="S30" s="464"/>
      <c r="T30" s="464"/>
      <c r="U30" s="464"/>
      <c r="V30" s="464"/>
      <c r="W30" s="464"/>
      <c r="X30" s="464"/>
      <c r="Y30" s="465"/>
    </row>
    <row r="31" spans="1:52" ht="16.5" customHeight="1" x14ac:dyDescent="0.15">
      <c r="B31" s="78"/>
      <c r="C31" s="3"/>
      <c r="D31" s="3"/>
      <c r="E31" s="3"/>
      <c r="F31" s="3"/>
      <c r="G31" s="79"/>
      <c r="H31" s="463" t="str">
        <f>IF(【様式第６号の２】事業報告書兼チェックシート!C200="","","・"&amp;【様式第６号の２】事業報告書兼チェックシート!C200)</f>
        <v/>
      </c>
      <c r="I31" s="464"/>
      <c r="J31" s="464"/>
      <c r="K31" s="464"/>
      <c r="L31" s="464"/>
      <c r="M31" s="464"/>
      <c r="N31" s="464"/>
      <c r="O31" s="464"/>
      <c r="P31" s="464"/>
      <c r="Q31" s="464"/>
      <c r="R31" s="464"/>
      <c r="S31" s="464"/>
      <c r="T31" s="464"/>
      <c r="U31" s="464"/>
      <c r="V31" s="464"/>
      <c r="W31" s="464"/>
      <c r="X31" s="464"/>
      <c r="Y31" s="465"/>
    </row>
    <row r="32" spans="1:52" ht="16.5" customHeight="1" x14ac:dyDescent="0.15">
      <c r="B32" s="78"/>
      <c r="C32" s="3"/>
      <c r="D32" s="3"/>
      <c r="E32" s="3"/>
      <c r="F32" s="3"/>
      <c r="G32" s="79"/>
      <c r="H32" s="463" t="str">
        <f>IF(【様式第６号の２】事業報告書兼チェックシート!C201="","","・"&amp;【様式第６号の２】事業報告書兼チェックシート!C201)</f>
        <v>・完成写真及び口座振替依頼書</v>
      </c>
      <c r="I32" s="464"/>
      <c r="J32" s="464"/>
      <c r="K32" s="464"/>
      <c r="L32" s="464"/>
      <c r="M32" s="464"/>
      <c r="N32" s="464"/>
      <c r="O32" s="464"/>
      <c r="P32" s="464"/>
      <c r="Q32" s="464"/>
      <c r="R32" s="464"/>
      <c r="S32" s="464"/>
      <c r="T32" s="464"/>
      <c r="U32" s="464"/>
      <c r="V32" s="464"/>
      <c r="W32" s="464"/>
      <c r="X32" s="464"/>
      <c r="Y32" s="465"/>
    </row>
    <row r="33" spans="2:27" ht="16.5" customHeight="1" x14ac:dyDescent="0.15">
      <c r="B33" s="78"/>
      <c r="C33" s="3"/>
      <c r="D33" s="3"/>
      <c r="E33" s="3"/>
      <c r="F33" s="3"/>
      <c r="G33" s="79"/>
      <c r="H33" s="463" t="str">
        <f>IF(【様式第６号の２】事業報告書兼チェックシート!C202="","","・"&amp;【様式第６号の２】事業報告書兼チェックシート!C202)</f>
        <v>・県産材の産地証明書の写し</v>
      </c>
      <c r="I33" s="464"/>
      <c r="J33" s="464"/>
      <c r="K33" s="464"/>
      <c r="L33" s="464"/>
      <c r="M33" s="464"/>
      <c r="N33" s="464"/>
      <c r="O33" s="464"/>
      <c r="P33" s="464"/>
      <c r="Q33" s="464"/>
      <c r="R33" s="464"/>
      <c r="S33" s="464"/>
      <c r="T33" s="464"/>
      <c r="U33" s="464"/>
      <c r="V33" s="464"/>
      <c r="W33" s="464"/>
      <c r="X33" s="464"/>
      <c r="Y33" s="465"/>
    </row>
    <row r="34" spans="2:27" ht="32.25" customHeight="1" x14ac:dyDescent="0.15">
      <c r="B34" s="78"/>
      <c r="C34" s="3"/>
      <c r="D34" s="3"/>
      <c r="E34" s="3"/>
      <c r="F34" s="3"/>
      <c r="G34" s="79"/>
      <c r="H34" s="466" t="str">
        <f>IF(【様式第６号の２】事業報告書兼チェックシート!C203="","","・"&amp;【様式第６号の２】事業報告書兼チェックシート!C203)</f>
        <v>・県内プレカット加工証明書（様式第９号）の原本若しくはその写し又はプレカット工場が記載された県産材の産地証明書写し</v>
      </c>
      <c r="I34" s="467"/>
      <c r="J34" s="467"/>
      <c r="K34" s="467"/>
      <c r="L34" s="467"/>
      <c r="M34" s="467"/>
      <c r="N34" s="467"/>
      <c r="O34" s="467"/>
      <c r="P34" s="467"/>
      <c r="Q34" s="467"/>
      <c r="R34" s="467"/>
      <c r="S34" s="467"/>
      <c r="T34" s="467"/>
      <c r="U34" s="467"/>
      <c r="V34" s="467"/>
      <c r="W34" s="467"/>
      <c r="X34" s="467"/>
      <c r="Y34" s="468"/>
    </row>
    <row r="35" spans="2:27" ht="57" customHeight="1" x14ac:dyDescent="0.15">
      <c r="B35" s="78"/>
      <c r="C35" s="3"/>
      <c r="D35" s="3"/>
      <c r="E35" s="3"/>
      <c r="F35" s="3"/>
      <c r="G35" s="79"/>
      <c r="H35" s="466"/>
      <c r="I35" s="467"/>
      <c r="J35" s="467"/>
      <c r="K35" s="467"/>
      <c r="L35" s="467"/>
      <c r="M35" s="467"/>
      <c r="N35" s="467"/>
      <c r="O35" s="467"/>
      <c r="P35" s="467"/>
      <c r="Q35" s="467"/>
      <c r="R35" s="467"/>
      <c r="S35" s="467"/>
      <c r="T35" s="467"/>
      <c r="U35" s="467"/>
      <c r="V35" s="467"/>
      <c r="W35" s="467"/>
      <c r="X35" s="467"/>
      <c r="Y35" s="468"/>
    </row>
    <row r="36" spans="2:27" ht="16.5" customHeight="1" x14ac:dyDescent="0.15">
      <c r="B36" s="78"/>
      <c r="C36" s="3"/>
      <c r="D36" s="3"/>
      <c r="E36" s="3"/>
      <c r="F36" s="3"/>
      <c r="G36" s="79"/>
      <c r="H36" s="463" t="str">
        <f>IF(【様式第６号の２】事業報告書兼チェックシート!C205="","","・"&amp;【様式第６号の２】事業報告書兼チェックシート!C205)</f>
        <v/>
      </c>
      <c r="I36" s="464"/>
      <c r="J36" s="464"/>
      <c r="K36" s="464"/>
      <c r="L36" s="464"/>
      <c r="M36" s="464"/>
      <c r="N36" s="464"/>
      <c r="O36" s="464"/>
      <c r="P36" s="464"/>
      <c r="Q36" s="464"/>
      <c r="R36" s="464"/>
      <c r="S36" s="464"/>
      <c r="T36" s="464"/>
      <c r="U36" s="464"/>
      <c r="V36" s="464"/>
      <c r="W36" s="464"/>
      <c r="X36" s="464"/>
      <c r="Y36" s="465"/>
    </row>
    <row r="37" spans="2:27" ht="16.5" customHeight="1" x14ac:dyDescent="0.15">
      <c r="B37" s="78"/>
      <c r="C37" s="3"/>
      <c r="D37" s="3"/>
      <c r="E37" s="3"/>
      <c r="F37" s="3"/>
      <c r="G37" s="79"/>
      <c r="H37" s="463" t="str">
        <f>IF(【様式第６号の２】事業報告書兼チェックシート!C206="","","・"&amp;【様式第６号の２】事業報告書兼チェックシート!C206)</f>
        <v/>
      </c>
      <c r="I37" s="464"/>
      <c r="J37" s="464"/>
      <c r="K37" s="464"/>
      <c r="L37" s="464"/>
      <c r="M37" s="464"/>
      <c r="N37" s="464"/>
      <c r="O37" s="464"/>
      <c r="P37" s="464"/>
      <c r="Q37" s="464"/>
      <c r="R37" s="464"/>
      <c r="S37" s="464"/>
      <c r="T37" s="464"/>
      <c r="U37" s="464"/>
      <c r="V37" s="464"/>
      <c r="W37" s="464"/>
      <c r="X37" s="464"/>
      <c r="Y37" s="465"/>
    </row>
    <row r="38" spans="2:27" s="62" customFormat="1" ht="50.25" customHeight="1" x14ac:dyDescent="0.15">
      <c r="B38" s="112"/>
      <c r="C38" s="113"/>
      <c r="D38" s="113"/>
      <c r="E38" s="113"/>
      <c r="F38" s="113"/>
      <c r="G38" s="114"/>
      <c r="H38" s="466" t="str">
        <f>IF(【様式第６号の２】事業報告書兼チェックシート!C207="","","・"&amp;【様式第６号の２】事業報告書兼チェックシート!C207)</f>
        <v/>
      </c>
      <c r="I38" s="467"/>
      <c r="J38" s="467"/>
      <c r="K38" s="467"/>
      <c r="L38" s="467"/>
      <c r="M38" s="467"/>
      <c r="N38" s="467"/>
      <c r="O38" s="467"/>
      <c r="P38" s="467"/>
      <c r="Q38" s="467"/>
      <c r="R38" s="467"/>
      <c r="S38" s="467"/>
      <c r="T38" s="467"/>
      <c r="U38" s="467"/>
      <c r="V38" s="467"/>
      <c r="W38" s="467"/>
      <c r="X38" s="467"/>
      <c r="Y38" s="468"/>
      <c r="AA38" s="115"/>
    </row>
    <row r="39" spans="2:27" ht="30.75" customHeight="1" x14ac:dyDescent="0.15">
      <c r="B39" s="78"/>
      <c r="C39" s="3"/>
      <c r="D39" s="3"/>
      <c r="E39" s="3"/>
      <c r="F39" s="3"/>
      <c r="G39" s="79"/>
      <c r="H39" s="466" t="str">
        <f>IF(【様式第６号の２】事業報告書兼チェックシート!C208="","","・"&amp;【様式第６号の２】事業報告書兼チェックシート!C208)</f>
        <v/>
      </c>
      <c r="I39" s="467"/>
      <c r="J39" s="467"/>
      <c r="K39" s="467"/>
      <c r="L39" s="467"/>
      <c r="M39" s="467"/>
      <c r="N39" s="467"/>
      <c r="O39" s="467"/>
      <c r="P39" s="467"/>
      <c r="Q39" s="467"/>
      <c r="R39" s="467"/>
      <c r="S39" s="467"/>
      <c r="T39" s="467"/>
      <c r="U39" s="467"/>
      <c r="V39" s="467"/>
      <c r="W39" s="467"/>
      <c r="X39" s="467"/>
      <c r="Y39" s="468"/>
    </row>
    <row r="40" spans="2:27" ht="16.5" customHeight="1" x14ac:dyDescent="0.15">
      <c r="B40" s="78"/>
      <c r="C40" s="3"/>
      <c r="D40" s="3"/>
      <c r="E40" s="3"/>
      <c r="F40" s="3"/>
      <c r="G40" s="79"/>
      <c r="H40" s="463" t="str">
        <f>IF(【様式第６号の２】事業報告書兼チェックシート!C209="","","・"&amp;【様式第６号の２】事業報告書兼チェックシート!C209)</f>
        <v/>
      </c>
      <c r="I40" s="464"/>
      <c r="J40" s="464"/>
      <c r="K40" s="464"/>
      <c r="L40" s="464"/>
      <c r="M40" s="464"/>
      <c r="N40" s="464"/>
      <c r="O40" s="464"/>
      <c r="P40" s="464"/>
      <c r="Q40" s="464"/>
      <c r="R40" s="464"/>
      <c r="S40" s="464"/>
      <c r="T40" s="464"/>
      <c r="U40" s="464"/>
      <c r="V40" s="464"/>
      <c r="W40" s="464"/>
      <c r="X40" s="464"/>
      <c r="Y40" s="465"/>
    </row>
    <row r="41" spans="2:27" ht="38.25" customHeight="1" x14ac:dyDescent="0.15">
      <c r="B41" s="78"/>
      <c r="C41" s="3"/>
      <c r="D41" s="3"/>
      <c r="E41" s="3"/>
      <c r="F41" s="3"/>
      <c r="G41" s="79"/>
      <c r="H41" s="466" t="str">
        <f>IF(【様式第６号の２】事業報告書兼チェックシート!C210="","","・"&amp;【様式第６号の２】事業報告書兼チェックシート!C210)</f>
        <v/>
      </c>
      <c r="I41" s="467"/>
      <c r="J41" s="467"/>
      <c r="K41" s="467"/>
      <c r="L41" s="467"/>
      <c r="M41" s="467"/>
      <c r="N41" s="467"/>
      <c r="O41" s="467"/>
      <c r="P41" s="467"/>
      <c r="Q41" s="467"/>
      <c r="R41" s="467"/>
      <c r="S41" s="467"/>
      <c r="T41" s="467"/>
      <c r="U41" s="467"/>
      <c r="V41" s="467"/>
      <c r="W41" s="467"/>
      <c r="X41" s="467"/>
      <c r="Y41" s="468"/>
    </row>
    <row r="42" spans="2:27" ht="30" customHeight="1" x14ac:dyDescent="0.15">
      <c r="B42" s="78"/>
      <c r="C42" s="3"/>
      <c r="D42" s="3"/>
      <c r="E42" s="3"/>
      <c r="F42" s="3"/>
      <c r="G42" s="79"/>
      <c r="H42" s="466" t="str">
        <f>IF(【様式第６号の２】事業報告書兼チェックシート!C211="","","・"&amp;【様式第６号の２】事業報告書兼チェックシート!C211)</f>
        <v/>
      </c>
      <c r="I42" s="467"/>
      <c r="J42" s="467"/>
      <c r="K42" s="467"/>
      <c r="L42" s="467"/>
      <c r="M42" s="467"/>
      <c r="N42" s="467"/>
      <c r="O42" s="467"/>
      <c r="P42" s="467"/>
      <c r="Q42" s="467"/>
      <c r="R42" s="467"/>
      <c r="S42" s="467"/>
      <c r="T42" s="467"/>
      <c r="U42" s="467"/>
      <c r="V42" s="467"/>
      <c r="W42" s="467"/>
      <c r="X42" s="467"/>
      <c r="Y42" s="468"/>
    </row>
    <row r="43" spans="2:27" ht="43.5" customHeight="1" x14ac:dyDescent="0.15">
      <c r="B43" s="78"/>
      <c r="C43" s="3"/>
      <c r="D43" s="3"/>
      <c r="E43" s="3"/>
      <c r="F43" s="3"/>
      <c r="G43" s="79"/>
      <c r="H43" s="466" t="str">
        <f>IF(【様式第６号の２】事業報告書兼チェックシート!C212="","","・"&amp;【様式第６号の２】事業報告書兼チェックシート!C212)</f>
        <v/>
      </c>
      <c r="I43" s="467"/>
      <c r="J43" s="467"/>
      <c r="K43" s="467"/>
      <c r="L43" s="467"/>
      <c r="M43" s="467"/>
      <c r="N43" s="467"/>
      <c r="O43" s="467"/>
      <c r="P43" s="467"/>
      <c r="Q43" s="467"/>
      <c r="R43" s="467"/>
      <c r="S43" s="467"/>
      <c r="T43" s="467"/>
      <c r="U43" s="467"/>
      <c r="V43" s="467"/>
      <c r="W43" s="467"/>
      <c r="X43" s="467"/>
      <c r="Y43" s="468"/>
    </row>
    <row r="44" spans="2:27" ht="16.5" customHeight="1" x14ac:dyDescent="0.15">
      <c r="B44" s="78"/>
      <c r="C44" s="3"/>
      <c r="D44" s="3"/>
      <c r="E44" s="3"/>
      <c r="F44" s="3"/>
      <c r="G44" s="79"/>
      <c r="H44" s="463" t="str">
        <f>IF(【様式第６号の２】事業報告書兼チェックシート!C213="","","・"&amp;【様式第６号の２】事業報告書兼チェックシート!C213)</f>
        <v/>
      </c>
      <c r="I44" s="464"/>
      <c r="J44" s="464"/>
      <c r="K44" s="464"/>
      <c r="L44" s="464"/>
      <c r="M44" s="464"/>
      <c r="N44" s="464"/>
      <c r="O44" s="464"/>
      <c r="P44" s="464"/>
      <c r="Q44" s="464"/>
      <c r="R44" s="464"/>
      <c r="S44" s="464"/>
      <c r="T44" s="464"/>
      <c r="U44" s="464"/>
      <c r="V44" s="464"/>
      <c r="W44" s="464"/>
      <c r="X44" s="464"/>
      <c r="Y44" s="465"/>
    </row>
    <row r="45" spans="2:27" ht="18.75" customHeight="1" x14ac:dyDescent="0.15">
      <c r="B45" s="78"/>
      <c r="C45" s="3"/>
      <c r="D45" s="3"/>
      <c r="E45" s="3"/>
      <c r="F45" s="3"/>
      <c r="G45" s="79"/>
      <c r="H45" s="463" t="str">
        <f>IF(【様式第６号の２】事業報告書兼チェックシート!C214="","","・"&amp;【様式第６号の２】事業報告書兼チェックシート!C214)</f>
        <v/>
      </c>
      <c r="I45" s="464"/>
      <c r="J45" s="464"/>
      <c r="K45" s="464"/>
      <c r="L45" s="464"/>
      <c r="M45" s="464"/>
      <c r="N45" s="464"/>
      <c r="O45" s="464"/>
      <c r="P45" s="464"/>
      <c r="Q45" s="464"/>
      <c r="R45" s="464"/>
      <c r="S45" s="464"/>
      <c r="T45" s="464"/>
      <c r="U45" s="464"/>
      <c r="V45" s="464"/>
      <c r="W45" s="464"/>
      <c r="X45" s="464"/>
      <c r="Y45" s="465"/>
    </row>
    <row r="46" spans="2:27" ht="11.25" customHeight="1" x14ac:dyDescent="0.15">
      <c r="B46" s="83"/>
      <c r="C46" s="19"/>
      <c r="D46" s="19"/>
      <c r="E46" s="19"/>
      <c r="F46" s="19"/>
      <c r="G46" s="20"/>
      <c r="H46" s="84"/>
      <c r="I46" s="85"/>
      <c r="J46" s="19"/>
      <c r="K46" s="19"/>
      <c r="L46" s="19"/>
      <c r="M46" s="19"/>
      <c r="N46" s="19"/>
      <c r="O46" s="19"/>
      <c r="P46" s="19"/>
      <c r="Q46" s="19"/>
      <c r="R46" s="19"/>
      <c r="S46" s="19"/>
      <c r="T46" s="19"/>
      <c r="U46" s="19"/>
      <c r="V46" s="19"/>
      <c r="W46" s="19"/>
      <c r="X46" s="19"/>
      <c r="Y46" s="20"/>
    </row>
    <row r="47" spans="2:27" ht="18" customHeight="1" x14ac:dyDescent="0.15">
      <c r="K47" s="31"/>
    </row>
    <row r="48" spans="2:27" ht="18" customHeight="1" x14ac:dyDescent="0.15">
      <c r="K48" s="31"/>
    </row>
    <row r="49" spans="1:35" ht="18" customHeight="1" x14ac:dyDescent="0.15">
      <c r="K49" s="31"/>
    </row>
    <row r="50" spans="1:35" ht="18" customHeight="1" x14ac:dyDescent="0.15">
      <c r="K50" s="31"/>
    </row>
    <row r="51" spans="1:35" ht="18" customHeight="1" x14ac:dyDescent="0.15">
      <c r="K51" s="31"/>
    </row>
    <row r="52" spans="1:35" ht="18" customHeight="1" x14ac:dyDescent="0.15">
      <c r="K52" s="31"/>
    </row>
    <row r="53" spans="1:35" ht="18" customHeight="1" x14ac:dyDescent="0.15">
      <c r="K53" s="31"/>
    </row>
    <row r="54" spans="1:35" ht="18" customHeight="1" x14ac:dyDescent="0.15">
      <c r="K54" s="31"/>
    </row>
    <row r="55" spans="1:35" ht="18" customHeight="1" x14ac:dyDescent="0.15">
      <c r="K55" s="31"/>
    </row>
    <row r="57" spans="1:35" s="81" customFormat="1" ht="18" customHeight="1" x14ac:dyDescent="0.15">
      <c r="A57" s="86" t="s">
        <v>199</v>
      </c>
      <c r="B57" s="87"/>
      <c r="C57" s="87"/>
      <c r="D57" s="87"/>
      <c r="E57" s="87"/>
      <c r="F57" s="87"/>
      <c r="G57" s="87"/>
      <c r="H57" s="87"/>
      <c r="I57" s="87"/>
      <c r="J57" s="87"/>
      <c r="K57" s="87"/>
      <c r="L57" s="87"/>
      <c r="M57" s="87"/>
      <c r="N57" s="87"/>
      <c r="O57" s="87"/>
      <c r="P57" s="87"/>
      <c r="Q57" s="69"/>
      <c r="R57" s="87"/>
      <c r="S57" s="87"/>
      <c r="T57" s="87"/>
      <c r="U57" s="87"/>
      <c r="V57" s="87"/>
      <c r="W57" s="87"/>
      <c r="X57" s="87"/>
      <c r="Y57" s="87"/>
      <c r="Z57" s="87"/>
      <c r="AA57" s="88"/>
    </row>
    <row r="58" spans="1:35" s="89" customFormat="1" ht="18" customHeight="1" x14ac:dyDescent="0.15">
      <c r="A58" s="86"/>
      <c r="B58" s="89" t="s">
        <v>13</v>
      </c>
      <c r="AA58" s="90"/>
    </row>
    <row r="59" spans="1:35" s="81" customFormat="1" ht="18" customHeight="1" x14ac:dyDescent="0.15">
      <c r="B59" s="495" t="s">
        <v>200</v>
      </c>
      <c r="C59" s="496"/>
      <c r="D59" s="496"/>
      <c r="E59" s="496"/>
      <c r="F59" s="496"/>
      <c r="G59" s="496"/>
      <c r="H59" s="497"/>
      <c r="I59" s="91" t="s">
        <v>11</v>
      </c>
      <c r="J59" s="501"/>
      <c r="K59" s="501"/>
      <c r="L59" s="501"/>
      <c r="M59" s="502"/>
      <c r="N59" s="502"/>
      <c r="O59" s="502"/>
      <c r="P59" s="502"/>
      <c r="Q59" s="502"/>
      <c r="R59" s="502"/>
      <c r="S59" s="502"/>
      <c r="T59" s="502"/>
      <c r="U59" s="502"/>
      <c r="V59" s="502"/>
      <c r="W59" s="502"/>
      <c r="X59" s="502"/>
      <c r="Y59" s="503"/>
      <c r="AA59" s="21"/>
    </row>
    <row r="60" spans="1:35" s="81" customFormat="1" ht="18" customHeight="1" x14ac:dyDescent="0.15">
      <c r="B60" s="498"/>
      <c r="C60" s="499"/>
      <c r="D60" s="499"/>
      <c r="E60" s="499"/>
      <c r="F60" s="499"/>
      <c r="G60" s="499"/>
      <c r="H60" s="500"/>
      <c r="I60" s="504"/>
      <c r="J60" s="505"/>
      <c r="K60" s="505"/>
      <c r="L60" s="505"/>
      <c r="M60" s="505"/>
      <c r="N60" s="505"/>
      <c r="O60" s="505"/>
      <c r="P60" s="505"/>
      <c r="Q60" s="505"/>
      <c r="R60" s="505"/>
      <c r="S60" s="505"/>
      <c r="T60" s="505"/>
      <c r="U60" s="505"/>
      <c r="V60" s="505"/>
      <c r="W60" s="505"/>
      <c r="X60" s="505"/>
      <c r="Y60" s="506"/>
      <c r="AA60" s="88"/>
      <c r="AB60" s="88"/>
      <c r="AC60" s="88"/>
      <c r="AD60" s="88"/>
      <c r="AE60" s="88"/>
      <c r="AF60" s="88"/>
      <c r="AG60" s="88"/>
      <c r="AH60" s="88"/>
      <c r="AI60" s="88"/>
    </row>
    <row r="61" spans="1:35" s="81" customFormat="1" ht="24" customHeight="1" x14ac:dyDescent="0.15">
      <c r="B61" s="484" t="s">
        <v>201</v>
      </c>
      <c r="C61" s="485"/>
      <c r="D61" s="485"/>
      <c r="E61" s="485"/>
      <c r="F61" s="485"/>
      <c r="G61" s="485"/>
      <c r="H61" s="486"/>
      <c r="I61" s="507"/>
      <c r="J61" s="508"/>
      <c r="K61" s="508"/>
      <c r="L61" s="508"/>
      <c r="M61" s="508"/>
      <c r="N61" s="508"/>
      <c r="O61" s="508"/>
      <c r="P61" s="508"/>
      <c r="Q61" s="508"/>
      <c r="R61" s="508"/>
      <c r="S61" s="508"/>
      <c r="T61" s="508"/>
      <c r="U61" s="508"/>
      <c r="V61" s="508"/>
      <c r="W61" s="508"/>
      <c r="X61" s="508"/>
      <c r="Y61" s="509"/>
      <c r="AA61" s="88"/>
      <c r="AB61" s="88"/>
      <c r="AC61" s="88"/>
      <c r="AD61" s="88"/>
      <c r="AE61" s="88"/>
      <c r="AF61" s="88"/>
      <c r="AG61" s="88"/>
      <c r="AH61" s="88"/>
      <c r="AI61" s="88"/>
    </row>
    <row r="62" spans="1:35" s="81" customFormat="1" ht="18" customHeight="1" x14ac:dyDescent="0.15">
      <c r="B62" s="484" t="s">
        <v>21</v>
      </c>
      <c r="C62" s="485"/>
      <c r="D62" s="485"/>
      <c r="E62" s="485"/>
      <c r="F62" s="485"/>
      <c r="G62" s="485"/>
      <c r="H62" s="486"/>
      <c r="I62" s="492"/>
      <c r="J62" s="493"/>
      <c r="K62" s="493"/>
      <c r="L62" s="493"/>
      <c r="M62" s="494"/>
      <c r="N62" s="489" t="s">
        <v>10</v>
      </c>
      <c r="O62" s="490"/>
      <c r="P62" s="491"/>
      <c r="Q62" s="487" t="s">
        <v>12</v>
      </c>
      <c r="R62" s="487"/>
      <c r="S62" s="487"/>
      <c r="T62" s="487"/>
      <c r="U62" s="487"/>
      <c r="V62" s="487"/>
      <c r="W62" s="487"/>
      <c r="X62" s="487"/>
      <c r="Y62" s="488"/>
      <c r="AA62" s="88"/>
      <c r="AB62" s="88"/>
      <c r="AC62" s="88"/>
      <c r="AD62" s="88"/>
      <c r="AE62" s="88"/>
      <c r="AF62" s="88"/>
      <c r="AG62" s="88"/>
      <c r="AH62" s="92"/>
      <c r="AI62" s="88"/>
    </row>
    <row r="63" spans="1:35" s="81" customFormat="1" ht="18" customHeight="1" x14ac:dyDescent="0.15">
      <c r="AA63" s="88"/>
      <c r="AB63" s="88"/>
      <c r="AC63" s="88"/>
      <c r="AD63" s="88"/>
      <c r="AE63" s="88"/>
      <c r="AF63" s="88"/>
      <c r="AG63" s="88"/>
      <c r="AH63" s="88"/>
      <c r="AI63" s="88"/>
    </row>
  </sheetData>
  <sheetProtection algorithmName="SHA-512" hashValue="QLU1VpXTFePLz2GvoCDMDOthnmc5fu0WyjpvMdeW2Icsae5QBO7bvjJBOW6PdlMx51CKgzScoIRy9BEFnZsnNA==" saltValue="cqkVk/YlBeimq36mqsJggg==" spinCount="100000" sheet="1" objects="1" scenarios="1"/>
  <mergeCells count="53">
    <mergeCell ref="B62:H62"/>
    <mergeCell ref="Q62:Y62"/>
    <mergeCell ref="N62:P62"/>
    <mergeCell ref="I62:M62"/>
    <mergeCell ref="B59:H60"/>
    <mergeCell ref="J59:L59"/>
    <mergeCell ref="M59:Y59"/>
    <mergeCell ref="I60:Y60"/>
    <mergeCell ref="B61:H61"/>
    <mergeCell ref="I61:Y61"/>
    <mergeCell ref="P9:X9"/>
    <mergeCell ref="Q2:R2"/>
    <mergeCell ref="T2:U2"/>
    <mergeCell ref="W2:X2"/>
    <mergeCell ref="B26:G26"/>
    <mergeCell ref="O10:X10"/>
    <mergeCell ref="O11:X11"/>
    <mergeCell ref="O12:X12"/>
    <mergeCell ref="A17:Z17"/>
    <mergeCell ref="A15:Z15"/>
    <mergeCell ref="Q22:Y22"/>
    <mergeCell ref="B22:G23"/>
    <mergeCell ref="B21:G21"/>
    <mergeCell ref="AC16:AG16"/>
    <mergeCell ref="AA19:AZ19"/>
    <mergeCell ref="H37:Y37"/>
    <mergeCell ref="H38:Y38"/>
    <mergeCell ref="B24:G24"/>
    <mergeCell ref="B25:G25"/>
    <mergeCell ref="H24:O24"/>
    <mergeCell ref="Q24:X24"/>
    <mergeCell ref="H23:O23"/>
    <mergeCell ref="H25:O25"/>
    <mergeCell ref="Q23:X23"/>
    <mergeCell ref="Q25:X25"/>
    <mergeCell ref="A19:Z19"/>
    <mergeCell ref="H21:Y21"/>
    <mergeCell ref="H22:P22"/>
    <mergeCell ref="H44:Y44"/>
    <mergeCell ref="H45:Y45"/>
    <mergeCell ref="H29:Y29"/>
    <mergeCell ref="H30:Y30"/>
    <mergeCell ref="H31:Y31"/>
    <mergeCell ref="H42:Y42"/>
    <mergeCell ref="H43:Y43"/>
    <mergeCell ref="H32:Y32"/>
    <mergeCell ref="H33:Y33"/>
    <mergeCell ref="H34:Y34"/>
    <mergeCell ref="H35:Y35"/>
    <mergeCell ref="H36:Y36"/>
    <mergeCell ref="H39:Y39"/>
    <mergeCell ref="H40:Y40"/>
    <mergeCell ref="H41:Y41"/>
  </mergeCells>
  <phoneticPr fontId="1"/>
  <conditionalFormatting sqref="A2:N2">
    <cfRule type="cellIs" dxfId="13" priority="6" operator="equal">
      <formula>"令和　年　月　日"</formula>
    </cfRule>
  </conditionalFormatting>
  <conditionalFormatting sqref="A17:Z17">
    <cfRule type="cellIs" dxfId="12" priority="2" operator="equal">
      <formula>$BK$3</formula>
    </cfRule>
    <cfRule type="cellIs" dxfId="11" priority="3" operator="equal">
      <formula>$BK$2</formula>
    </cfRule>
  </conditionalFormatting>
  <conditionalFormatting sqref="O2 S2 V2 Y2:Z2">
    <cfRule type="cellIs" dxfId="10" priority="1" operator="equal">
      <formula>"令和　年　月　日"</formula>
    </cfRule>
  </conditionalFormatting>
  <dataValidations count="1">
    <dataValidation type="list" allowBlank="1" showInputMessage="1" showErrorMessage="1" sqref="AC16:AG16">
      <formula1>"はい,いいえ"</formula1>
    </dataValidation>
  </dataValidations>
  <pageMargins left="0.98425196850393704" right="0.98425196850393704" top="0.39370078740157483" bottom="0.3937007874015748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1:J15"/>
  <sheetViews>
    <sheetView view="pageBreakPreview" zoomScaleNormal="100" zoomScaleSheetLayoutView="100" workbookViewId="0">
      <selection activeCell="H11" sqref="H11"/>
    </sheetView>
  </sheetViews>
  <sheetFormatPr defaultColWidth="9" defaultRowHeight="13.5" x14ac:dyDescent="0.15"/>
  <cols>
    <col min="1" max="1" width="2" style="96" customWidth="1"/>
    <col min="2" max="2" width="18.625" style="96" customWidth="1"/>
    <col min="3" max="4" width="15.5" style="96" customWidth="1"/>
    <col min="5" max="5" width="6.75" style="96" customWidth="1"/>
    <col min="6" max="6" width="20.125" style="96" customWidth="1"/>
    <col min="7" max="8" width="15.5" style="96" customWidth="1"/>
    <col min="9" max="9" width="5.375" style="96" customWidth="1"/>
    <col min="10" max="10" width="19.75" style="96" customWidth="1"/>
    <col min="11" max="11" width="1" style="96" customWidth="1"/>
    <col min="12" max="16384" width="9" style="96"/>
  </cols>
  <sheetData>
    <row r="1" spans="2:10" ht="44.25" customHeight="1" x14ac:dyDescent="0.15">
      <c r="B1" s="510" t="s">
        <v>223</v>
      </c>
      <c r="C1" s="510"/>
      <c r="D1" s="510"/>
      <c r="F1" s="97" t="s">
        <v>222</v>
      </c>
      <c r="J1" s="98" t="s">
        <v>218</v>
      </c>
    </row>
    <row r="2" spans="2:10" x14ac:dyDescent="0.15">
      <c r="B2" s="103" t="s">
        <v>48</v>
      </c>
      <c r="C2" s="103" t="s">
        <v>210</v>
      </c>
      <c r="D2" s="103" t="s">
        <v>211</v>
      </c>
      <c r="F2" s="103" t="s">
        <v>48</v>
      </c>
      <c r="G2" s="103" t="s">
        <v>210</v>
      </c>
      <c r="H2" s="103" t="s">
        <v>212</v>
      </c>
      <c r="J2" s="103" t="s">
        <v>213</v>
      </c>
    </row>
    <row r="3" spans="2:10" x14ac:dyDescent="0.15">
      <c r="B3" s="99" t="s">
        <v>206</v>
      </c>
      <c r="C3" s="100"/>
      <c r="D3" s="100"/>
      <c r="F3" s="99" t="s">
        <v>206</v>
      </c>
      <c r="G3" s="101">
        <f>IF(【様式第６号の２】事業報告書兼チェックシート!Y89="",0,【様式第６号の２】事業報告書兼チェックシート!Y89*10000)</f>
        <v>0</v>
      </c>
      <c r="H3" s="101">
        <f>IF(【様式第６号の２】事業報告書兼チェックシート!Y89="",0,【様式第６号の２】事業報告書兼チェックシート!Y89*10000)</f>
        <v>0</v>
      </c>
      <c r="J3" s="102">
        <f>IF(H3="","",MIN(D3,H3))</f>
        <v>0</v>
      </c>
    </row>
    <row r="4" spans="2:10" x14ac:dyDescent="0.15">
      <c r="B4" s="99" t="s">
        <v>207</v>
      </c>
      <c r="C4" s="100"/>
      <c r="D4" s="100"/>
      <c r="F4" s="99" t="s">
        <v>207</v>
      </c>
      <c r="G4" s="101">
        <f>IF(【様式第６号の２】事業報告書兼チェックシート!Y149="",0,【様式第６号の２】事業報告書兼チェックシート!Y149*10000)</f>
        <v>0</v>
      </c>
      <c r="H4" s="101">
        <f>IF(【様式第６号の２】事業報告書兼チェックシート!Y149="",0,【様式第６号の２】事業報告書兼チェックシート!Y149*10000)</f>
        <v>0</v>
      </c>
      <c r="J4" s="102">
        <f>IF(H4="","",MIN(D4,H4))</f>
        <v>0</v>
      </c>
    </row>
    <row r="5" spans="2:10" x14ac:dyDescent="0.15">
      <c r="B5" s="99" t="s">
        <v>208</v>
      </c>
      <c r="C5" s="100"/>
      <c r="D5" s="100"/>
      <c r="F5" s="99" t="s">
        <v>208</v>
      </c>
      <c r="G5" s="101">
        <f>IF(【様式第６号の２】事業報告書兼チェックシート!Y100="",0,【様式第６号の２】事業報告書兼チェックシート!Y100*10000)</f>
        <v>0</v>
      </c>
      <c r="H5" s="101">
        <f>IF(【様式第６号の２】事業報告書兼チェックシート!Y100="",0,【様式第６号の２】事業報告書兼チェックシート!Y100*10000)</f>
        <v>0</v>
      </c>
      <c r="J5" s="102">
        <f t="shared" ref="J5:J6" si="0">IF(H5="","",MIN(D5,H5))</f>
        <v>0</v>
      </c>
    </row>
    <row r="6" spans="2:10" x14ac:dyDescent="0.15">
      <c r="B6" s="99" t="s">
        <v>209</v>
      </c>
      <c r="C6" s="100"/>
      <c r="D6" s="100"/>
      <c r="F6" s="99" t="s">
        <v>209</v>
      </c>
      <c r="G6" s="101">
        <f>IF(【様式第６号の２】事業報告書兼チェックシート!Y118="",0,【様式第６号の２】事業報告書兼チェックシート!Y118*10000)</f>
        <v>0</v>
      </c>
      <c r="H6" s="101">
        <f>IF(【様式第６号の２】事業報告書兼チェックシート!Y118="",0,【様式第６号の２】事業報告書兼チェックシート!Y118*10000)</f>
        <v>0</v>
      </c>
      <c r="J6" s="102">
        <f t="shared" si="0"/>
        <v>0</v>
      </c>
    </row>
    <row r="8" spans="2:10" x14ac:dyDescent="0.15">
      <c r="C8" s="103" t="s">
        <v>214</v>
      </c>
      <c r="D8" s="103" t="s">
        <v>211</v>
      </c>
      <c r="G8" s="103" t="s">
        <v>214</v>
      </c>
      <c r="H8" s="103" t="s">
        <v>211</v>
      </c>
    </row>
    <row r="9" spans="2:10" x14ac:dyDescent="0.15">
      <c r="C9" s="102" t="str">
        <f>IF(C3=0,"",SUM(C3:C6))</f>
        <v/>
      </c>
      <c r="D9" s="102" t="str">
        <f>IF(D3=0,"",MIN(500000,SUM(D3:D6),ROUNDDOWN(B12*10000/2,-3)))</f>
        <v/>
      </c>
      <c r="G9" s="102" t="str">
        <f>IF(G3=0,"",SUM(G3:G6))</f>
        <v/>
      </c>
      <c r="H9" s="102" t="str">
        <f>IF(H3=0,"",MIN(SUM(J3:J6),500000,ROUNDDOWN(F12*10000/2,-3),D9))</f>
        <v/>
      </c>
    </row>
    <row r="11" spans="2:10" x14ac:dyDescent="0.15">
      <c r="B11" s="96" t="s">
        <v>215</v>
      </c>
      <c r="F11" s="96" t="s">
        <v>217</v>
      </c>
    </row>
    <row r="12" spans="2:10" x14ac:dyDescent="0.15">
      <c r="B12" s="104"/>
      <c r="C12" s="96" t="s">
        <v>0</v>
      </c>
      <c r="F12" s="105" t="str">
        <f>IF(【様式第６号の２】事業報告書兼チェックシート!S31="","",【様式第６号の２】事業報告書兼チェックシート!S31)</f>
        <v/>
      </c>
      <c r="G12" s="96" t="s">
        <v>0</v>
      </c>
    </row>
    <row r="13" spans="2:10" x14ac:dyDescent="0.15">
      <c r="B13" s="511" t="s">
        <v>221</v>
      </c>
      <c r="C13" s="511"/>
      <c r="D13" s="511"/>
      <c r="F13" s="96" t="s">
        <v>216</v>
      </c>
    </row>
    <row r="14" spans="2:10" x14ac:dyDescent="0.15">
      <c r="B14" s="511"/>
      <c r="C14" s="511"/>
      <c r="D14" s="511"/>
    </row>
    <row r="15" spans="2:10" x14ac:dyDescent="0.15">
      <c r="B15" s="96" t="s">
        <v>219</v>
      </c>
    </row>
  </sheetData>
  <sheetProtection algorithmName="SHA-512" hashValue="mrFUwmU0JAbzTTAaObMby1Yo09ypH+5N6gjybzyGyX6BWQ4tDxc602km8sHReHgDVMX/71ZZE2qPlrM2dx6Ozg==" saltValue="y/aPxPBEGBGIqpOVcCo2IQ==" spinCount="100000" sheet="1" objects="1" scenarios="1"/>
  <mergeCells count="2">
    <mergeCell ref="B1:D1"/>
    <mergeCell ref="B13:D14"/>
  </mergeCells>
  <phoneticPr fontId="1"/>
  <conditionalFormatting sqref="C3:D6">
    <cfRule type="cellIs" dxfId="9" priority="3" operator="equal">
      <formula>0</formula>
    </cfRule>
  </conditionalFormatting>
  <conditionalFormatting sqref="B12">
    <cfRule type="cellIs" dxfId="8" priority="1" operator="equal">
      <formula>0</formula>
    </cfRule>
  </conditionalFormatting>
  <dataValidations count="1">
    <dataValidation type="whole" operator="greaterThanOrEqual" allowBlank="1" showInputMessage="1" showErrorMessage="1" sqref="C3:D6">
      <formula1>0</formula1>
    </dataValidation>
  </dataValidations>
  <pageMargins left="0.7" right="0.7" top="0.75" bottom="0.75" header="0.3" footer="0.3"/>
  <pageSetup paperSize="9"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M27"/>
  <sheetViews>
    <sheetView tabSelected="1" topLeftCell="M1" workbookViewId="0">
      <selection activeCell="N11" sqref="N11"/>
    </sheetView>
  </sheetViews>
  <sheetFormatPr defaultColWidth="9" defaultRowHeight="13.5" outlineLevelRow="1" outlineLevelCol="1" x14ac:dyDescent="0.15"/>
  <cols>
    <col min="1" max="1" width="9" style="125"/>
    <col min="2" max="2" width="6.625" style="122" customWidth="1"/>
    <col min="3" max="3" width="6.625" style="123" customWidth="1"/>
    <col min="4" max="5" width="7.625" style="124" customWidth="1"/>
    <col min="6" max="6" width="9.625" style="125" customWidth="1"/>
    <col min="7" max="7" width="8.75" style="125" customWidth="1"/>
    <col min="8" max="8" width="11.625" style="126" customWidth="1"/>
    <col min="9" max="9" width="26.5" style="125" customWidth="1"/>
    <col min="10" max="10" width="10.625" style="124" customWidth="1"/>
    <col min="11" max="11" width="50" style="125" customWidth="1"/>
    <col min="12" max="12" width="16.625" style="124" customWidth="1"/>
    <col min="13" max="13" width="10.625" style="124" customWidth="1"/>
    <col min="14" max="14" width="57" style="128" customWidth="1"/>
    <col min="15" max="31" width="6.625" style="129" hidden="1" customWidth="1"/>
    <col min="32" max="33" width="6.625" style="129" hidden="1" customWidth="1" outlineLevel="1"/>
    <col min="34" max="35" width="6.625" style="129" hidden="1" customWidth="1"/>
    <col min="36" max="37" width="6.625" style="129" hidden="1" customWidth="1" outlineLevel="1"/>
    <col min="38" max="50" width="6.625" style="129" hidden="1" customWidth="1"/>
    <col min="51" max="51" width="6.125" style="129" hidden="1" customWidth="1"/>
    <col min="52" max="52" width="6.625" style="129" hidden="1" customWidth="1"/>
    <col min="53" max="53" width="9" style="129" hidden="1" customWidth="1"/>
    <col min="54" max="57" width="6.625" style="129" hidden="1" customWidth="1"/>
    <col min="58" max="59" width="6.625" style="129" hidden="1" customWidth="1" outlineLevel="1"/>
    <col min="60" max="61" width="6.625" style="129" hidden="1" customWidth="1"/>
    <col min="62" max="64" width="6.625" style="129" hidden="1" customWidth="1" outlineLevel="1"/>
    <col min="65" max="66" width="6.625" style="129" hidden="1" customWidth="1"/>
    <col min="67" max="69" width="6.625" style="129" hidden="1" customWidth="1" outlineLevel="1"/>
    <col min="70" max="72" width="6.625" style="129" hidden="1" customWidth="1"/>
    <col min="73" max="73" width="10.625" style="126" hidden="1" customWidth="1"/>
    <col min="74" max="74" width="3.375" style="126" hidden="1" customWidth="1"/>
    <col min="75" max="75" width="4.375" style="126" hidden="1" customWidth="1"/>
    <col min="76" max="76" width="3.375" style="126" hidden="1" customWidth="1"/>
    <col min="77" max="77" width="4.875" style="126" hidden="1" customWidth="1"/>
    <col min="78" max="78" width="3.375" style="126" hidden="1" customWidth="1"/>
    <col min="79" max="79" width="10.625" style="126" hidden="1" customWidth="1"/>
    <col min="80" max="80" width="3.375" style="126" hidden="1" customWidth="1"/>
    <col min="81" max="81" width="4.375" style="126" hidden="1" customWidth="1"/>
    <col min="82" max="82" width="3.375" style="126" hidden="1" customWidth="1"/>
    <col min="83" max="83" width="4.875" style="126" hidden="1" customWidth="1"/>
    <col min="84" max="84" width="3.375" style="126" hidden="1" customWidth="1"/>
    <col min="85" max="85" width="10.625" style="126" hidden="1" customWidth="1"/>
    <col min="86" max="86" width="9" style="130" hidden="1" customWidth="1"/>
    <col min="87" max="87" width="29.375" style="125" hidden="1" customWidth="1"/>
    <col min="88" max="88" width="40.625" style="125" hidden="1" customWidth="1"/>
    <col min="89" max="89" width="10.75" style="124" hidden="1" customWidth="1"/>
    <col min="90" max="91" width="9" style="125" hidden="1" customWidth="1"/>
    <col min="92" max="92" width="9" style="124" hidden="1" customWidth="1"/>
    <col min="93" max="93" width="9" style="126" hidden="1" customWidth="1"/>
    <col min="94" max="95" width="9" style="125" hidden="1" customWidth="1"/>
    <col min="96" max="97" width="9" style="126" hidden="1" customWidth="1"/>
    <col min="98" max="98" width="11" style="125" hidden="1" customWidth="1"/>
    <col min="99" max="99" width="3.375" style="125" hidden="1" customWidth="1"/>
    <col min="100" max="100" width="3.875" style="125" hidden="1" customWidth="1"/>
    <col min="101" max="101" width="4.5" style="125" hidden="1" customWidth="1"/>
    <col min="102" max="102" width="3.875" style="125" hidden="1" customWidth="1"/>
    <col min="103" max="103" width="3.5" style="125" hidden="1" customWidth="1"/>
    <col min="104" max="104" width="4.5" style="125" hidden="1" customWidth="1"/>
    <col min="105" max="105" width="9" style="125" hidden="1" customWidth="1"/>
    <col min="106" max="106" width="8.75" style="125" hidden="1" customWidth="1"/>
    <col min="107" max="108" width="6.625" style="129" hidden="1" customWidth="1"/>
    <col min="109" max="109" width="10.25" style="129" hidden="1" customWidth="1"/>
    <col min="110" max="113" width="6.625" style="129" hidden="1" customWidth="1"/>
    <col min="114" max="114" width="10.125" style="129" hidden="1" customWidth="1"/>
    <col min="115" max="118" width="6.625" style="129" hidden="1" customWidth="1"/>
    <col min="119" max="119" width="10" style="129" hidden="1" customWidth="1"/>
    <col min="120" max="126" width="6.625" style="129" hidden="1" customWidth="1"/>
    <col min="127" max="127" width="9.625" style="129" hidden="1" customWidth="1"/>
    <col min="128" max="131" width="6.625" style="129" hidden="1" customWidth="1"/>
    <col min="132" max="133" width="6.625" style="129" hidden="1" customWidth="1" outlineLevel="1"/>
    <col min="134" max="136" width="6.625" style="129" hidden="1" customWidth="1"/>
    <col min="137" max="138" width="6.625" style="129" hidden="1" customWidth="1" outlineLevel="1"/>
    <col min="139" max="154" width="6.625" style="129" hidden="1" customWidth="1"/>
    <col min="155" max="156" width="8.625" style="129" hidden="1" customWidth="1"/>
    <col min="157" max="157" width="6.625" style="129" hidden="1" customWidth="1"/>
    <col min="158" max="158" width="8.75" style="129" hidden="1" customWidth="1"/>
    <col min="159" max="159" width="9" style="129" customWidth="1"/>
    <col min="160" max="160" width="6.625" style="129" customWidth="1"/>
    <col min="161" max="161" width="10.125" style="129" customWidth="1"/>
    <col min="162" max="162" width="6.625" style="129" customWidth="1"/>
    <col min="163" max="163" width="10" style="129" customWidth="1"/>
    <col min="164" max="164" width="8.125" style="129" customWidth="1"/>
    <col min="165" max="166" width="6.625" style="129" customWidth="1"/>
    <col min="167" max="168" width="6.625" style="129" customWidth="1" outlineLevel="1"/>
    <col min="169" max="169" width="8.875" style="129" customWidth="1"/>
    <col min="170" max="171" width="6.625" style="129" customWidth="1"/>
    <col min="172" max="174" width="6.625" style="129" customWidth="1" outlineLevel="1"/>
    <col min="175" max="176" width="8.875" style="129" customWidth="1"/>
    <col min="177" max="177" width="8.375" style="129" customWidth="1"/>
    <col min="178" max="180" width="6.625" style="129" customWidth="1" outlineLevel="1"/>
    <col min="181" max="181" width="9" style="129" customWidth="1"/>
    <col min="182" max="182" width="8.5" style="129" customWidth="1"/>
    <col min="183" max="183" width="6.625" style="129" customWidth="1"/>
    <col min="184" max="184" width="10.875" style="129" customWidth="1"/>
    <col min="185" max="185" width="6.625" style="129" customWidth="1"/>
    <col min="186" max="186" width="10.125" style="129" customWidth="1"/>
    <col min="187" max="187" width="6.625" style="125" customWidth="1"/>
    <col min="188" max="188" width="9.75" style="126" customWidth="1"/>
    <col min="189" max="189" width="9.5" style="126" customWidth="1"/>
    <col min="190" max="190" width="9.5" style="126" bestFit="1" customWidth="1"/>
    <col min="191" max="193" width="9" style="130"/>
    <col min="194" max="871" width="9" style="131"/>
    <col min="872" max="16384" width="9" style="125"/>
  </cols>
  <sheetData>
    <row r="1" spans="2:871" x14ac:dyDescent="0.15">
      <c r="C1" s="123" t="s">
        <v>443</v>
      </c>
      <c r="I1" s="127" t="s">
        <v>251</v>
      </c>
    </row>
    <row r="2" spans="2:871" x14ac:dyDescent="0.15">
      <c r="H2" s="132" t="s">
        <v>252</v>
      </c>
      <c r="I2" s="133"/>
      <c r="J2" s="134"/>
      <c r="K2" s="133"/>
      <c r="L2" s="134"/>
      <c r="M2" s="134"/>
      <c r="N2" s="135"/>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2"/>
      <c r="BV2" s="132"/>
      <c r="BW2" s="132"/>
      <c r="BX2" s="132"/>
      <c r="BY2" s="132"/>
      <c r="BZ2" s="132"/>
      <c r="CA2" s="132"/>
      <c r="CB2" s="132"/>
      <c r="CC2" s="132"/>
      <c r="CD2" s="132"/>
      <c r="CE2" s="132"/>
      <c r="CF2" s="132"/>
      <c r="CG2" s="132"/>
      <c r="CH2" s="137"/>
      <c r="CI2" s="133"/>
      <c r="CJ2" s="133"/>
      <c r="CK2" s="134"/>
      <c r="CL2" s="133"/>
      <c r="CM2" s="133"/>
      <c r="CN2" s="134"/>
      <c r="CO2" s="133"/>
      <c r="CP2" s="133"/>
      <c r="CQ2" s="133"/>
      <c r="CR2" s="133"/>
      <c r="CS2" s="133"/>
      <c r="CT2" s="133"/>
      <c r="CU2" s="133"/>
      <c r="CV2" s="133"/>
      <c r="CW2" s="133"/>
      <c r="CX2" s="133"/>
      <c r="CY2" s="133"/>
      <c r="CZ2" s="133"/>
      <c r="DC2" s="138" t="s">
        <v>253</v>
      </c>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row>
    <row r="3" spans="2:871" s="164" customFormat="1" ht="56.25" x14ac:dyDescent="0.15">
      <c r="B3" s="139" t="s">
        <v>254</v>
      </c>
      <c r="C3" s="140" t="s">
        <v>255</v>
      </c>
      <c r="D3" s="141" t="s">
        <v>256</v>
      </c>
      <c r="E3" s="141"/>
      <c r="F3" s="142" t="s">
        <v>257</v>
      </c>
      <c r="G3" s="143" t="s">
        <v>258</v>
      </c>
      <c r="H3" s="145" t="s">
        <v>260</v>
      </c>
      <c r="I3" s="146" t="s">
        <v>261</v>
      </c>
      <c r="J3" s="147"/>
      <c r="K3" s="148"/>
      <c r="L3" s="149"/>
      <c r="M3" s="150" t="s">
        <v>262</v>
      </c>
      <c r="N3" s="151"/>
      <c r="O3" s="152" t="s">
        <v>263</v>
      </c>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518" t="s">
        <v>264</v>
      </c>
      <c r="BA3" s="154" t="s">
        <v>265</v>
      </c>
      <c r="BB3" s="154"/>
      <c r="BC3" s="154"/>
      <c r="BD3" s="154"/>
      <c r="BE3" s="154"/>
      <c r="BF3" s="154"/>
      <c r="BG3" s="154"/>
      <c r="BH3" s="154"/>
      <c r="BI3" s="154"/>
      <c r="BJ3" s="154"/>
      <c r="BK3" s="154"/>
      <c r="BL3" s="154"/>
      <c r="BM3" s="154"/>
      <c r="BN3" s="154"/>
      <c r="BO3" s="154"/>
      <c r="BP3" s="154"/>
      <c r="BQ3" s="154"/>
      <c r="BR3" s="154"/>
      <c r="BS3" s="154"/>
      <c r="BT3" s="154"/>
      <c r="BU3" s="155" t="s">
        <v>266</v>
      </c>
      <c r="BV3" s="156"/>
      <c r="BW3" s="156"/>
      <c r="BX3" s="156"/>
      <c r="BY3" s="156"/>
      <c r="BZ3" s="156"/>
      <c r="CA3" s="156"/>
      <c r="CB3" s="156"/>
      <c r="CC3" s="156"/>
      <c r="CD3" s="156"/>
      <c r="CE3" s="156"/>
      <c r="CF3" s="156"/>
      <c r="CG3" s="157" t="s">
        <v>267</v>
      </c>
      <c r="CH3" s="158"/>
      <c r="CI3" s="159" t="s">
        <v>268</v>
      </c>
      <c r="CJ3" s="160"/>
      <c r="CK3" s="161" t="s">
        <v>269</v>
      </c>
      <c r="CL3" s="142" t="s">
        <v>270</v>
      </c>
      <c r="CM3" s="142" t="s">
        <v>271</v>
      </c>
      <c r="CN3" s="141" t="s">
        <v>272</v>
      </c>
      <c r="CO3" s="155" t="s">
        <v>273</v>
      </c>
      <c r="CP3" s="160"/>
      <c r="CQ3" s="162" t="s">
        <v>274</v>
      </c>
      <c r="CR3" s="156"/>
      <c r="CS3" s="156"/>
      <c r="CT3" s="163"/>
      <c r="CU3" s="160"/>
      <c r="CV3" s="162" t="s">
        <v>275</v>
      </c>
      <c r="CW3" s="160"/>
      <c r="CX3" s="520" t="s">
        <v>276</v>
      </c>
      <c r="CY3" s="521"/>
      <c r="CZ3" s="522"/>
      <c r="DB3" s="144" t="s">
        <v>259</v>
      </c>
      <c r="DC3" s="152" t="s">
        <v>277</v>
      </c>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65"/>
      <c r="FC3" s="166" t="s">
        <v>278</v>
      </c>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8"/>
      <c r="GB3" s="168"/>
      <c r="GC3" s="154"/>
      <c r="GD3" s="154"/>
      <c r="GE3" s="162" t="s">
        <v>279</v>
      </c>
      <c r="GF3" s="169"/>
      <c r="GG3" s="169"/>
      <c r="GH3" s="169"/>
      <c r="GI3" s="170"/>
      <c r="GJ3" s="170"/>
      <c r="GK3" s="158"/>
    </row>
    <row r="4" spans="2:871" s="215" customFormat="1" ht="36" x14ac:dyDescent="0.15">
      <c r="B4" s="171"/>
      <c r="C4" s="172"/>
      <c r="D4" s="173"/>
      <c r="E4" s="173"/>
      <c r="F4" s="174"/>
      <c r="G4" s="174"/>
      <c r="H4" s="175"/>
      <c r="I4" s="176" t="s">
        <v>280</v>
      </c>
      <c r="J4" s="177" t="s">
        <v>281</v>
      </c>
      <c r="K4" s="178" t="s">
        <v>282</v>
      </c>
      <c r="L4" s="177" t="s">
        <v>283</v>
      </c>
      <c r="M4" s="177"/>
      <c r="N4" s="179"/>
      <c r="O4" s="180"/>
      <c r="P4" s="181" t="s">
        <v>284</v>
      </c>
      <c r="Q4" s="182"/>
      <c r="R4" s="183" t="s">
        <v>285</v>
      </c>
      <c r="S4" s="184"/>
      <c r="T4" s="185"/>
      <c r="U4" s="186" t="s">
        <v>286</v>
      </c>
      <c r="V4" s="187"/>
      <c r="W4" s="188"/>
      <c r="X4" s="512" t="s">
        <v>287</v>
      </c>
      <c r="Y4" s="513"/>
      <c r="Z4" s="513"/>
      <c r="AA4" s="189"/>
      <c r="AB4" s="512" t="s">
        <v>288</v>
      </c>
      <c r="AC4" s="513"/>
      <c r="AD4" s="514"/>
      <c r="AE4" s="190" t="s">
        <v>289</v>
      </c>
      <c r="AF4" s="191"/>
      <c r="AG4" s="191"/>
      <c r="AH4" s="192"/>
      <c r="AI4" s="193" t="s">
        <v>290</v>
      </c>
      <c r="AJ4" s="194"/>
      <c r="AK4" s="194"/>
      <c r="AL4" s="195"/>
      <c r="AM4" s="196" t="s">
        <v>291</v>
      </c>
      <c r="AN4" s="197"/>
      <c r="AO4" s="197"/>
      <c r="AP4" s="197"/>
      <c r="AQ4" s="197"/>
      <c r="AR4" s="197"/>
      <c r="AS4" s="197"/>
      <c r="AT4" s="197"/>
      <c r="AU4" s="197"/>
      <c r="AV4" s="197"/>
      <c r="AW4" s="197"/>
      <c r="AX4" s="198"/>
      <c r="AY4" s="198"/>
      <c r="AZ4" s="518"/>
      <c r="BA4" s="180"/>
      <c r="BB4" s="199" t="s">
        <v>292</v>
      </c>
      <c r="BC4" s="199"/>
      <c r="BD4" s="200"/>
      <c r="BE4" s="190" t="s">
        <v>289</v>
      </c>
      <c r="BF4" s="191"/>
      <c r="BG4" s="191"/>
      <c r="BH4" s="192"/>
      <c r="BI4" s="186" t="s">
        <v>290</v>
      </c>
      <c r="BJ4" s="187"/>
      <c r="BK4" s="187"/>
      <c r="BL4" s="187"/>
      <c r="BM4" s="188"/>
      <c r="BN4" s="196" t="s">
        <v>293</v>
      </c>
      <c r="BO4" s="197"/>
      <c r="BP4" s="197"/>
      <c r="BQ4" s="197"/>
      <c r="BR4" s="197"/>
      <c r="BS4" s="198"/>
      <c r="BT4" s="201" t="s">
        <v>294</v>
      </c>
      <c r="BU4" s="202"/>
      <c r="BV4" s="203"/>
      <c r="BW4" s="203"/>
      <c r="BX4" s="203"/>
      <c r="BY4" s="203"/>
      <c r="BZ4" s="203"/>
      <c r="CA4" s="203"/>
      <c r="CB4" s="204"/>
      <c r="CC4" s="204"/>
      <c r="CD4" s="204"/>
      <c r="CE4" s="204"/>
      <c r="CF4" s="204"/>
      <c r="CG4" s="205"/>
      <c r="CH4" s="206"/>
      <c r="CI4" s="207"/>
      <c r="CJ4" s="208"/>
      <c r="CK4" s="209"/>
      <c r="CL4" s="174"/>
      <c r="CM4" s="210"/>
      <c r="CN4" s="173"/>
      <c r="CO4" s="211"/>
      <c r="CP4" s="212"/>
      <c r="CQ4" s="207"/>
      <c r="CR4" s="213"/>
      <c r="CS4" s="213"/>
      <c r="CT4" s="214"/>
      <c r="CU4" s="208"/>
      <c r="CV4" s="207"/>
      <c r="CW4" s="208"/>
      <c r="CX4" s="523"/>
      <c r="CY4" s="524"/>
      <c r="CZ4" s="525"/>
      <c r="DB4" s="174"/>
      <c r="DC4" s="180"/>
      <c r="DD4" s="181" t="s">
        <v>284</v>
      </c>
      <c r="DE4" s="216"/>
      <c r="DF4" s="216"/>
      <c r="DG4" s="216"/>
      <c r="DH4" s="183" t="s">
        <v>295</v>
      </c>
      <c r="DI4" s="184"/>
      <c r="DJ4" s="184"/>
      <c r="DK4" s="184"/>
      <c r="DL4" s="184"/>
      <c r="DM4" s="186" t="s">
        <v>286</v>
      </c>
      <c r="DN4" s="187"/>
      <c r="DO4" s="187"/>
      <c r="DP4" s="187"/>
      <c r="DQ4" s="188"/>
      <c r="DR4" s="513" t="s">
        <v>287</v>
      </c>
      <c r="DS4" s="513"/>
      <c r="DT4" s="513"/>
      <c r="DU4" s="513" t="s">
        <v>288</v>
      </c>
      <c r="DV4" s="513"/>
      <c r="DW4" s="513"/>
      <c r="DX4" s="514"/>
      <c r="DY4" s="217"/>
      <c r="DZ4" s="189"/>
      <c r="EA4" s="190" t="s">
        <v>289</v>
      </c>
      <c r="EB4" s="191"/>
      <c r="EC4" s="191"/>
      <c r="ED4" s="191"/>
      <c r="EE4" s="191"/>
      <c r="EF4" s="193" t="s">
        <v>290</v>
      </c>
      <c r="EG4" s="194"/>
      <c r="EH4" s="194"/>
      <c r="EI4" s="194"/>
      <c r="EJ4" s="195"/>
      <c r="EK4" s="196" t="s">
        <v>291</v>
      </c>
      <c r="EL4" s="197"/>
      <c r="EM4" s="197"/>
      <c r="EN4" s="197"/>
      <c r="EO4" s="197"/>
      <c r="EP4" s="197"/>
      <c r="EQ4" s="197"/>
      <c r="ER4" s="197"/>
      <c r="ES4" s="197"/>
      <c r="ET4" s="197"/>
      <c r="EU4" s="197"/>
      <c r="EV4" s="197"/>
      <c r="EW4" s="197"/>
      <c r="EX4" s="197"/>
      <c r="EY4" s="197"/>
      <c r="EZ4" s="197"/>
      <c r="FA4" s="218" t="s">
        <v>296</v>
      </c>
      <c r="FB4" s="218" t="s">
        <v>297</v>
      </c>
      <c r="FC4" s="219"/>
      <c r="FD4" s="220" t="s">
        <v>292</v>
      </c>
      <c r="FE4" s="199"/>
      <c r="FF4" s="199"/>
      <c r="FG4" s="199"/>
      <c r="FH4" s="199"/>
      <c r="FI4" s="200"/>
      <c r="FJ4" s="190" t="s">
        <v>289</v>
      </c>
      <c r="FK4" s="191"/>
      <c r="FL4" s="191"/>
      <c r="FM4" s="191"/>
      <c r="FN4" s="192"/>
      <c r="FO4" s="186" t="s">
        <v>290</v>
      </c>
      <c r="FP4" s="187"/>
      <c r="FQ4" s="187"/>
      <c r="FR4" s="187"/>
      <c r="FS4" s="187"/>
      <c r="FT4" s="188"/>
      <c r="FU4" s="196" t="s">
        <v>293</v>
      </c>
      <c r="FV4" s="197"/>
      <c r="FW4" s="197"/>
      <c r="FX4" s="197"/>
      <c r="FY4" s="197"/>
      <c r="FZ4" s="197"/>
      <c r="GA4" s="221"/>
      <c r="GB4" s="221"/>
      <c r="GC4" s="222" t="s">
        <v>298</v>
      </c>
      <c r="GD4" s="222" t="s">
        <v>297</v>
      </c>
      <c r="GE4" s="223"/>
      <c r="GF4" s="224"/>
      <c r="GG4" s="224"/>
      <c r="GH4" s="224"/>
      <c r="GI4" s="225" t="s">
        <v>299</v>
      </c>
      <c r="GJ4" s="225" t="s">
        <v>299</v>
      </c>
      <c r="GK4" s="226" t="s">
        <v>300</v>
      </c>
    </row>
    <row r="5" spans="2:871" s="253" customFormat="1" ht="181.5" x14ac:dyDescent="0.15">
      <c r="B5" s="227" t="s">
        <v>301</v>
      </c>
      <c r="C5" s="228"/>
      <c r="D5" s="229"/>
      <c r="E5" s="230" t="s">
        <v>302</v>
      </c>
      <c r="F5" s="231" t="s">
        <v>303</v>
      </c>
      <c r="G5" s="231"/>
      <c r="H5" s="232"/>
      <c r="I5" s="233"/>
      <c r="J5" s="234"/>
      <c r="K5" s="142"/>
      <c r="L5" s="234"/>
      <c r="M5" s="141" t="s">
        <v>304</v>
      </c>
      <c r="N5" s="235" t="s">
        <v>305</v>
      </c>
      <c r="O5" s="236" t="s">
        <v>306</v>
      </c>
      <c r="P5" s="237" t="s">
        <v>307</v>
      </c>
      <c r="Q5" s="222" t="s">
        <v>308</v>
      </c>
      <c r="R5" s="238" t="s">
        <v>309</v>
      </c>
      <c r="S5" s="237" t="s">
        <v>307</v>
      </c>
      <c r="T5" s="222" t="s">
        <v>308</v>
      </c>
      <c r="U5" s="238" t="s">
        <v>309</v>
      </c>
      <c r="V5" s="237" t="s">
        <v>307</v>
      </c>
      <c r="W5" s="222" t="s">
        <v>308</v>
      </c>
      <c r="X5" s="239" t="s">
        <v>309</v>
      </c>
      <c r="Y5" s="240" t="s">
        <v>310</v>
      </c>
      <c r="Z5" s="239" t="s">
        <v>311</v>
      </c>
      <c r="AA5" s="241" t="s">
        <v>312</v>
      </c>
      <c r="AB5" s="239" t="s">
        <v>309</v>
      </c>
      <c r="AC5" s="240" t="s">
        <v>313</v>
      </c>
      <c r="AD5" s="239" t="s">
        <v>311</v>
      </c>
      <c r="AE5" s="238" t="s">
        <v>309</v>
      </c>
      <c r="AF5" s="237" t="s">
        <v>314</v>
      </c>
      <c r="AG5" s="242" t="s">
        <v>315</v>
      </c>
      <c r="AH5" s="222" t="s">
        <v>308</v>
      </c>
      <c r="AI5" s="238" t="s">
        <v>316</v>
      </c>
      <c r="AJ5" s="237" t="s">
        <v>317</v>
      </c>
      <c r="AK5" s="237" t="s">
        <v>318</v>
      </c>
      <c r="AL5" s="222" t="s">
        <v>308</v>
      </c>
      <c r="AM5" s="239" t="s">
        <v>316</v>
      </c>
      <c r="AN5" s="236" t="s">
        <v>319</v>
      </c>
      <c r="AO5" s="236" t="s">
        <v>320</v>
      </c>
      <c r="AP5" s="236" t="s">
        <v>321</v>
      </c>
      <c r="AQ5" s="236" t="s">
        <v>322</v>
      </c>
      <c r="AR5" s="236" t="s">
        <v>323</v>
      </c>
      <c r="AS5" s="236" t="s">
        <v>324</v>
      </c>
      <c r="AT5" s="236" t="s">
        <v>325</v>
      </c>
      <c r="AU5" s="239" t="s">
        <v>326</v>
      </c>
      <c r="AV5" s="241" t="s">
        <v>308</v>
      </c>
      <c r="AW5" s="236" t="s">
        <v>327</v>
      </c>
      <c r="AX5" s="236" t="s">
        <v>328</v>
      </c>
      <c r="AY5" s="236" t="s">
        <v>328</v>
      </c>
      <c r="AZ5" s="519"/>
      <c r="BA5" s="243" t="s">
        <v>329</v>
      </c>
      <c r="BB5" s="244" t="s">
        <v>330</v>
      </c>
      <c r="BC5" s="245" t="s">
        <v>331</v>
      </c>
      <c r="BD5" s="241" t="s">
        <v>332</v>
      </c>
      <c r="BE5" s="238" t="s">
        <v>309</v>
      </c>
      <c r="BF5" s="237" t="s">
        <v>333</v>
      </c>
      <c r="BG5" s="242" t="s">
        <v>334</v>
      </c>
      <c r="BH5" s="222" t="s">
        <v>332</v>
      </c>
      <c r="BI5" s="238" t="s">
        <v>309</v>
      </c>
      <c r="BJ5" s="237" t="s">
        <v>335</v>
      </c>
      <c r="BK5" s="237" t="s">
        <v>336</v>
      </c>
      <c r="BL5" s="237" t="s">
        <v>337</v>
      </c>
      <c r="BM5" s="222" t="s">
        <v>332</v>
      </c>
      <c r="BN5" s="238" t="s">
        <v>316</v>
      </c>
      <c r="BO5" s="237" t="s">
        <v>338</v>
      </c>
      <c r="BP5" s="237" t="s">
        <v>339</v>
      </c>
      <c r="BQ5" s="237" t="s">
        <v>340</v>
      </c>
      <c r="BR5" s="222" t="s">
        <v>341</v>
      </c>
      <c r="BS5" s="236" t="s">
        <v>328</v>
      </c>
      <c r="BT5" s="246" t="s">
        <v>342</v>
      </c>
      <c r="BU5" s="515" t="s">
        <v>343</v>
      </c>
      <c r="BV5" s="516"/>
      <c r="BW5" s="516"/>
      <c r="BX5" s="516"/>
      <c r="BY5" s="516"/>
      <c r="BZ5" s="517"/>
      <c r="CA5" s="515" t="s">
        <v>344</v>
      </c>
      <c r="CB5" s="516"/>
      <c r="CC5" s="516"/>
      <c r="CD5" s="516"/>
      <c r="CE5" s="516"/>
      <c r="CF5" s="517"/>
      <c r="CG5" s="247" t="s">
        <v>345</v>
      </c>
      <c r="CH5" s="248" t="s">
        <v>346</v>
      </c>
      <c r="CI5" s="249" t="s">
        <v>347</v>
      </c>
      <c r="CJ5" s="249" t="s">
        <v>348</v>
      </c>
      <c r="CK5" s="250" t="s">
        <v>349</v>
      </c>
      <c r="CL5" s="249" t="s">
        <v>350</v>
      </c>
      <c r="CM5" s="249" t="s">
        <v>351</v>
      </c>
      <c r="CN5" s="250" t="s">
        <v>352</v>
      </c>
      <c r="CO5" s="247" t="s">
        <v>353</v>
      </c>
      <c r="CP5" s="176" t="s">
        <v>354</v>
      </c>
      <c r="CQ5" s="249" t="s">
        <v>355</v>
      </c>
      <c r="CR5" s="251" t="s">
        <v>356</v>
      </c>
      <c r="CS5" s="251" t="s">
        <v>357</v>
      </c>
      <c r="CT5" s="249" t="s">
        <v>358</v>
      </c>
      <c r="CU5" s="249" t="s">
        <v>359</v>
      </c>
      <c r="CV5" s="249" t="s">
        <v>360</v>
      </c>
      <c r="CW5" s="249" t="s">
        <v>361</v>
      </c>
      <c r="CX5" s="252" t="s">
        <v>362</v>
      </c>
      <c r="CY5" s="252" t="s">
        <v>363</v>
      </c>
      <c r="CZ5" s="252" t="s">
        <v>364</v>
      </c>
      <c r="DB5" s="231"/>
      <c r="DC5" s="236" t="s">
        <v>306</v>
      </c>
      <c r="DD5" s="236" t="s">
        <v>307</v>
      </c>
      <c r="DE5" s="236" t="s">
        <v>365</v>
      </c>
      <c r="DF5" s="254" t="s">
        <v>366</v>
      </c>
      <c r="DG5" s="254" t="s">
        <v>367</v>
      </c>
      <c r="DH5" s="239" t="s">
        <v>309</v>
      </c>
      <c r="DI5" s="236" t="s">
        <v>307</v>
      </c>
      <c r="DJ5" s="236" t="s">
        <v>368</v>
      </c>
      <c r="DK5" s="255" t="s">
        <v>366</v>
      </c>
      <c r="DL5" s="255" t="s">
        <v>367</v>
      </c>
      <c r="DM5" s="239" t="s">
        <v>309</v>
      </c>
      <c r="DN5" s="236" t="s">
        <v>307</v>
      </c>
      <c r="DO5" s="236" t="s">
        <v>369</v>
      </c>
      <c r="DP5" s="255" t="s">
        <v>366</v>
      </c>
      <c r="DQ5" s="255" t="s">
        <v>367</v>
      </c>
      <c r="DR5" s="239" t="s">
        <v>309</v>
      </c>
      <c r="DS5" s="240" t="s">
        <v>310</v>
      </c>
      <c r="DT5" s="239" t="s">
        <v>311</v>
      </c>
      <c r="DU5" s="239" t="s">
        <v>309</v>
      </c>
      <c r="DV5" s="240" t="s">
        <v>313</v>
      </c>
      <c r="DW5" s="256" t="s">
        <v>370</v>
      </c>
      <c r="DX5" s="239" t="s">
        <v>311</v>
      </c>
      <c r="DY5" s="255" t="s">
        <v>366</v>
      </c>
      <c r="DZ5" s="255" t="s">
        <v>367</v>
      </c>
      <c r="EA5" s="239" t="s">
        <v>309</v>
      </c>
      <c r="EB5" s="236" t="s">
        <v>314</v>
      </c>
      <c r="EC5" s="236" t="s">
        <v>315</v>
      </c>
      <c r="ED5" s="255" t="s">
        <v>366</v>
      </c>
      <c r="EE5" s="255" t="s">
        <v>367</v>
      </c>
      <c r="EF5" s="239" t="s">
        <v>316</v>
      </c>
      <c r="EG5" s="236" t="s">
        <v>317</v>
      </c>
      <c r="EH5" s="236" t="s">
        <v>318</v>
      </c>
      <c r="EI5" s="255" t="s">
        <v>366</v>
      </c>
      <c r="EJ5" s="255" t="s">
        <v>367</v>
      </c>
      <c r="EK5" s="239" t="s">
        <v>316</v>
      </c>
      <c r="EL5" s="236" t="s">
        <v>319</v>
      </c>
      <c r="EM5" s="236" t="s">
        <v>320</v>
      </c>
      <c r="EN5" s="236" t="s">
        <v>321</v>
      </c>
      <c r="EO5" s="236" t="s">
        <v>322</v>
      </c>
      <c r="EP5" s="236" t="s">
        <v>323</v>
      </c>
      <c r="EQ5" s="236" t="s">
        <v>324</v>
      </c>
      <c r="ER5" s="236" t="s">
        <v>325</v>
      </c>
      <c r="ES5" s="239" t="s">
        <v>326</v>
      </c>
      <c r="ET5" s="255" t="s">
        <v>366</v>
      </c>
      <c r="EU5" s="255" t="s">
        <v>367</v>
      </c>
      <c r="EV5" s="236" t="s">
        <v>327</v>
      </c>
      <c r="EW5" s="236" t="s">
        <v>328</v>
      </c>
      <c r="EX5" s="236" t="s">
        <v>328</v>
      </c>
      <c r="EY5" s="236" t="s">
        <v>371</v>
      </c>
      <c r="EZ5" s="236" t="s">
        <v>372</v>
      </c>
      <c r="FA5" s="257"/>
      <c r="FB5" s="257"/>
      <c r="FC5" s="258" t="s">
        <v>329</v>
      </c>
      <c r="FD5" s="259" t="s">
        <v>330</v>
      </c>
      <c r="FE5" s="260" t="s">
        <v>373</v>
      </c>
      <c r="FF5" s="261" t="s">
        <v>331</v>
      </c>
      <c r="FG5" s="261" t="s">
        <v>370</v>
      </c>
      <c r="FH5" s="255" t="s">
        <v>366</v>
      </c>
      <c r="FI5" s="255" t="s">
        <v>367</v>
      </c>
      <c r="FJ5" s="239" t="s">
        <v>309</v>
      </c>
      <c r="FK5" s="236" t="s">
        <v>374</v>
      </c>
      <c r="FL5" s="236" t="s">
        <v>375</v>
      </c>
      <c r="FM5" s="255" t="s">
        <v>366</v>
      </c>
      <c r="FN5" s="255" t="s">
        <v>367</v>
      </c>
      <c r="FO5" s="239" t="s">
        <v>376</v>
      </c>
      <c r="FP5" s="236" t="s">
        <v>377</v>
      </c>
      <c r="FQ5" s="236" t="s">
        <v>378</v>
      </c>
      <c r="FR5" s="236" t="s">
        <v>379</v>
      </c>
      <c r="FS5" s="255" t="s">
        <v>366</v>
      </c>
      <c r="FT5" s="255" t="s">
        <v>367</v>
      </c>
      <c r="FU5" s="239" t="s">
        <v>376</v>
      </c>
      <c r="FV5" s="236" t="s">
        <v>338</v>
      </c>
      <c r="FW5" s="236" t="s">
        <v>339</v>
      </c>
      <c r="FX5" s="236" t="s">
        <v>340</v>
      </c>
      <c r="FY5" s="255" t="s">
        <v>366</v>
      </c>
      <c r="FZ5" s="255" t="s">
        <v>367</v>
      </c>
      <c r="GA5" s="262" t="s">
        <v>328</v>
      </c>
      <c r="GB5" s="262" t="s">
        <v>371</v>
      </c>
      <c r="GC5" s="255"/>
      <c r="GD5" s="255"/>
      <c r="GE5" s="263" t="s">
        <v>380</v>
      </c>
      <c r="GF5" s="264" t="s">
        <v>381</v>
      </c>
      <c r="GG5" s="264" t="s">
        <v>382</v>
      </c>
      <c r="GH5" s="264" t="s">
        <v>383</v>
      </c>
      <c r="GI5" s="265" t="s">
        <v>384</v>
      </c>
      <c r="GJ5" s="265" t="s">
        <v>385</v>
      </c>
      <c r="GK5" s="265" t="s">
        <v>386</v>
      </c>
    </row>
    <row r="6" spans="2:871" s="291" customFormat="1" ht="15.75" hidden="1" customHeight="1" x14ac:dyDescent="0.15">
      <c r="B6" s="266" t="str">
        <f t="shared" ref="B6:B11" si="0">IF(GH6&gt;0,"支払済",IF(GE6="取下",GE6,IF(GE6="取消",GE6,"")))</f>
        <v>支払済</v>
      </c>
      <c r="C6" s="267" t="s">
        <v>387</v>
      </c>
      <c r="D6" s="268" t="s">
        <v>388</v>
      </c>
      <c r="E6" s="269" t="str">
        <f>IF(D6="登録","登録",IF(D5="登録","建売購入",""))</f>
        <v/>
      </c>
      <c r="F6" s="270"/>
      <c r="G6" s="270"/>
      <c r="H6" s="271">
        <v>43191</v>
      </c>
      <c r="I6" s="272" t="s">
        <v>389</v>
      </c>
      <c r="J6" s="273" t="s">
        <v>390</v>
      </c>
      <c r="K6" s="272"/>
      <c r="L6" s="273" t="s">
        <v>391</v>
      </c>
      <c r="M6" s="273" t="s">
        <v>392</v>
      </c>
      <c r="N6" s="274" t="s">
        <v>393</v>
      </c>
      <c r="O6" s="275">
        <v>35</v>
      </c>
      <c r="P6" s="275">
        <v>25</v>
      </c>
      <c r="Q6" s="276">
        <f>IF(P6&gt;=10,150,0)</f>
        <v>150</v>
      </c>
      <c r="R6" s="275">
        <f>IF(S6&gt;=1,1,"")</f>
        <v>1</v>
      </c>
      <c r="S6" s="275">
        <v>19</v>
      </c>
      <c r="T6" s="277">
        <f>IF(Q6=0,0,IF(S6&gt;=25,MIN(250,ROUNDDOWN(S6*10,-1)),IF(S6&gt;=20,MIN(200,ROUNDDOWN(S6*10,-1)),IF(S6&gt;=15,MIN(150,ROUNDDOWN(S6*10,-1)),MIN(100,ROUNDDOWN(S6*10,-1))))))</f>
        <v>150</v>
      </c>
      <c r="U6" s="275">
        <f>IF(V6&gt;=1,1,"")</f>
        <v>1</v>
      </c>
      <c r="V6" s="275">
        <v>7</v>
      </c>
      <c r="W6" s="277">
        <f>IF(AND(Q6&gt;0,V6&gt;=1),MIN(INT(V6)*20,200),0)</f>
        <v>140</v>
      </c>
      <c r="X6" s="275">
        <f>IF(Y6&gt;=1,1,"")</f>
        <v>1</v>
      </c>
      <c r="Y6" s="275">
        <v>1</v>
      </c>
      <c r="Z6" s="275">
        <f>IF(Y6&gt;=1,50,0)</f>
        <v>50</v>
      </c>
      <c r="AA6" s="276">
        <f t="shared" ref="AA6:AA10" si="1">IF(OR(AD6&gt;0,Z6&gt;0),MIN(AD6+Z6,150),0)</f>
        <v>72</v>
      </c>
      <c r="AB6" s="275">
        <f>IF(AC6&gt;=1,1,"")</f>
        <v>1</v>
      </c>
      <c r="AC6" s="275">
        <v>11</v>
      </c>
      <c r="AD6" s="275">
        <f t="shared" ref="AD6:AD10" si="2">IF(AND(Q6&gt;0,AC6&gt;=1),MIN(INT(AC6)*2,150),0)</f>
        <v>22</v>
      </c>
      <c r="AE6" s="275">
        <f>IF(OR(AF6=1,AG6=1),1,"")</f>
        <v>1</v>
      </c>
      <c r="AF6" s="275"/>
      <c r="AG6" s="275">
        <v>1</v>
      </c>
      <c r="AH6" s="276" t="e">
        <f>IF(AND(Q6&gt;0,AE6=1,#REF!=""),100,0)</f>
        <v>#REF!</v>
      </c>
      <c r="AI6" s="275">
        <f>IF(OR(AJ6=1,AK6=1),1,"")</f>
        <v>1</v>
      </c>
      <c r="AJ6" s="275">
        <v>1</v>
      </c>
      <c r="AK6" s="275"/>
      <c r="AL6" s="276">
        <f t="shared" ref="AL6:AL10" si="3">IF(AND(Q6&gt;0,AE6=1,AI6=1),100,0)</f>
        <v>100</v>
      </c>
      <c r="AM6" s="275">
        <f>IF(AU6&gt;=4,1,"")</f>
        <v>1</v>
      </c>
      <c r="AN6" s="275"/>
      <c r="AO6" s="275"/>
      <c r="AP6" s="275">
        <v>1</v>
      </c>
      <c r="AQ6" s="275">
        <v>2</v>
      </c>
      <c r="AR6" s="275"/>
      <c r="AS6" s="275">
        <v>1</v>
      </c>
      <c r="AT6" s="275">
        <v>1</v>
      </c>
      <c r="AU6" s="275">
        <f>SUM(AN6:AT6)</f>
        <v>5</v>
      </c>
      <c r="AV6" s="276">
        <f>IF(AU6&gt;=4,200,0)</f>
        <v>200</v>
      </c>
      <c r="AW6" s="278" t="s">
        <v>394</v>
      </c>
      <c r="AX6" s="278" t="s">
        <v>395</v>
      </c>
      <c r="AY6" s="278" t="s">
        <v>395</v>
      </c>
      <c r="AZ6" s="276" t="e">
        <f>IF(OR(D6="新築",D6="登録"),MIN(1000,Q6+T6+W6+AA6+AH6+AL6+AV6),0)</f>
        <v>#REF!</v>
      </c>
      <c r="BA6" s="278"/>
      <c r="BB6" s="279"/>
      <c r="BC6" s="278"/>
      <c r="BD6" s="276">
        <f>MIN(ROUNDDOWN(BB6,1)*20+INT(BC6)*2,250)</f>
        <v>0</v>
      </c>
      <c r="BE6" s="275" t="str">
        <f>IF(OR(BF6=1,BG6=1),1,"")</f>
        <v/>
      </c>
      <c r="BF6" s="280"/>
      <c r="BG6" s="280"/>
      <c r="BH6" s="276" t="e">
        <f>IF(AND(BD6&gt;0,BE6=1,#REF!=""),100,0)</f>
        <v>#REF!</v>
      </c>
      <c r="BI6" s="275" t="str">
        <f>IF(OR(BJ6=1,BK6=1,BL6=1),1,"")</f>
        <v/>
      </c>
      <c r="BJ6" s="278"/>
      <c r="BK6" s="278"/>
      <c r="BL6" s="278"/>
      <c r="BM6" s="276">
        <f>IF(AND(BD6&gt;0,BI6=1),100,IF(AND(BD6&gt;0,BL6=1),100,0))</f>
        <v>0</v>
      </c>
      <c r="BN6" s="275" t="str">
        <f>IF(OR(AND(BO6&gt;=7,BP6&gt;=7,BO6+BP6&gt;=14),AND(BO6&gt;=7,BQ6&gt;=3,BO6+BQ6&gt;=10),AND(BP6&gt;=7,BQ6&gt;=3,BP6+BQ6&gt;=10)),1,"")</f>
        <v/>
      </c>
      <c r="BO6" s="278"/>
      <c r="BP6" s="278"/>
      <c r="BQ6" s="278"/>
      <c r="BR6" s="276">
        <f>IF(AND(BN6=1,BD6&gt;0),MIN(150,ROUNDDOWN(BO6*11+BP6*13+BQ6*19,0)),0)</f>
        <v>0</v>
      </c>
      <c r="BS6" s="278"/>
      <c r="BT6" s="276">
        <f>IF(D6="改修",MIN(500,BD6+BH6+BM6+BR6,INT(CM6*10/2)),0)</f>
        <v>0</v>
      </c>
      <c r="BU6" s="281"/>
      <c r="BV6" s="282" t="s">
        <v>9</v>
      </c>
      <c r="BW6" s="283"/>
      <c r="BX6" s="282" t="s">
        <v>396</v>
      </c>
      <c r="BY6" s="283"/>
      <c r="BZ6" s="284" t="s">
        <v>8</v>
      </c>
      <c r="CA6" s="281"/>
      <c r="CB6" s="282" t="s">
        <v>9</v>
      </c>
      <c r="CC6" s="283"/>
      <c r="CD6" s="282" t="s">
        <v>396</v>
      </c>
      <c r="CE6" s="283"/>
      <c r="CF6" s="284" t="s">
        <v>8</v>
      </c>
      <c r="CG6" s="271">
        <v>43200</v>
      </c>
      <c r="CH6" s="285" t="e">
        <f>AZ6+BT6</f>
        <v>#REF!</v>
      </c>
      <c r="CI6" s="272" t="s">
        <v>397</v>
      </c>
      <c r="CJ6" s="272" t="s">
        <v>398</v>
      </c>
      <c r="CK6" s="268" t="s">
        <v>399</v>
      </c>
      <c r="CL6" s="272">
        <v>120</v>
      </c>
      <c r="CM6" s="286">
        <v>2500</v>
      </c>
      <c r="CN6" s="273" t="s">
        <v>400</v>
      </c>
      <c r="CO6" s="271"/>
      <c r="CP6" s="270"/>
      <c r="CQ6" s="270"/>
      <c r="CR6" s="271"/>
      <c r="CS6" s="271"/>
      <c r="CT6" s="270"/>
      <c r="CU6" s="270"/>
      <c r="CV6" s="270"/>
      <c r="CW6" s="270"/>
      <c r="CX6" s="270"/>
      <c r="CY6" s="270"/>
      <c r="CZ6" s="270"/>
      <c r="DA6" s="287"/>
      <c r="DB6" s="270"/>
      <c r="DC6" s="275">
        <v>30</v>
      </c>
      <c r="DD6" s="275">
        <v>25</v>
      </c>
      <c r="DE6" s="280" t="s">
        <v>401</v>
      </c>
      <c r="DF6" s="276">
        <f t="shared" ref="DF6:DF10" si="4">IF(DD6&gt;=10,150,0)</f>
        <v>150</v>
      </c>
      <c r="DG6" s="276">
        <f>MIN(Q6,DF6)</f>
        <v>150</v>
      </c>
      <c r="DH6" s="275">
        <f>IF(DI6&gt;=1,1,"")</f>
        <v>1</v>
      </c>
      <c r="DI6" s="275">
        <v>18</v>
      </c>
      <c r="DJ6" s="280" t="s">
        <v>401</v>
      </c>
      <c r="DK6" s="277">
        <f>IF(DF6=0,0,IF(DI6&gt;=25,MIN(250,ROUNDDOWN(DI6*10,-1)),IF(DI6&gt;=20,MIN(200,ROUNDDOWN(DI6*10,-1)),IF(DI6&gt;=15,MIN(150,ROUNDDOWN(DI6*10,-1)),MIN(100,ROUNDDOWN(DI6*10,-1))))))</f>
        <v>150</v>
      </c>
      <c r="DL6" s="276">
        <f>MIN(T6,DK6)</f>
        <v>150</v>
      </c>
      <c r="DM6" s="275">
        <f>IF(DN6&gt;=1,1,"")</f>
        <v>1</v>
      </c>
      <c r="DN6" s="275">
        <v>10</v>
      </c>
      <c r="DO6" s="280" t="s">
        <v>402</v>
      </c>
      <c r="DP6" s="277">
        <f>IF(AND(DF6&gt;0,DN6&gt;=1),MIN(INT(DN6)*20,200),0)</f>
        <v>200</v>
      </c>
      <c r="DQ6" s="276">
        <f>MIN(W6,DP6)</f>
        <v>140</v>
      </c>
      <c r="DR6" s="275" t="str">
        <f>IF(DS6&gt;=1,1,"")</f>
        <v/>
      </c>
      <c r="DS6" s="275"/>
      <c r="DT6" s="275">
        <f t="shared" ref="DT6:DT10" si="5">IF(AND(DS6&gt;=1,DF6&gt;=1),50,0)</f>
        <v>0</v>
      </c>
      <c r="DU6" s="275">
        <f>IF(DV6&gt;=1,1,"")</f>
        <v>1</v>
      </c>
      <c r="DV6" s="275">
        <v>15</v>
      </c>
      <c r="DW6" s="280" t="s">
        <v>403</v>
      </c>
      <c r="DX6" s="275">
        <f>IF(AND(DF6&gt;0,DV6&gt;=1),MIN(INT(DV6)*2,150),0)</f>
        <v>30</v>
      </c>
      <c r="DY6" s="276">
        <f t="shared" ref="DY6:DY10" si="6">IF(OR(DX6&gt;0,DT6&gt;0),MIN(DX6+DT6,150),0)</f>
        <v>30</v>
      </c>
      <c r="DZ6" s="276">
        <f>MIN(AA6,DY6)</f>
        <v>30</v>
      </c>
      <c r="EA6" s="275">
        <f>IF(OR(EB6=1,EC6=1),1,"")</f>
        <v>1</v>
      </c>
      <c r="EB6" s="275">
        <v>1</v>
      </c>
      <c r="EC6" s="275"/>
      <c r="ED6" s="276" t="e">
        <f>IF(AND(DF6&gt;0,EA6=1,#REF!=""),100,0)</f>
        <v>#REF!</v>
      </c>
      <c r="EE6" s="276" t="e">
        <f>MIN(AH6,ED6)</f>
        <v>#REF!</v>
      </c>
      <c r="EF6" s="275">
        <f>IF(OR(EG6=1,EH6=1),1,"")</f>
        <v>1</v>
      </c>
      <c r="EG6" s="275">
        <v>1</v>
      </c>
      <c r="EH6" s="275"/>
      <c r="EI6" s="276">
        <f t="shared" ref="EI6:EI10" si="7">IF(AND(DF6&gt;0,EA6=1,EF6=1),100,0)</f>
        <v>100</v>
      </c>
      <c r="EJ6" s="276">
        <f>MIN(AL6,EI6)</f>
        <v>100</v>
      </c>
      <c r="EK6" s="275">
        <f>IF(ES6&gt;=4,1,"")</f>
        <v>1</v>
      </c>
      <c r="EL6" s="275"/>
      <c r="EM6" s="275"/>
      <c r="EN6" s="275"/>
      <c r="EO6" s="275">
        <v>2</v>
      </c>
      <c r="EP6" s="275"/>
      <c r="EQ6" s="275">
        <v>1</v>
      </c>
      <c r="ER6" s="275">
        <v>1</v>
      </c>
      <c r="ES6" s="275">
        <f>SUM(EL6:ER6)</f>
        <v>4</v>
      </c>
      <c r="ET6" s="276">
        <f>IF(ES6&gt;=4,200,0)</f>
        <v>200</v>
      </c>
      <c r="EU6" s="276">
        <f>MIN(AV6,ET6)</f>
        <v>200</v>
      </c>
      <c r="EV6" s="278" t="s">
        <v>394</v>
      </c>
      <c r="EW6" s="278"/>
      <c r="EX6" s="278"/>
      <c r="EY6" s="278"/>
      <c r="EZ6" s="278" t="s">
        <v>404</v>
      </c>
      <c r="FA6" s="276" t="e">
        <f>IF(D6="新築",MIN(1500,CH6,MIN(DG6+DL6+DQ6+DZ6+EE6+EJ6+EU6,1000)),0)</f>
        <v>#REF!</v>
      </c>
      <c r="FB6" s="276" t="e">
        <f t="shared" ref="FB6:FB10" si="8">AZ6-FA6</f>
        <v>#REF!</v>
      </c>
      <c r="FC6" s="278"/>
      <c r="FD6" s="288"/>
      <c r="FE6" s="288"/>
      <c r="FF6" s="278"/>
      <c r="FG6" s="278"/>
      <c r="FH6" s="276">
        <f>MIN(ROUNDDOWN(FD6,1)*20+INT(FF6)*2,250)</f>
        <v>0</v>
      </c>
      <c r="FI6" s="276">
        <f t="shared" ref="FI6:FI10" si="9">MIN(BD6,FH6)</f>
        <v>0</v>
      </c>
      <c r="FJ6" s="275" t="str">
        <f>IF(OR(FK6=1,FL6=1),1,"")</f>
        <v/>
      </c>
      <c r="FK6" s="280"/>
      <c r="FL6" s="280"/>
      <c r="FM6" s="276" t="e">
        <f>IF(AND(FH6&gt;0,FJ6=1,#REF!=""),100,0)</f>
        <v>#REF!</v>
      </c>
      <c r="FN6" s="276" t="e">
        <f t="shared" ref="FN6:FN10" si="10">MIN(BH6,FM6)</f>
        <v>#REF!</v>
      </c>
      <c r="FO6" s="275" t="str">
        <f>IF(OR(FP6=1,FQ6=1,FR6=1),1,"")</f>
        <v/>
      </c>
      <c r="FP6" s="278"/>
      <c r="FQ6" s="278"/>
      <c r="FR6" s="278"/>
      <c r="FS6" s="276">
        <f>IF(AND(FH6&gt;0,FO6=1),100,IF(AND(FH6&gt;0,FR6=1),100,0))</f>
        <v>0</v>
      </c>
      <c r="FT6" s="276">
        <f t="shared" ref="FT6:FT10" si="11">MIN(BM6,FS6)</f>
        <v>0</v>
      </c>
      <c r="FU6" s="275" t="str">
        <f>IF(OR(AND(FV6&gt;=7,FW6&gt;=7,FV6+FW6&gt;=14),AND(FV6&gt;=7,FX6&gt;=3,FV6+FX6&gt;=10),AND(FW6&gt;=7,FX6&gt;=3,FW6+FX6&gt;=10)),1,"")</f>
        <v/>
      </c>
      <c r="FV6" s="278"/>
      <c r="FW6" s="278"/>
      <c r="FX6" s="278"/>
      <c r="FY6" s="276">
        <f>IF(AND(FU6=1,FH6&gt;0),MIN(150,ROUNDDOWN(FV6*11+FW6*13+FX6*19,0)),0)</f>
        <v>0</v>
      </c>
      <c r="FZ6" s="276">
        <f t="shared" ref="FZ6:FZ10" si="12">MIN(BR6,FY6)</f>
        <v>0</v>
      </c>
      <c r="GA6" s="278"/>
      <c r="GB6" s="278"/>
      <c r="GC6" s="276">
        <f>IF(D6="改修",MIN(500,FI6+FN6+FT6+FZ6,INT(CM6*10/2)),0)</f>
        <v>0</v>
      </c>
      <c r="GD6" s="276">
        <f t="shared" ref="GD6:GD10" si="13">BT6-GC6</f>
        <v>0</v>
      </c>
      <c r="GE6" s="289" t="s">
        <v>405</v>
      </c>
      <c r="GF6" s="290">
        <v>43374</v>
      </c>
      <c r="GG6" s="290">
        <v>43378</v>
      </c>
      <c r="GH6" s="290">
        <v>43391</v>
      </c>
      <c r="GI6" s="285" t="e">
        <f>IF(D6="新築",AZ6,IF(D6="改修",BT6,0))</f>
        <v>#REF!</v>
      </c>
      <c r="GJ6" s="285" t="e">
        <f t="shared" ref="GJ6:GJ11" si="14">IF(D6="新築",FA6,IF(D6="改修",GC6,0))</f>
        <v>#REF!</v>
      </c>
      <c r="GK6" s="285" t="e">
        <f>GI6-GJ6</f>
        <v>#REF!</v>
      </c>
      <c r="GL6" s="287"/>
      <c r="GM6" s="287"/>
      <c r="GN6" s="287"/>
      <c r="GO6" s="287"/>
      <c r="GP6" s="287"/>
      <c r="GQ6" s="287"/>
      <c r="GR6" s="287"/>
      <c r="GS6" s="287"/>
      <c r="GT6" s="287"/>
      <c r="GU6" s="287"/>
      <c r="GV6" s="287"/>
      <c r="GW6" s="287"/>
      <c r="GX6" s="287"/>
      <c r="GY6" s="287"/>
      <c r="GZ6" s="287"/>
      <c r="HA6" s="287"/>
      <c r="HB6" s="287"/>
      <c r="HC6" s="287"/>
      <c r="HD6" s="287"/>
      <c r="HE6" s="287"/>
      <c r="HF6" s="287"/>
      <c r="HG6" s="287"/>
      <c r="HH6" s="287"/>
      <c r="HI6" s="287"/>
      <c r="HJ6" s="287"/>
      <c r="HK6" s="287"/>
      <c r="HL6" s="287"/>
      <c r="HM6" s="287"/>
      <c r="HN6" s="287"/>
      <c r="HO6" s="287"/>
      <c r="HP6" s="287"/>
      <c r="HQ6" s="287"/>
      <c r="HR6" s="287"/>
      <c r="HS6" s="287"/>
      <c r="HT6" s="287"/>
      <c r="HU6" s="287"/>
      <c r="HV6" s="287"/>
      <c r="HW6" s="287"/>
      <c r="HX6" s="287"/>
      <c r="HY6" s="287"/>
      <c r="HZ6" s="287"/>
      <c r="IA6" s="287"/>
      <c r="IB6" s="287"/>
      <c r="IC6" s="287"/>
      <c r="ID6" s="287"/>
      <c r="IE6" s="287"/>
      <c r="IF6" s="287"/>
      <c r="IG6" s="287"/>
      <c r="IH6" s="287"/>
      <c r="II6" s="287"/>
      <c r="IJ6" s="287"/>
      <c r="IK6" s="287"/>
      <c r="IL6" s="287"/>
      <c r="IM6" s="287"/>
      <c r="IN6" s="287"/>
      <c r="IO6" s="287"/>
      <c r="IP6" s="287"/>
      <c r="IQ6" s="287"/>
      <c r="IR6" s="287"/>
      <c r="IS6" s="287"/>
      <c r="IT6" s="287"/>
      <c r="IU6" s="287"/>
      <c r="IV6" s="287"/>
      <c r="IW6" s="287"/>
      <c r="IX6" s="287"/>
      <c r="IY6" s="287"/>
      <c r="IZ6" s="287"/>
      <c r="JA6" s="287"/>
      <c r="JB6" s="287"/>
      <c r="JC6" s="287"/>
      <c r="JD6" s="287"/>
      <c r="JE6" s="287"/>
      <c r="JF6" s="287"/>
      <c r="JG6" s="287"/>
      <c r="JH6" s="287"/>
      <c r="JI6" s="287"/>
      <c r="JJ6" s="287"/>
      <c r="JK6" s="287"/>
      <c r="JL6" s="287"/>
      <c r="JM6" s="287"/>
      <c r="JN6" s="287"/>
      <c r="JO6" s="287"/>
      <c r="JP6" s="287"/>
      <c r="JQ6" s="287"/>
      <c r="JR6" s="287"/>
      <c r="JS6" s="287"/>
      <c r="JT6" s="287"/>
      <c r="JU6" s="287"/>
      <c r="JV6" s="287"/>
      <c r="JW6" s="287"/>
      <c r="JX6" s="287"/>
      <c r="JY6" s="287"/>
      <c r="JZ6" s="287"/>
      <c r="KA6" s="287"/>
      <c r="KB6" s="287"/>
      <c r="KC6" s="287"/>
      <c r="KD6" s="287"/>
      <c r="KE6" s="287"/>
      <c r="KF6" s="287"/>
      <c r="KG6" s="287"/>
      <c r="KH6" s="287"/>
      <c r="KI6" s="287"/>
      <c r="KJ6" s="287"/>
      <c r="KK6" s="287"/>
      <c r="KL6" s="287"/>
      <c r="KM6" s="287"/>
      <c r="KN6" s="287"/>
      <c r="KO6" s="287"/>
      <c r="KP6" s="287"/>
      <c r="KQ6" s="287"/>
      <c r="KR6" s="287"/>
      <c r="KS6" s="287"/>
      <c r="KT6" s="287"/>
      <c r="KU6" s="287"/>
      <c r="KV6" s="287"/>
      <c r="KW6" s="287"/>
      <c r="KX6" s="287"/>
      <c r="KY6" s="287"/>
      <c r="KZ6" s="287"/>
      <c r="LA6" s="287"/>
      <c r="LB6" s="287"/>
      <c r="LC6" s="287"/>
      <c r="LD6" s="287"/>
      <c r="LE6" s="287"/>
      <c r="LF6" s="287"/>
      <c r="LG6" s="287"/>
      <c r="LH6" s="287"/>
      <c r="LI6" s="287"/>
      <c r="LJ6" s="287"/>
      <c r="LK6" s="287"/>
      <c r="LL6" s="287"/>
      <c r="LM6" s="287"/>
      <c r="LN6" s="287"/>
      <c r="LO6" s="287"/>
      <c r="LP6" s="287"/>
      <c r="LQ6" s="287"/>
      <c r="LR6" s="287"/>
      <c r="LS6" s="287"/>
      <c r="LT6" s="287"/>
      <c r="LU6" s="287"/>
      <c r="LV6" s="287"/>
      <c r="LW6" s="287"/>
      <c r="LX6" s="287"/>
      <c r="LY6" s="287"/>
      <c r="LZ6" s="287"/>
      <c r="MA6" s="287"/>
      <c r="MB6" s="287"/>
      <c r="MC6" s="287"/>
      <c r="MD6" s="287"/>
      <c r="ME6" s="287"/>
      <c r="MF6" s="287"/>
      <c r="MG6" s="287"/>
      <c r="MH6" s="287"/>
      <c r="MI6" s="287"/>
      <c r="MJ6" s="287"/>
      <c r="MK6" s="287"/>
      <c r="ML6" s="287"/>
      <c r="MM6" s="287"/>
      <c r="MN6" s="287"/>
      <c r="MO6" s="287"/>
      <c r="MP6" s="287"/>
      <c r="MQ6" s="287"/>
      <c r="MR6" s="287"/>
      <c r="MS6" s="287"/>
      <c r="MT6" s="287"/>
      <c r="MU6" s="287"/>
      <c r="MV6" s="287"/>
      <c r="MW6" s="287"/>
      <c r="MX6" s="287"/>
      <c r="MY6" s="287"/>
      <c r="MZ6" s="287"/>
      <c r="NA6" s="287"/>
      <c r="NB6" s="287"/>
      <c r="NC6" s="287"/>
      <c r="ND6" s="287"/>
      <c r="NE6" s="287"/>
      <c r="NF6" s="287"/>
      <c r="NG6" s="287"/>
      <c r="NH6" s="287"/>
      <c r="NI6" s="287"/>
      <c r="NJ6" s="287"/>
      <c r="NK6" s="287"/>
      <c r="NL6" s="287"/>
      <c r="NM6" s="287"/>
      <c r="NN6" s="287"/>
      <c r="NO6" s="287"/>
      <c r="NP6" s="287"/>
      <c r="NQ6" s="287"/>
      <c r="NR6" s="287"/>
      <c r="NS6" s="287"/>
      <c r="NT6" s="287"/>
      <c r="NU6" s="287"/>
      <c r="NV6" s="287"/>
      <c r="NW6" s="287"/>
      <c r="NX6" s="287"/>
      <c r="NY6" s="287"/>
      <c r="NZ6" s="287"/>
      <c r="OA6" s="287"/>
      <c r="OB6" s="287"/>
      <c r="OC6" s="287"/>
      <c r="OD6" s="287"/>
      <c r="OE6" s="287"/>
      <c r="OF6" s="287"/>
      <c r="OG6" s="287"/>
      <c r="OH6" s="287"/>
      <c r="OI6" s="287"/>
      <c r="OJ6" s="287"/>
      <c r="OK6" s="287"/>
      <c r="OL6" s="287"/>
      <c r="OM6" s="287"/>
      <c r="ON6" s="287"/>
      <c r="OO6" s="287"/>
      <c r="OP6" s="287"/>
      <c r="OQ6" s="287"/>
      <c r="OR6" s="287"/>
      <c r="OS6" s="287"/>
      <c r="OT6" s="287"/>
      <c r="OU6" s="287"/>
      <c r="OV6" s="287"/>
      <c r="OW6" s="287"/>
      <c r="OX6" s="287"/>
      <c r="OY6" s="287"/>
      <c r="OZ6" s="287"/>
      <c r="PA6" s="287"/>
      <c r="PB6" s="287"/>
      <c r="PC6" s="287"/>
      <c r="PD6" s="287"/>
      <c r="PE6" s="287"/>
      <c r="PF6" s="287"/>
      <c r="PG6" s="287"/>
      <c r="PH6" s="287"/>
      <c r="PI6" s="287"/>
      <c r="PJ6" s="287"/>
      <c r="PK6" s="287"/>
      <c r="PL6" s="287"/>
      <c r="PM6" s="287"/>
      <c r="PN6" s="287"/>
      <c r="PO6" s="287"/>
      <c r="PP6" s="287"/>
      <c r="PQ6" s="287"/>
      <c r="PR6" s="287"/>
      <c r="PS6" s="287"/>
      <c r="PT6" s="287"/>
      <c r="PU6" s="287"/>
      <c r="PV6" s="287"/>
      <c r="PW6" s="287"/>
      <c r="PX6" s="287"/>
      <c r="PY6" s="287"/>
      <c r="PZ6" s="287"/>
      <c r="QA6" s="287"/>
      <c r="QB6" s="287"/>
      <c r="QC6" s="287"/>
      <c r="QD6" s="287"/>
      <c r="QE6" s="287"/>
      <c r="QF6" s="287"/>
      <c r="QG6" s="287"/>
      <c r="QH6" s="287"/>
      <c r="QI6" s="287"/>
      <c r="QJ6" s="287"/>
      <c r="QK6" s="287"/>
      <c r="QL6" s="287"/>
      <c r="QM6" s="287"/>
      <c r="QN6" s="287"/>
      <c r="QO6" s="287"/>
      <c r="QP6" s="287"/>
      <c r="QQ6" s="287"/>
      <c r="QR6" s="287"/>
      <c r="QS6" s="287"/>
      <c r="QT6" s="287"/>
      <c r="QU6" s="287"/>
      <c r="QV6" s="287"/>
      <c r="QW6" s="287"/>
      <c r="QX6" s="287"/>
      <c r="QY6" s="287"/>
      <c r="QZ6" s="287"/>
      <c r="RA6" s="287"/>
      <c r="RB6" s="287"/>
      <c r="RC6" s="287"/>
      <c r="RD6" s="287"/>
      <c r="RE6" s="287"/>
      <c r="RF6" s="287"/>
      <c r="RG6" s="287"/>
      <c r="RH6" s="287"/>
      <c r="RI6" s="287"/>
      <c r="RJ6" s="287"/>
      <c r="RK6" s="287"/>
      <c r="RL6" s="287"/>
      <c r="RM6" s="287"/>
      <c r="RN6" s="287"/>
      <c r="RO6" s="287"/>
      <c r="RP6" s="287"/>
      <c r="RQ6" s="287"/>
      <c r="RR6" s="287"/>
      <c r="RS6" s="287"/>
      <c r="RT6" s="287"/>
      <c r="RU6" s="287"/>
      <c r="RV6" s="287"/>
      <c r="RW6" s="287"/>
      <c r="RX6" s="287"/>
      <c r="RY6" s="287"/>
      <c r="RZ6" s="287"/>
      <c r="SA6" s="287"/>
      <c r="SB6" s="287"/>
      <c r="SC6" s="287"/>
      <c r="SD6" s="287"/>
      <c r="SE6" s="287"/>
      <c r="SF6" s="287"/>
      <c r="SG6" s="287"/>
      <c r="SH6" s="287"/>
      <c r="SI6" s="287"/>
      <c r="SJ6" s="287"/>
      <c r="SK6" s="287"/>
      <c r="SL6" s="287"/>
      <c r="SM6" s="287"/>
      <c r="SN6" s="287"/>
      <c r="SO6" s="287"/>
      <c r="SP6" s="287"/>
      <c r="SQ6" s="287"/>
      <c r="SR6" s="287"/>
      <c r="SS6" s="287"/>
      <c r="ST6" s="287"/>
      <c r="SU6" s="287"/>
      <c r="SV6" s="287"/>
      <c r="SW6" s="287"/>
      <c r="SX6" s="287"/>
      <c r="SY6" s="287"/>
      <c r="SZ6" s="287"/>
      <c r="TA6" s="287"/>
      <c r="TB6" s="287"/>
      <c r="TC6" s="287"/>
      <c r="TD6" s="287"/>
      <c r="TE6" s="287"/>
      <c r="TF6" s="287"/>
      <c r="TG6" s="287"/>
      <c r="TH6" s="287"/>
      <c r="TI6" s="287"/>
      <c r="TJ6" s="287"/>
      <c r="TK6" s="287"/>
      <c r="TL6" s="287"/>
      <c r="TM6" s="287"/>
      <c r="TN6" s="287"/>
      <c r="TO6" s="287"/>
      <c r="TP6" s="287"/>
      <c r="TQ6" s="287"/>
      <c r="TR6" s="287"/>
      <c r="TS6" s="287"/>
      <c r="TT6" s="287"/>
      <c r="TU6" s="287"/>
      <c r="TV6" s="287"/>
      <c r="TW6" s="287"/>
      <c r="TX6" s="287"/>
      <c r="TY6" s="287"/>
      <c r="TZ6" s="287"/>
      <c r="UA6" s="287"/>
      <c r="UB6" s="287"/>
      <c r="UC6" s="287"/>
      <c r="UD6" s="287"/>
      <c r="UE6" s="287"/>
      <c r="UF6" s="287"/>
      <c r="UG6" s="287"/>
      <c r="UH6" s="287"/>
      <c r="UI6" s="287"/>
      <c r="UJ6" s="287"/>
      <c r="UK6" s="287"/>
      <c r="UL6" s="287"/>
      <c r="UM6" s="287"/>
      <c r="UN6" s="287"/>
      <c r="UO6" s="287"/>
      <c r="UP6" s="287"/>
      <c r="UQ6" s="287"/>
      <c r="UR6" s="287"/>
      <c r="US6" s="287"/>
      <c r="UT6" s="287"/>
      <c r="UU6" s="287"/>
      <c r="UV6" s="287"/>
      <c r="UW6" s="287"/>
      <c r="UX6" s="287"/>
      <c r="UY6" s="287"/>
      <c r="UZ6" s="287"/>
      <c r="VA6" s="287"/>
      <c r="VB6" s="287"/>
      <c r="VC6" s="287"/>
      <c r="VD6" s="287"/>
      <c r="VE6" s="287"/>
      <c r="VF6" s="287"/>
      <c r="VG6" s="287"/>
      <c r="VH6" s="287"/>
      <c r="VI6" s="287"/>
      <c r="VJ6" s="287"/>
      <c r="VK6" s="287"/>
      <c r="VL6" s="287"/>
      <c r="VM6" s="287"/>
      <c r="VN6" s="287"/>
      <c r="VO6" s="287"/>
      <c r="VP6" s="287"/>
      <c r="VQ6" s="287"/>
      <c r="VR6" s="287"/>
      <c r="VS6" s="287"/>
      <c r="VT6" s="287"/>
      <c r="VU6" s="287"/>
      <c r="VV6" s="287"/>
      <c r="VW6" s="287"/>
      <c r="VX6" s="287"/>
      <c r="VY6" s="287"/>
      <c r="VZ6" s="287"/>
      <c r="WA6" s="287"/>
      <c r="WB6" s="287"/>
      <c r="WC6" s="287"/>
      <c r="WD6" s="287"/>
      <c r="WE6" s="287"/>
      <c r="WF6" s="287"/>
      <c r="WG6" s="287"/>
      <c r="WH6" s="287"/>
      <c r="WI6" s="287"/>
      <c r="WJ6" s="287"/>
      <c r="WK6" s="287"/>
      <c r="WL6" s="287"/>
      <c r="WM6" s="287"/>
      <c r="WN6" s="287"/>
      <c r="WO6" s="287"/>
      <c r="WP6" s="287"/>
      <c r="WQ6" s="287"/>
      <c r="WR6" s="287"/>
      <c r="WS6" s="287"/>
      <c r="WT6" s="287"/>
      <c r="WU6" s="287"/>
      <c r="WV6" s="287"/>
      <c r="WW6" s="287"/>
      <c r="WX6" s="287"/>
      <c r="WY6" s="287"/>
      <c r="WZ6" s="287"/>
      <c r="XA6" s="287"/>
      <c r="XB6" s="287"/>
      <c r="XC6" s="287"/>
      <c r="XD6" s="287"/>
      <c r="XE6" s="287"/>
      <c r="XF6" s="287"/>
      <c r="XG6" s="287"/>
      <c r="XH6" s="287"/>
      <c r="XI6" s="287"/>
      <c r="XJ6" s="287"/>
      <c r="XK6" s="287"/>
      <c r="XL6" s="287"/>
      <c r="XM6" s="287"/>
      <c r="XN6" s="287"/>
      <c r="XO6" s="287"/>
      <c r="XP6" s="287"/>
      <c r="XQ6" s="287"/>
      <c r="XR6" s="287"/>
      <c r="XS6" s="287"/>
      <c r="XT6" s="287"/>
      <c r="XU6" s="287"/>
      <c r="XV6" s="287"/>
      <c r="XW6" s="287"/>
      <c r="XX6" s="287"/>
      <c r="XY6" s="287"/>
      <c r="XZ6" s="287"/>
      <c r="YA6" s="287"/>
      <c r="YB6" s="287"/>
      <c r="YC6" s="287"/>
      <c r="YD6" s="287"/>
      <c r="YE6" s="287"/>
      <c r="YF6" s="287"/>
      <c r="YG6" s="287"/>
      <c r="YH6" s="287"/>
      <c r="YI6" s="287"/>
      <c r="YJ6" s="287"/>
      <c r="YK6" s="287"/>
      <c r="YL6" s="287"/>
      <c r="YM6" s="287"/>
      <c r="YN6" s="287"/>
      <c r="YO6" s="287"/>
      <c r="YP6" s="287"/>
      <c r="YQ6" s="287"/>
      <c r="YR6" s="287"/>
      <c r="YS6" s="287"/>
      <c r="YT6" s="287"/>
      <c r="YU6" s="287"/>
      <c r="YV6" s="287"/>
      <c r="YW6" s="287"/>
      <c r="YX6" s="287"/>
      <c r="YY6" s="287"/>
      <c r="YZ6" s="287"/>
      <c r="ZA6" s="287"/>
      <c r="ZB6" s="287"/>
      <c r="ZC6" s="287"/>
      <c r="ZD6" s="287"/>
      <c r="ZE6" s="287"/>
      <c r="ZF6" s="287"/>
      <c r="ZG6" s="287"/>
      <c r="ZH6" s="287"/>
      <c r="ZI6" s="287"/>
      <c r="ZJ6" s="287"/>
      <c r="ZK6" s="287"/>
      <c r="ZL6" s="287"/>
      <c r="ZM6" s="287"/>
      <c r="ZN6" s="287"/>
      <c r="ZO6" s="287"/>
      <c r="ZP6" s="287"/>
      <c r="ZQ6" s="287"/>
      <c r="ZR6" s="287"/>
      <c r="ZS6" s="287"/>
      <c r="ZT6" s="287"/>
      <c r="ZU6" s="287"/>
      <c r="ZV6" s="287"/>
      <c r="ZW6" s="287"/>
      <c r="ZX6" s="287"/>
      <c r="ZY6" s="287"/>
      <c r="ZZ6" s="287"/>
      <c r="AAA6" s="287"/>
      <c r="AAB6" s="287"/>
      <c r="AAC6" s="287"/>
      <c r="AAD6" s="287"/>
      <c r="AAE6" s="287"/>
      <c r="AAF6" s="287"/>
      <c r="AAG6" s="287"/>
      <c r="AAH6" s="287"/>
      <c r="AAI6" s="287"/>
      <c r="AAJ6" s="287"/>
      <c r="AAK6" s="287"/>
      <c r="AAL6" s="287"/>
      <c r="AAM6" s="287"/>
      <c r="AAN6" s="287"/>
      <c r="AAO6" s="287"/>
      <c r="AAP6" s="287"/>
      <c r="AAQ6" s="287"/>
      <c r="AAR6" s="287"/>
      <c r="AAS6" s="287"/>
      <c r="AAT6" s="287"/>
      <c r="AAU6" s="287"/>
      <c r="AAV6" s="287"/>
      <c r="AAW6" s="287"/>
      <c r="AAX6" s="287"/>
      <c r="AAY6" s="287"/>
      <c r="AAZ6" s="287"/>
      <c r="ABA6" s="287"/>
      <c r="ABB6" s="287"/>
      <c r="ABC6" s="287"/>
      <c r="ABD6" s="287"/>
      <c r="ABE6" s="287"/>
      <c r="ABF6" s="287"/>
      <c r="ABG6" s="287"/>
      <c r="ABH6" s="287"/>
      <c r="ABI6" s="287"/>
      <c r="ABJ6" s="287"/>
      <c r="ABK6" s="287"/>
      <c r="ABL6" s="287"/>
      <c r="ABM6" s="287"/>
      <c r="ABN6" s="287"/>
      <c r="ABO6" s="287"/>
      <c r="ABP6" s="287"/>
      <c r="ABQ6" s="287"/>
      <c r="ABR6" s="287"/>
      <c r="ABS6" s="287"/>
      <c r="ABT6" s="287"/>
      <c r="ABU6" s="287"/>
      <c r="ABV6" s="287"/>
      <c r="ABW6" s="287"/>
      <c r="ABX6" s="287"/>
      <c r="ABY6" s="287"/>
      <c r="ABZ6" s="287"/>
      <c r="ACA6" s="287"/>
      <c r="ACB6" s="287"/>
      <c r="ACC6" s="287"/>
      <c r="ACD6" s="287"/>
      <c r="ACE6" s="287"/>
      <c r="ACF6" s="287"/>
      <c r="ACG6" s="287"/>
      <c r="ACH6" s="287"/>
      <c r="ACI6" s="287"/>
      <c r="ACJ6" s="287"/>
      <c r="ACK6" s="287"/>
      <c r="ACL6" s="287"/>
      <c r="ACM6" s="287"/>
      <c r="ACN6" s="287"/>
      <c r="ACO6" s="287"/>
      <c r="ACP6" s="287"/>
      <c r="ACQ6" s="287"/>
      <c r="ACR6" s="287"/>
      <c r="ACS6" s="287"/>
      <c r="ACT6" s="287"/>
      <c r="ACU6" s="287"/>
      <c r="ACV6" s="287"/>
      <c r="ACW6" s="287"/>
      <c r="ACX6" s="287"/>
      <c r="ACY6" s="287"/>
      <c r="ACZ6" s="287"/>
      <c r="ADA6" s="287"/>
      <c r="ADB6" s="287"/>
      <c r="ADC6" s="287"/>
      <c r="ADD6" s="287"/>
      <c r="ADE6" s="287"/>
      <c r="ADF6" s="287"/>
      <c r="ADG6" s="287"/>
      <c r="ADH6" s="287"/>
      <c r="ADI6" s="287"/>
      <c r="ADJ6" s="287"/>
      <c r="ADK6" s="287"/>
      <c r="ADL6" s="287"/>
      <c r="ADM6" s="287"/>
      <c r="ADN6" s="287"/>
      <c r="ADO6" s="287"/>
      <c r="ADP6" s="287"/>
      <c r="ADQ6" s="287"/>
      <c r="ADR6" s="287"/>
      <c r="ADS6" s="287"/>
      <c r="ADT6" s="287"/>
      <c r="ADU6" s="287"/>
      <c r="ADV6" s="287"/>
      <c r="ADW6" s="287"/>
      <c r="ADX6" s="287"/>
      <c r="ADY6" s="287"/>
      <c r="ADZ6" s="287"/>
      <c r="AEA6" s="287"/>
      <c r="AEB6" s="287"/>
      <c r="AEC6" s="287"/>
      <c r="AED6" s="287"/>
      <c r="AEE6" s="287"/>
      <c r="AEF6" s="287"/>
      <c r="AEG6" s="287"/>
      <c r="AEH6" s="287"/>
      <c r="AEI6" s="287"/>
      <c r="AEJ6" s="287"/>
      <c r="AEK6" s="287"/>
      <c r="AEL6" s="287"/>
      <c r="AEM6" s="287"/>
      <c r="AEN6" s="287"/>
      <c r="AEO6" s="287"/>
      <c r="AEP6" s="287"/>
      <c r="AEQ6" s="287"/>
      <c r="AER6" s="287"/>
      <c r="AES6" s="287"/>
      <c r="AET6" s="287"/>
      <c r="AEU6" s="287"/>
      <c r="AEV6" s="287"/>
      <c r="AEW6" s="287"/>
      <c r="AEX6" s="287"/>
      <c r="AEY6" s="287"/>
      <c r="AEZ6" s="287"/>
      <c r="AFA6" s="287"/>
      <c r="AFB6" s="287"/>
      <c r="AFC6" s="287"/>
      <c r="AFD6" s="287"/>
      <c r="AFE6" s="287"/>
      <c r="AFF6" s="287"/>
      <c r="AFG6" s="287"/>
      <c r="AFH6" s="287"/>
      <c r="AFI6" s="287"/>
      <c r="AFJ6" s="287"/>
      <c r="AFK6" s="287"/>
      <c r="AFL6" s="287"/>
      <c r="AFM6" s="287"/>
      <c r="AFN6" s="287"/>
      <c r="AFO6" s="287"/>
      <c r="AFP6" s="287"/>
      <c r="AFQ6" s="287"/>
      <c r="AFR6" s="287"/>
      <c r="AFS6" s="287"/>
      <c r="AFT6" s="287"/>
      <c r="AFU6" s="287"/>
      <c r="AFV6" s="287"/>
      <c r="AFW6" s="287"/>
      <c r="AFX6" s="287"/>
      <c r="AFY6" s="287"/>
      <c r="AFZ6" s="287"/>
      <c r="AGA6" s="287"/>
      <c r="AGB6" s="287"/>
      <c r="AGC6" s="287"/>
      <c r="AGD6" s="287"/>
      <c r="AGE6" s="287"/>
      <c r="AGF6" s="287"/>
      <c r="AGG6" s="287"/>
      <c r="AGH6" s="287"/>
      <c r="AGI6" s="287"/>
      <c r="AGJ6" s="287"/>
      <c r="AGK6" s="287"/>
      <c r="AGL6" s="287"/>
      <c r="AGM6" s="287"/>
    </row>
    <row r="7" spans="2:871" s="292" customFormat="1" hidden="1" x14ac:dyDescent="0.15">
      <c r="B7" s="266" t="str">
        <f t="shared" si="0"/>
        <v>支払済</v>
      </c>
      <c r="C7" s="267" t="s">
        <v>406</v>
      </c>
      <c r="D7" s="268" t="s">
        <v>407</v>
      </c>
      <c r="E7" s="269" t="str">
        <f t="shared" ref="E7:E11" si="15">IF(D7="登録","登録",IF(D6="登録","建売購入",""))</f>
        <v/>
      </c>
      <c r="F7" s="270"/>
      <c r="G7" s="270"/>
      <c r="H7" s="271">
        <v>43191</v>
      </c>
      <c r="I7" s="272" t="s">
        <v>408</v>
      </c>
      <c r="J7" s="273" t="s">
        <v>409</v>
      </c>
      <c r="K7" s="272"/>
      <c r="L7" s="273" t="s">
        <v>410</v>
      </c>
      <c r="M7" s="273" t="s">
        <v>112</v>
      </c>
      <c r="N7" s="274" t="s">
        <v>411</v>
      </c>
      <c r="O7" s="280"/>
      <c r="P7" s="280"/>
      <c r="Q7" s="276">
        <f>IF(P7&gt;=10,150,0)</f>
        <v>0</v>
      </c>
      <c r="R7" s="275" t="str">
        <f>IF(S7&gt;=1,1,"")</f>
        <v/>
      </c>
      <c r="S7" s="280"/>
      <c r="T7" s="277">
        <f>IF(Q7=0,0,IF(S7&gt;=25,MIN(250,ROUNDDOWN(S7*10,-1)),IF(S7&gt;=20,MIN(200,ROUNDDOWN(S7*10,-1)),IF(S7&gt;=15,MIN(150,ROUNDDOWN(S7*10,-1)),MIN(100,ROUNDDOWN(S7*10,-1))))))</f>
        <v>0</v>
      </c>
      <c r="U7" s="275" t="str">
        <f>IF(V7&gt;=1,1,"")</f>
        <v/>
      </c>
      <c r="V7" s="280"/>
      <c r="W7" s="277">
        <f>IF(AND(Q7&gt;0,V7&gt;=1),MIN(INT(V7)*20,200),0)</f>
        <v>0</v>
      </c>
      <c r="X7" s="275" t="str">
        <f>IF(Y7&gt;=1,1,"")</f>
        <v/>
      </c>
      <c r="Y7" s="280"/>
      <c r="Z7" s="275">
        <f>IF(Y7&gt;=1,50,0)</f>
        <v>0</v>
      </c>
      <c r="AA7" s="276">
        <f t="shared" si="1"/>
        <v>0</v>
      </c>
      <c r="AB7" s="275" t="str">
        <f>IF(AC7&gt;=1,1,"")</f>
        <v/>
      </c>
      <c r="AC7" s="280"/>
      <c r="AD7" s="275">
        <f t="shared" si="2"/>
        <v>0</v>
      </c>
      <c r="AE7" s="275" t="str">
        <f>IF(OR(AF7=1,AG7=1),1,"")</f>
        <v/>
      </c>
      <c r="AF7" s="280"/>
      <c r="AG7" s="280"/>
      <c r="AH7" s="276" t="e">
        <f>IF(AND(Q7&gt;0,AE7=1,#REF!=""),100,0)</f>
        <v>#REF!</v>
      </c>
      <c r="AI7" s="275" t="str">
        <f>IF(OR(AJ7=1,AK7=1),1,"")</f>
        <v/>
      </c>
      <c r="AJ7" s="280"/>
      <c r="AK7" s="280"/>
      <c r="AL7" s="276">
        <f t="shared" si="3"/>
        <v>0</v>
      </c>
      <c r="AM7" s="275" t="str">
        <f>IF(AU7&gt;=4,1,"")</f>
        <v/>
      </c>
      <c r="AN7" s="280"/>
      <c r="AO7" s="280"/>
      <c r="AP7" s="280"/>
      <c r="AQ7" s="280"/>
      <c r="AR7" s="280"/>
      <c r="AS7" s="280"/>
      <c r="AT7" s="280"/>
      <c r="AU7" s="275">
        <f>SUM(AN7:AT7)</f>
        <v>0</v>
      </c>
      <c r="AV7" s="276">
        <f>IF(AU7&gt;=4,200,0)</f>
        <v>0</v>
      </c>
      <c r="AW7" s="278"/>
      <c r="AX7" s="278"/>
      <c r="AY7" s="278"/>
      <c r="AZ7" s="276">
        <f>IF(OR(D7="新築",D7="登録"),MIN(1000,Q7+T7+W7+AA7+AH7+AL7+AV7),0)</f>
        <v>0</v>
      </c>
      <c r="BA7" s="278">
        <v>5</v>
      </c>
      <c r="BB7" s="279">
        <v>3</v>
      </c>
      <c r="BC7" s="278">
        <v>10</v>
      </c>
      <c r="BD7" s="276">
        <f>MIN(ROUNDDOWN(BB7,1)*20+INT(BC7)*2,250)</f>
        <v>80</v>
      </c>
      <c r="BE7" s="275">
        <f>IF(OR(BF7=1,BG7=1),1,"")</f>
        <v>1</v>
      </c>
      <c r="BF7" s="280">
        <v>1</v>
      </c>
      <c r="BG7" s="280"/>
      <c r="BH7" s="276" t="e">
        <f>IF(AND(BD7&gt;0,BE7=1,#REF!=""),100,0)</f>
        <v>#REF!</v>
      </c>
      <c r="BI7" s="275" t="str">
        <f>IF(OR(BJ7=1,BK7=1,BL7=1),1,"")</f>
        <v/>
      </c>
      <c r="BJ7" s="278"/>
      <c r="BK7" s="278"/>
      <c r="BL7" s="278"/>
      <c r="BM7" s="276">
        <f>IF(AND(BD7&gt;0,BI7=1),100,IF(AND(BD7&gt;0,BL7=1),100,0))</f>
        <v>0</v>
      </c>
      <c r="BN7" s="275">
        <f>IF(OR(AND(BO7&gt;=7,BP7&gt;=7,BO7+BP7&gt;=14),AND(BO7&gt;=7,BQ7&gt;=3,BO7+BQ7&gt;=10),AND(BP7&gt;=7,BQ7&gt;=3,BP7+BQ7&gt;=10)),1,"")</f>
        <v>1</v>
      </c>
      <c r="BO7" s="278">
        <v>7</v>
      </c>
      <c r="BP7" s="278"/>
      <c r="BQ7" s="278">
        <v>3</v>
      </c>
      <c r="BR7" s="276">
        <f>IF(AND(BN7=1,BD7&gt;0),MIN(150,ROUNDDOWN(BO7*11+BP7*13+BQ7*19,0)),0)</f>
        <v>134</v>
      </c>
      <c r="BS7" s="278"/>
      <c r="BT7" s="276" t="e">
        <f>IF(D7="改修",MIN(500,BD7+BH7+BM7+BR7,INT(CM7*10/2)),0)</f>
        <v>#REF!</v>
      </c>
      <c r="BU7" s="281"/>
      <c r="BV7" s="282" t="s">
        <v>9</v>
      </c>
      <c r="BW7" s="283"/>
      <c r="BX7" s="282" t="s">
        <v>396</v>
      </c>
      <c r="BY7" s="283"/>
      <c r="BZ7" s="284" t="s">
        <v>8</v>
      </c>
      <c r="CA7" s="281"/>
      <c r="CB7" s="282" t="s">
        <v>9</v>
      </c>
      <c r="CC7" s="283"/>
      <c r="CD7" s="282" t="s">
        <v>396</v>
      </c>
      <c r="CE7" s="283"/>
      <c r="CF7" s="284" t="s">
        <v>8</v>
      </c>
      <c r="CG7" s="271">
        <v>43205</v>
      </c>
      <c r="CH7" s="285" t="e">
        <f t="shared" ref="CH7:CH10" si="16">AZ7+BT7</f>
        <v>#REF!</v>
      </c>
      <c r="CI7" s="272" t="s">
        <v>397</v>
      </c>
      <c r="CJ7" s="272" t="s">
        <v>398</v>
      </c>
      <c r="CK7" s="268" t="s">
        <v>412</v>
      </c>
      <c r="CL7" s="272">
        <v>200</v>
      </c>
      <c r="CM7" s="286">
        <v>300</v>
      </c>
      <c r="CN7" s="273" t="s">
        <v>413</v>
      </c>
      <c r="CO7" s="271"/>
      <c r="CP7" s="270"/>
      <c r="CQ7" s="270"/>
      <c r="CR7" s="271"/>
      <c r="CS7" s="271"/>
      <c r="CT7" s="270"/>
      <c r="CU7" s="270"/>
      <c r="CV7" s="270"/>
      <c r="CW7" s="270"/>
      <c r="CX7" s="270"/>
      <c r="CY7" s="270"/>
      <c r="CZ7" s="270"/>
      <c r="DA7" s="287"/>
      <c r="DB7" s="270"/>
      <c r="DC7" s="280"/>
      <c r="DD7" s="280"/>
      <c r="DE7" s="280"/>
      <c r="DF7" s="276">
        <f t="shared" si="4"/>
        <v>0</v>
      </c>
      <c r="DG7" s="276">
        <f>MIN(Q7,DF7)</f>
        <v>0</v>
      </c>
      <c r="DH7" s="275" t="str">
        <f t="shared" ref="DH7:DH10" si="17">IF(DI7&gt;=1,1,"")</f>
        <v/>
      </c>
      <c r="DI7" s="280"/>
      <c r="DJ7" s="280"/>
      <c r="DK7" s="277">
        <f t="shared" ref="DK7:DK10" si="18">IF(DF7=0,0,IF(DI7&gt;=25,MIN(250,ROUNDDOWN(DI7*10,-1)),IF(DI7&gt;=20,MIN(200,ROUNDDOWN(DI7*10,-1)),IF(DI7&gt;=15,MIN(150,ROUNDDOWN(DI7*10,-1)),MIN(100,ROUNDDOWN(DI7*10,-1))))))</f>
        <v>0</v>
      </c>
      <c r="DL7" s="276">
        <f>MIN(T7,DK7)</f>
        <v>0</v>
      </c>
      <c r="DM7" s="275" t="str">
        <f t="shared" ref="DM7:DM10" si="19">IF(DN7&gt;=1,1,"")</f>
        <v/>
      </c>
      <c r="DN7" s="280"/>
      <c r="DO7" s="280"/>
      <c r="DP7" s="277">
        <f t="shared" ref="DP7:DP10" si="20">IF(AND(DF7&gt;0,DN7&gt;=1),MIN(INT(DN7)*20,200),0)</f>
        <v>0</v>
      </c>
      <c r="DQ7" s="276">
        <f>MIN(W7,DP7)</f>
        <v>0</v>
      </c>
      <c r="DR7" s="275" t="str">
        <f t="shared" ref="DR7:DR10" si="21">IF(DS7&gt;=1,1,"")</f>
        <v/>
      </c>
      <c r="DS7" s="280"/>
      <c r="DT7" s="275">
        <f t="shared" si="5"/>
        <v>0</v>
      </c>
      <c r="DU7" s="275" t="str">
        <f t="shared" ref="DU7:DU10" si="22">IF(DV7&gt;=1,1,"")</f>
        <v/>
      </c>
      <c r="DV7" s="280"/>
      <c r="DW7" s="280"/>
      <c r="DX7" s="275">
        <f t="shared" ref="DX7:DX10" si="23">IF(AND(DF7&gt;0,DV7&gt;=1),MIN(INT(DV7)*2,150),0)</f>
        <v>0</v>
      </c>
      <c r="DY7" s="276">
        <f t="shared" si="6"/>
        <v>0</v>
      </c>
      <c r="DZ7" s="276">
        <f>MIN(AA7,DY7)</f>
        <v>0</v>
      </c>
      <c r="EA7" s="275" t="str">
        <f t="shared" ref="EA7:EA10" si="24">IF(OR(EB7=1,EC7=1),1,"")</f>
        <v/>
      </c>
      <c r="EB7" s="280"/>
      <c r="EC7" s="280"/>
      <c r="ED7" s="276" t="e">
        <f>IF(AND(DF7&gt;0,EA7=1,#REF!=""),100,0)</f>
        <v>#REF!</v>
      </c>
      <c r="EE7" s="276" t="e">
        <f>MIN(AH7,ED7)</f>
        <v>#REF!</v>
      </c>
      <c r="EF7" s="275" t="str">
        <f t="shared" ref="EF7:EF10" si="25">IF(OR(EG7=1,EH7=1),1,"")</f>
        <v/>
      </c>
      <c r="EG7" s="280"/>
      <c r="EH7" s="280"/>
      <c r="EI7" s="276">
        <f t="shared" si="7"/>
        <v>0</v>
      </c>
      <c r="EJ7" s="276">
        <f>MIN(AL7,EI7)</f>
        <v>0</v>
      </c>
      <c r="EK7" s="275" t="str">
        <f t="shared" ref="EK7:EK10" si="26">IF(ES7&gt;=4,1,"")</f>
        <v/>
      </c>
      <c r="EL7" s="280"/>
      <c r="EM7" s="280"/>
      <c r="EN7" s="280"/>
      <c r="EO7" s="280"/>
      <c r="EP7" s="280"/>
      <c r="EQ7" s="280"/>
      <c r="ER7" s="280"/>
      <c r="ES7" s="275">
        <f t="shared" ref="ES7:ES10" si="27">SUM(EL7:ER7)</f>
        <v>0</v>
      </c>
      <c r="ET7" s="276">
        <f t="shared" ref="ET7:ET10" si="28">IF(ES7&gt;=4,200,0)</f>
        <v>0</v>
      </c>
      <c r="EU7" s="276">
        <f>MIN(AV7,ET7)</f>
        <v>0</v>
      </c>
      <c r="EV7" s="278"/>
      <c r="EW7" s="278"/>
      <c r="EX7" s="278"/>
      <c r="EY7" s="278"/>
      <c r="EZ7" s="278"/>
      <c r="FA7" s="276">
        <f>IF(D7="新築",MIN(1500,CH7,MIN(DG7+DL7+DQ7+DZ7+EE7+EJ7+EU7,1000)),0)</f>
        <v>0</v>
      </c>
      <c r="FB7" s="276">
        <f t="shared" si="8"/>
        <v>0</v>
      </c>
      <c r="FC7" s="278">
        <v>5</v>
      </c>
      <c r="FD7" s="288">
        <v>3</v>
      </c>
      <c r="FE7" s="288" t="s">
        <v>414</v>
      </c>
      <c r="FF7" s="278">
        <v>8</v>
      </c>
      <c r="FG7" s="278" t="s">
        <v>415</v>
      </c>
      <c r="FH7" s="276">
        <f t="shared" ref="FH7:FH10" si="29">MIN(ROUNDDOWN(FD7,1)*20+INT(FF7)*2,250)</f>
        <v>76</v>
      </c>
      <c r="FI7" s="276">
        <f t="shared" si="9"/>
        <v>76</v>
      </c>
      <c r="FJ7" s="275">
        <f t="shared" ref="FJ7:FJ10" si="30">IF(OR(FK7=1,FL7=1),1,"")</f>
        <v>1</v>
      </c>
      <c r="FK7" s="280">
        <v>1</v>
      </c>
      <c r="FL7" s="280"/>
      <c r="FM7" s="276" t="e">
        <f>IF(AND(FH7&gt;0,FJ7=1,#REF!=""),100,0)</f>
        <v>#REF!</v>
      </c>
      <c r="FN7" s="276" t="e">
        <f t="shared" si="10"/>
        <v>#REF!</v>
      </c>
      <c r="FO7" s="275" t="str">
        <f t="shared" ref="FO7:FO10" si="31">IF(OR(FP7=1,FQ7=1,FR7=1),1,"")</f>
        <v/>
      </c>
      <c r="FP7" s="278"/>
      <c r="FQ7" s="278"/>
      <c r="FR7" s="278"/>
      <c r="FS7" s="276">
        <f t="shared" ref="FS7:FS10" si="32">IF(AND(FH7&gt;0,FO7=1),100,IF(AND(FH7&gt;0,FR7=1),100,0))</f>
        <v>0</v>
      </c>
      <c r="FT7" s="276">
        <f t="shared" si="11"/>
        <v>0</v>
      </c>
      <c r="FU7" s="275">
        <f t="shared" ref="FU7:FU10" si="33">IF(OR(AND(FV7&gt;=7,FW7&gt;=7,FV7+FW7&gt;=14),AND(FV7&gt;=7,FX7&gt;=3,FV7+FX7&gt;=10),AND(FW7&gt;=7,FX7&gt;=3,FW7+FX7&gt;=10)),1,"")</f>
        <v>1</v>
      </c>
      <c r="FV7" s="278">
        <v>7</v>
      </c>
      <c r="FW7" s="278"/>
      <c r="FX7" s="278">
        <v>3</v>
      </c>
      <c r="FY7" s="276">
        <f t="shared" ref="FY7:FY11" si="34">IF(AND(FU7=1,FH7&gt;0),MIN(150,ROUNDDOWN(FV7*11+FW7*13+FX7*19,0)),0)</f>
        <v>134</v>
      </c>
      <c r="FZ7" s="276">
        <f t="shared" si="12"/>
        <v>134</v>
      </c>
      <c r="GA7" s="278"/>
      <c r="GB7" s="278" t="s">
        <v>416</v>
      </c>
      <c r="GC7" s="276" t="e">
        <f>IF(D7="改修",MIN(500,FI7+FN7+FT7+FZ7,INT(CM7*10/2)),0)</f>
        <v>#REF!</v>
      </c>
      <c r="GD7" s="276" t="e">
        <f t="shared" si="13"/>
        <v>#REF!</v>
      </c>
      <c r="GE7" s="289" t="s">
        <v>405</v>
      </c>
      <c r="GF7" s="290">
        <v>43332</v>
      </c>
      <c r="GG7" s="290">
        <v>43343</v>
      </c>
      <c r="GH7" s="290">
        <v>43358</v>
      </c>
      <c r="GI7" s="285" t="e">
        <f>IF(D7="新築",AZ7,IF(D7="改修",BT7,0))</f>
        <v>#REF!</v>
      </c>
      <c r="GJ7" s="285" t="e">
        <f t="shared" si="14"/>
        <v>#REF!</v>
      </c>
      <c r="GK7" s="285" t="e">
        <f t="shared" ref="GK7:GK10" si="35">GI7-GJ7</f>
        <v>#REF!</v>
      </c>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row>
    <row r="8" spans="2:871" hidden="1" x14ac:dyDescent="0.15">
      <c r="B8" s="266" t="str">
        <f t="shared" si="0"/>
        <v/>
      </c>
      <c r="C8" s="293" t="s">
        <v>417</v>
      </c>
      <c r="D8" s="294" t="s">
        <v>418</v>
      </c>
      <c r="E8" s="269" t="str">
        <f t="shared" si="15"/>
        <v>登録</v>
      </c>
      <c r="F8" s="270"/>
      <c r="G8" s="270"/>
      <c r="H8" s="271">
        <v>43191</v>
      </c>
      <c r="I8" s="272" t="s">
        <v>397</v>
      </c>
      <c r="J8" s="273" t="s">
        <v>419</v>
      </c>
      <c r="K8" s="272"/>
      <c r="L8" s="273" t="s">
        <v>420</v>
      </c>
      <c r="M8" s="273" t="s">
        <v>92</v>
      </c>
      <c r="N8" s="274" t="s">
        <v>421</v>
      </c>
      <c r="O8" s="275">
        <v>25</v>
      </c>
      <c r="P8" s="275">
        <v>20</v>
      </c>
      <c r="Q8" s="276">
        <f t="shared" ref="Q8:Q10" si="36">IF(P8&gt;=10,150,0)</f>
        <v>150</v>
      </c>
      <c r="R8" s="275">
        <f t="shared" ref="R8:R10" si="37">IF(S8&gt;=1,1,"")</f>
        <v>1</v>
      </c>
      <c r="S8" s="275">
        <v>15</v>
      </c>
      <c r="T8" s="277">
        <f t="shared" ref="T8:T10" si="38">IF(Q8=0,0,IF(S8&gt;=25,MIN(250,ROUNDDOWN(S8*10,-1)),IF(S8&gt;=20,MIN(200,ROUNDDOWN(S8*10,-1)),IF(S8&gt;=15,MIN(150,ROUNDDOWN(S8*10,-1)),MIN(100,ROUNDDOWN(S8*10,-1))))))</f>
        <v>150</v>
      </c>
      <c r="U8" s="275">
        <f t="shared" ref="U8:U10" si="39">IF(V8&gt;=1,1,"")</f>
        <v>1</v>
      </c>
      <c r="V8" s="275">
        <v>3</v>
      </c>
      <c r="W8" s="277">
        <f t="shared" ref="W8:W10" si="40">IF(AND(Q8&gt;0,V8&gt;=1),MIN(INT(V8)*20,200),0)</f>
        <v>60</v>
      </c>
      <c r="X8" s="275" t="str">
        <f t="shared" ref="X8:X10" si="41">IF(Y8&gt;=1,1,"")</f>
        <v/>
      </c>
      <c r="Y8" s="275"/>
      <c r="Z8" s="275">
        <f t="shared" ref="Z8:Z10" si="42">IF(Y8&gt;=1,50,0)</f>
        <v>0</v>
      </c>
      <c r="AA8" s="276">
        <f t="shared" si="1"/>
        <v>100</v>
      </c>
      <c r="AB8" s="275">
        <f t="shared" ref="AB8:AB10" si="43">IF(AC8&gt;=1,1,"")</f>
        <v>1</v>
      </c>
      <c r="AC8" s="275">
        <v>50</v>
      </c>
      <c r="AD8" s="275">
        <f t="shared" si="2"/>
        <v>100</v>
      </c>
      <c r="AE8" s="275">
        <f t="shared" ref="AE8:AE10" si="44">IF(OR(AF8=1,AG8=1),1,"")</f>
        <v>1</v>
      </c>
      <c r="AF8" s="275">
        <v>1</v>
      </c>
      <c r="AG8" s="275"/>
      <c r="AH8" s="276" t="e">
        <f>IF(AND(Q8&gt;0,AE8=1,#REF!=""),100,0)</f>
        <v>#REF!</v>
      </c>
      <c r="AI8" s="275">
        <f t="shared" ref="AI8:AI10" si="45">IF(OR(AJ8=1,AK8=1),1,"")</f>
        <v>1</v>
      </c>
      <c r="AJ8" s="275"/>
      <c r="AK8" s="275">
        <v>1</v>
      </c>
      <c r="AL8" s="276">
        <f t="shared" si="3"/>
        <v>100</v>
      </c>
      <c r="AM8" s="275" t="str">
        <f t="shared" ref="AM8:AM10" si="46">IF(AU8&gt;=4,1,"")</f>
        <v/>
      </c>
      <c r="AN8" s="275"/>
      <c r="AO8" s="275"/>
      <c r="AP8" s="275"/>
      <c r="AQ8" s="275"/>
      <c r="AR8" s="275"/>
      <c r="AS8" s="275"/>
      <c r="AT8" s="275"/>
      <c r="AU8" s="275">
        <f t="shared" ref="AU8:AU10" si="47">SUM(AN8:AT8)</f>
        <v>0</v>
      </c>
      <c r="AV8" s="276">
        <f t="shared" ref="AV8:AV10" si="48">IF(AU8&gt;=4,200,0)</f>
        <v>0</v>
      </c>
      <c r="AW8" s="278"/>
      <c r="AX8" s="278"/>
      <c r="AY8" s="278"/>
      <c r="AZ8" s="276" t="e">
        <f>IF(OR(D8="新築",D8="登録"),MIN(1000,Q8+T8+W8+AA8+AH8+AL8+AV8),0)</f>
        <v>#REF!</v>
      </c>
      <c r="BA8" s="278"/>
      <c r="BB8" s="279"/>
      <c r="BC8" s="278"/>
      <c r="BD8" s="276">
        <f t="shared" ref="BD8:BD10" si="49">MIN(ROUNDDOWN(BB8,1)*20+INT(BC8)*2,250)</f>
        <v>0</v>
      </c>
      <c r="BE8" s="275" t="str">
        <f t="shared" ref="BE8:BE10" si="50">IF(OR(BF8=1,BG8=1),1,"")</f>
        <v/>
      </c>
      <c r="BF8" s="280"/>
      <c r="BG8" s="280"/>
      <c r="BH8" s="276" t="e">
        <f>IF(AND(BD8&gt;0,BE8=1,#REF!=""),100,0)</f>
        <v>#REF!</v>
      </c>
      <c r="BI8" s="275" t="str">
        <f t="shared" ref="BI8:BI10" si="51">IF(OR(BJ8=1,BK8=1,BL8=1),1,"")</f>
        <v/>
      </c>
      <c r="BJ8" s="278"/>
      <c r="BK8" s="278"/>
      <c r="BL8" s="278"/>
      <c r="BM8" s="276">
        <f t="shared" ref="BM8:BM10" si="52">IF(AND(BD8&gt;0,BI8=1),100,IF(AND(BD8&gt;0,BL8=1),100,0))</f>
        <v>0</v>
      </c>
      <c r="BN8" s="275" t="str">
        <f t="shared" ref="BN8:BN10" si="53">IF(OR(AND(BO8&gt;=7,BP8&gt;=7,BO8+BP8&gt;=14),AND(BO8&gt;=7,BQ8&gt;=3,BO8+BQ8&gt;=10),AND(BP8&gt;=7,BQ8&gt;=3,BP8+BQ8&gt;=10)),1,"")</f>
        <v/>
      </c>
      <c r="BO8" s="278"/>
      <c r="BP8" s="278"/>
      <c r="BQ8" s="278"/>
      <c r="BR8" s="276">
        <f t="shared" ref="BR8:BR10" si="54">IF(AND(BN8=1,BD8&gt;0),MIN(150,ROUNDDOWN(BO8*11+BP8*13+BQ8*19,0)),0)</f>
        <v>0</v>
      </c>
      <c r="BS8" s="278"/>
      <c r="BT8" s="276">
        <f>IF(D8="改修",MIN(500,BD8+BH8+BM8+BR8,INT(CM8*10/2)),0)</f>
        <v>0</v>
      </c>
      <c r="BU8" s="281"/>
      <c r="BV8" s="282" t="s">
        <v>9</v>
      </c>
      <c r="BW8" s="283"/>
      <c r="BX8" s="282" t="s">
        <v>396</v>
      </c>
      <c r="BY8" s="283"/>
      <c r="BZ8" s="284" t="s">
        <v>8</v>
      </c>
      <c r="CA8" s="281"/>
      <c r="CB8" s="282" t="s">
        <v>9</v>
      </c>
      <c r="CC8" s="283"/>
      <c r="CD8" s="282" t="s">
        <v>396</v>
      </c>
      <c r="CE8" s="283"/>
      <c r="CF8" s="284" t="s">
        <v>8</v>
      </c>
      <c r="CG8" s="271">
        <v>43198</v>
      </c>
      <c r="CH8" s="285" t="e">
        <f t="shared" si="16"/>
        <v>#REF!</v>
      </c>
      <c r="CI8" s="272" t="s">
        <v>397</v>
      </c>
      <c r="CJ8" s="272" t="s">
        <v>398</v>
      </c>
      <c r="CK8" s="268" t="s">
        <v>422</v>
      </c>
      <c r="CL8" s="272">
        <v>100</v>
      </c>
      <c r="CM8" s="286">
        <v>2200</v>
      </c>
      <c r="CN8" s="273" t="s">
        <v>400</v>
      </c>
      <c r="CO8" s="271"/>
      <c r="CP8" s="270"/>
      <c r="CQ8" s="270"/>
      <c r="CR8" s="271"/>
      <c r="CS8" s="271"/>
      <c r="CT8" s="270"/>
      <c r="CU8" s="270"/>
      <c r="CV8" s="270"/>
      <c r="CW8" s="270"/>
      <c r="CX8" s="270"/>
      <c r="CY8" s="270"/>
      <c r="CZ8" s="270"/>
      <c r="DA8" s="287"/>
      <c r="DB8" s="270"/>
      <c r="DC8" s="280"/>
      <c r="DD8" s="280"/>
      <c r="DE8" s="280"/>
      <c r="DF8" s="276">
        <f t="shared" si="4"/>
        <v>0</v>
      </c>
      <c r="DG8" s="276">
        <f>MIN(Q8,DF8)</f>
        <v>0</v>
      </c>
      <c r="DH8" s="275" t="str">
        <f t="shared" si="17"/>
        <v/>
      </c>
      <c r="DI8" s="280"/>
      <c r="DJ8" s="280"/>
      <c r="DK8" s="277">
        <f t="shared" si="18"/>
        <v>0</v>
      </c>
      <c r="DL8" s="276">
        <f>MIN(T8,DK8)</f>
        <v>0</v>
      </c>
      <c r="DM8" s="275" t="str">
        <f t="shared" si="19"/>
        <v/>
      </c>
      <c r="DN8" s="280"/>
      <c r="DO8" s="280"/>
      <c r="DP8" s="277">
        <f t="shared" si="20"/>
        <v>0</v>
      </c>
      <c r="DQ8" s="276">
        <f>MIN(W8,DP8)</f>
        <v>0</v>
      </c>
      <c r="DR8" s="275" t="str">
        <f t="shared" si="21"/>
        <v/>
      </c>
      <c r="DS8" s="280"/>
      <c r="DT8" s="275">
        <f t="shared" si="5"/>
        <v>0</v>
      </c>
      <c r="DU8" s="275" t="str">
        <f t="shared" si="22"/>
        <v/>
      </c>
      <c r="DV8" s="280"/>
      <c r="DW8" s="280"/>
      <c r="DX8" s="275">
        <f t="shared" si="23"/>
        <v>0</v>
      </c>
      <c r="DY8" s="276">
        <f t="shared" si="6"/>
        <v>0</v>
      </c>
      <c r="DZ8" s="276">
        <f>MIN(AA8,DY8)</f>
        <v>0</v>
      </c>
      <c r="EA8" s="275" t="str">
        <f t="shared" si="24"/>
        <v/>
      </c>
      <c r="EB8" s="280"/>
      <c r="EC8" s="280"/>
      <c r="ED8" s="276" t="e">
        <f>IF(AND(DF8&gt;0,EA8=1,#REF!=""),100,0)</f>
        <v>#REF!</v>
      </c>
      <c r="EE8" s="276" t="e">
        <f>MIN(AH8,ED8)</f>
        <v>#REF!</v>
      </c>
      <c r="EF8" s="275" t="str">
        <f t="shared" si="25"/>
        <v/>
      </c>
      <c r="EG8" s="280"/>
      <c r="EH8" s="280"/>
      <c r="EI8" s="276">
        <f t="shared" si="7"/>
        <v>0</v>
      </c>
      <c r="EJ8" s="276">
        <f>MIN(AL8,EI8)</f>
        <v>0</v>
      </c>
      <c r="EK8" s="275" t="str">
        <f t="shared" si="26"/>
        <v/>
      </c>
      <c r="EL8" s="280"/>
      <c r="EM8" s="280"/>
      <c r="EN8" s="280"/>
      <c r="EO8" s="280"/>
      <c r="EP8" s="280"/>
      <c r="EQ8" s="280"/>
      <c r="ER8" s="280"/>
      <c r="ES8" s="275">
        <f t="shared" si="27"/>
        <v>0</v>
      </c>
      <c r="ET8" s="276">
        <f t="shared" si="28"/>
        <v>0</v>
      </c>
      <c r="EU8" s="276">
        <f>MIN(AV8,ET8)</f>
        <v>0</v>
      </c>
      <c r="EV8" s="278"/>
      <c r="EW8" s="278"/>
      <c r="EX8" s="278"/>
      <c r="EY8" s="278"/>
      <c r="EZ8" s="278"/>
      <c r="FA8" s="276">
        <f>IF(D8="新築",MIN(1500,CH8,MIN(DG8+DL8+DQ8+DZ8+EE8+EJ8+EU8,1000)),0)</f>
        <v>0</v>
      </c>
      <c r="FB8" s="276" t="e">
        <f t="shared" si="8"/>
        <v>#REF!</v>
      </c>
      <c r="FC8" s="278"/>
      <c r="FD8" s="288"/>
      <c r="FE8" s="288"/>
      <c r="FF8" s="278"/>
      <c r="FG8" s="278"/>
      <c r="FH8" s="276">
        <f t="shared" si="29"/>
        <v>0</v>
      </c>
      <c r="FI8" s="276">
        <f t="shared" si="9"/>
        <v>0</v>
      </c>
      <c r="FJ8" s="275" t="str">
        <f t="shared" si="30"/>
        <v/>
      </c>
      <c r="FK8" s="280"/>
      <c r="FL8" s="280"/>
      <c r="FM8" s="276" t="e">
        <f>IF(AND(FH8&gt;0,FJ8=1,#REF!=""),100,0)</f>
        <v>#REF!</v>
      </c>
      <c r="FN8" s="276" t="e">
        <f t="shared" si="10"/>
        <v>#REF!</v>
      </c>
      <c r="FO8" s="275" t="str">
        <f t="shared" si="31"/>
        <v/>
      </c>
      <c r="FP8" s="278"/>
      <c r="FQ8" s="278"/>
      <c r="FR8" s="278"/>
      <c r="FS8" s="276">
        <f t="shared" si="32"/>
        <v>0</v>
      </c>
      <c r="FT8" s="276">
        <f t="shared" si="11"/>
        <v>0</v>
      </c>
      <c r="FU8" s="275" t="str">
        <f t="shared" si="33"/>
        <v/>
      </c>
      <c r="FV8" s="278"/>
      <c r="FW8" s="278"/>
      <c r="FX8" s="278"/>
      <c r="FY8" s="276">
        <f t="shared" si="34"/>
        <v>0</v>
      </c>
      <c r="FZ8" s="276">
        <f t="shared" si="12"/>
        <v>0</v>
      </c>
      <c r="GA8" s="278"/>
      <c r="GB8" s="278"/>
      <c r="GC8" s="276">
        <f>IF(D8="改修",MIN(500,FI8+FN8+FT8+FZ8,INT(CM8*10/2)),0)</f>
        <v>0</v>
      </c>
      <c r="GD8" s="276">
        <f t="shared" si="13"/>
        <v>0</v>
      </c>
      <c r="GE8" s="289"/>
      <c r="GF8" s="290"/>
      <c r="GG8" s="290"/>
      <c r="GH8" s="290"/>
      <c r="GI8" s="285">
        <f>IF(D8="新築",AZ8,IF(D8="改修",BT8,0))</f>
        <v>0</v>
      </c>
      <c r="GJ8" s="285">
        <f t="shared" si="14"/>
        <v>0</v>
      </c>
      <c r="GK8" s="285">
        <f t="shared" si="35"/>
        <v>0</v>
      </c>
    </row>
    <row r="9" spans="2:871" s="292" customFormat="1" hidden="1" x14ac:dyDescent="0.15">
      <c r="B9" s="266" t="str">
        <f t="shared" si="0"/>
        <v>支払済</v>
      </c>
      <c r="C9" s="293" t="s">
        <v>417</v>
      </c>
      <c r="D9" s="294" t="s">
        <v>388</v>
      </c>
      <c r="E9" s="269" t="str">
        <f t="shared" si="15"/>
        <v>建売購入</v>
      </c>
      <c r="F9" s="270"/>
      <c r="G9" s="270"/>
      <c r="H9" s="271">
        <v>43403</v>
      </c>
      <c r="I9" s="272" t="s">
        <v>423</v>
      </c>
      <c r="J9" s="273" t="s">
        <v>424</v>
      </c>
      <c r="K9" s="272"/>
      <c r="L9" s="273" t="s">
        <v>425</v>
      </c>
      <c r="M9" s="273" t="s">
        <v>426</v>
      </c>
      <c r="N9" s="274" t="s">
        <v>421</v>
      </c>
      <c r="O9" s="275">
        <v>25</v>
      </c>
      <c r="P9" s="275">
        <v>18</v>
      </c>
      <c r="Q9" s="276">
        <f t="shared" si="36"/>
        <v>150</v>
      </c>
      <c r="R9" s="275">
        <f t="shared" si="37"/>
        <v>1</v>
      </c>
      <c r="S9" s="275">
        <v>13</v>
      </c>
      <c r="T9" s="277">
        <f t="shared" si="38"/>
        <v>100</v>
      </c>
      <c r="U9" s="275">
        <f t="shared" si="39"/>
        <v>1</v>
      </c>
      <c r="V9" s="275">
        <v>2</v>
      </c>
      <c r="W9" s="277">
        <f t="shared" si="40"/>
        <v>40</v>
      </c>
      <c r="X9" s="275" t="str">
        <f t="shared" si="41"/>
        <v/>
      </c>
      <c r="Y9" s="275"/>
      <c r="Z9" s="275">
        <f t="shared" si="42"/>
        <v>0</v>
      </c>
      <c r="AA9" s="276">
        <f t="shared" si="1"/>
        <v>90</v>
      </c>
      <c r="AB9" s="275">
        <f t="shared" si="43"/>
        <v>1</v>
      </c>
      <c r="AC9" s="275">
        <v>45</v>
      </c>
      <c r="AD9" s="275">
        <f t="shared" si="2"/>
        <v>90</v>
      </c>
      <c r="AE9" s="275">
        <f t="shared" si="44"/>
        <v>1</v>
      </c>
      <c r="AF9" s="275"/>
      <c r="AG9" s="275">
        <v>1</v>
      </c>
      <c r="AH9" s="276" t="e">
        <f>IF(AND(Q9&gt;0,AE9=1,#REF!=""),100,0)</f>
        <v>#REF!</v>
      </c>
      <c r="AI9" s="275" t="str">
        <f t="shared" si="45"/>
        <v/>
      </c>
      <c r="AJ9" s="275"/>
      <c r="AK9" s="275"/>
      <c r="AL9" s="276">
        <f t="shared" si="3"/>
        <v>0</v>
      </c>
      <c r="AM9" s="275" t="str">
        <f t="shared" si="46"/>
        <v/>
      </c>
      <c r="AN9" s="275"/>
      <c r="AO9" s="275"/>
      <c r="AP9" s="275"/>
      <c r="AQ9" s="275"/>
      <c r="AR9" s="275"/>
      <c r="AS9" s="275"/>
      <c r="AT9" s="275"/>
      <c r="AU9" s="275">
        <f t="shared" si="47"/>
        <v>0</v>
      </c>
      <c r="AV9" s="276">
        <f t="shared" si="48"/>
        <v>0</v>
      </c>
      <c r="AW9" s="278"/>
      <c r="AX9" s="278"/>
      <c r="AY9" s="278"/>
      <c r="AZ9" s="276" t="e">
        <f>IF(OR(D9="新築",D9="登録"),MIN(1000,Q9+T9+W9+AA9+AH9+AL9+AV9),0)</f>
        <v>#REF!</v>
      </c>
      <c r="BA9" s="278"/>
      <c r="BB9" s="279"/>
      <c r="BC9" s="278"/>
      <c r="BD9" s="276">
        <f t="shared" si="49"/>
        <v>0</v>
      </c>
      <c r="BE9" s="275" t="str">
        <f t="shared" si="50"/>
        <v/>
      </c>
      <c r="BF9" s="280"/>
      <c r="BG9" s="280"/>
      <c r="BH9" s="276" t="e">
        <f>IF(AND(BD9&gt;0,BE9=1,#REF!=""),100,0)</f>
        <v>#REF!</v>
      </c>
      <c r="BI9" s="275" t="str">
        <f t="shared" si="51"/>
        <v/>
      </c>
      <c r="BJ9" s="278"/>
      <c r="BK9" s="278"/>
      <c r="BL9" s="278"/>
      <c r="BM9" s="276">
        <f t="shared" si="52"/>
        <v>0</v>
      </c>
      <c r="BN9" s="275" t="str">
        <f t="shared" si="53"/>
        <v/>
      </c>
      <c r="BO9" s="278"/>
      <c r="BP9" s="278"/>
      <c r="BQ9" s="278"/>
      <c r="BR9" s="276">
        <f t="shared" si="54"/>
        <v>0</v>
      </c>
      <c r="BS9" s="278"/>
      <c r="BT9" s="276">
        <f>IF(D9="改修",MIN(500,BD9+BH9+BM9+BR9,INT(CM9*10/2)),0)</f>
        <v>0</v>
      </c>
      <c r="BU9" s="281"/>
      <c r="BV9" s="282" t="s">
        <v>9</v>
      </c>
      <c r="BW9" s="283"/>
      <c r="BX9" s="282" t="s">
        <v>396</v>
      </c>
      <c r="BY9" s="283"/>
      <c r="BZ9" s="284" t="s">
        <v>8</v>
      </c>
      <c r="CA9" s="281"/>
      <c r="CB9" s="282" t="s">
        <v>9</v>
      </c>
      <c r="CC9" s="283"/>
      <c r="CD9" s="282" t="s">
        <v>396</v>
      </c>
      <c r="CE9" s="283"/>
      <c r="CF9" s="284" t="s">
        <v>8</v>
      </c>
      <c r="CG9" s="271">
        <v>43409</v>
      </c>
      <c r="CH9" s="285" t="e">
        <f t="shared" si="16"/>
        <v>#REF!</v>
      </c>
      <c r="CI9" s="272" t="s">
        <v>397</v>
      </c>
      <c r="CJ9" s="272" t="s">
        <v>398</v>
      </c>
      <c r="CK9" s="268" t="s">
        <v>422</v>
      </c>
      <c r="CL9" s="272">
        <v>100</v>
      </c>
      <c r="CM9" s="286">
        <v>2200</v>
      </c>
      <c r="CN9" s="273" t="s">
        <v>400</v>
      </c>
      <c r="CO9" s="271"/>
      <c r="CP9" s="270"/>
      <c r="CQ9" s="270"/>
      <c r="CR9" s="271"/>
      <c r="CS9" s="271"/>
      <c r="CT9" s="270"/>
      <c r="CU9" s="270"/>
      <c r="CV9" s="270"/>
      <c r="CW9" s="270"/>
      <c r="CX9" s="270"/>
      <c r="CY9" s="270"/>
      <c r="CZ9" s="270"/>
      <c r="DA9" s="287"/>
      <c r="DB9" s="270"/>
      <c r="DC9" s="275">
        <v>25</v>
      </c>
      <c r="DD9" s="275">
        <v>18</v>
      </c>
      <c r="DE9" s="280" t="s">
        <v>427</v>
      </c>
      <c r="DF9" s="276">
        <f t="shared" si="4"/>
        <v>150</v>
      </c>
      <c r="DG9" s="276">
        <f>MIN(Q9,DF9)</f>
        <v>150</v>
      </c>
      <c r="DH9" s="275">
        <f t="shared" si="17"/>
        <v>1</v>
      </c>
      <c r="DI9" s="275">
        <v>13</v>
      </c>
      <c r="DJ9" s="280" t="s">
        <v>427</v>
      </c>
      <c r="DK9" s="277">
        <f t="shared" si="18"/>
        <v>100</v>
      </c>
      <c r="DL9" s="276">
        <f>MIN(T9,DK9)</f>
        <v>100</v>
      </c>
      <c r="DM9" s="275">
        <f t="shared" si="19"/>
        <v>1</v>
      </c>
      <c r="DN9" s="275">
        <v>2</v>
      </c>
      <c r="DO9" s="280" t="s">
        <v>428</v>
      </c>
      <c r="DP9" s="277">
        <f t="shared" si="20"/>
        <v>40</v>
      </c>
      <c r="DQ9" s="276">
        <f>MIN(W9,DP9)</f>
        <v>40</v>
      </c>
      <c r="DR9" s="275" t="str">
        <f t="shared" si="21"/>
        <v/>
      </c>
      <c r="DS9" s="275"/>
      <c r="DT9" s="275">
        <f t="shared" si="5"/>
        <v>0</v>
      </c>
      <c r="DU9" s="275">
        <f t="shared" si="22"/>
        <v>1</v>
      </c>
      <c r="DV9" s="275">
        <v>45</v>
      </c>
      <c r="DW9" s="280" t="s">
        <v>429</v>
      </c>
      <c r="DX9" s="275">
        <f t="shared" si="23"/>
        <v>90</v>
      </c>
      <c r="DY9" s="276">
        <f t="shared" si="6"/>
        <v>90</v>
      </c>
      <c r="DZ9" s="276">
        <f>MIN(AA9,DY9)</f>
        <v>90</v>
      </c>
      <c r="EA9" s="275">
        <f t="shared" si="24"/>
        <v>1</v>
      </c>
      <c r="EB9" s="275"/>
      <c r="EC9" s="275">
        <v>1</v>
      </c>
      <c r="ED9" s="276" t="e">
        <f>IF(AND(DF9&gt;0,EA9=1,#REF!=""),100,0)</f>
        <v>#REF!</v>
      </c>
      <c r="EE9" s="276" t="e">
        <f>MIN(AH9,ED9)</f>
        <v>#REF!</v>
      </c>
      <c r="EF9" s="275" t="str">
        <f t="shared" si="25"/>
        <v/>
      </c>
      <c r="EG9" s="275"/>
      <c r="EH9" s="275"/>
      <c r="EI9" s="276">
        <f t="shared" si="7"/>
        <v>0</v>
      </c>
      <c r="EJ9" s="276">
        <f>MIN(AL9,EI9)</f>
        <v>0</v>
      </c>
      <c r="EK9" s="275" t="str">
        <f t="shared" si="26"/>
        <v/>
      </c>
      <c r="EL9" s="275"/>
      <c r="EM9" s="275"/>
      <c r="EN9" s="275"/>
      <c r="EO9" s="275"/>
      <c r="EP9" s="275"/>
      <c r="EQ9" s="275"/>
      <c r="ER9" s="275"/>
      <c r="ES9" s="275">
        <f t="shared" si="27"/>
        <v>0</v>
      </c>
      <c r="ET9" s="276">
        <f t="shared" si="28"/>
        <v>0</v>
      </c>
      <c r="EU9" s="276">
        <f>MIN(AV9,ET9)</f>
        <v>0</v>
      </c>
      <c r="EV9" s="278"/>
      <c r="EW9" s="278"/>
      <c r="EX9" s="278"/>
      <c r="EY9" s="278"/>
      <c r="EZ9" s="278"/>
      <c r="FA9" s="276" t="e">
        <f>IF(D9="新築",MIN(1500,CH9,MIN(DG9+DL9+DQ9+DZ9+EE9+EJ9+EU9,1000)),0)</f>
        <v>#REF!</v>
      </c>
      <c r="FB9" s="276" t="e">
        <f t="shared" si="8"/>
        <v>#REF!</v>
      </c>
      <c r="FC9" s="278"/>
      <c r="FD9" s="288"/>
      <c r="FE9" s="288"/>
      <c r="FF9" s="278"/>
      <c r="FG9" s="278"/>
      <c r="FH9" s="276">
        <f t="shared" si="29"/>
        <v>0</v>
      </c>
      <c r="FI9" s="276">
        <f t="shared" si="9"/>
        <v>0</v>
      </c>
      <c r="FJ9" s="275" t="str">
        <f t="shared" si="30"/>
        <v/>
      </c>
      <c r="FK9" s="280"/>
      <c r="FL9" s="280"/>
      <c r="FM9" s="276" t="e">
        <f>IF(AND(FH9&gt;0,FJ9=1,#REF!=""),100,0)</f>
        <v>#REF!</v>
      </c>
      <c r="FN9" s="276" t="e">
        <f t="shared" si="10"/>
        <v>#REF!</v>
      </c>
      <c r="FO9" s="275" t="str">
        <f t="shared" si="31"/>
        <v/>
      </c>
      <c r="FP9" s="278"/>
      <c r="FQ9" s="278"/>
      <c r="FR9" s="278"/>
      <c r="FS9" s="276">
        <f t="shared" si="32"/>
        <v>0</v>
      </c>
      <c r="FT9" s="276">
        <f t="shared" si="11"/>
        <v>0</v>
      </c>
      <c r="FU9" s="275" t="str">
        <f t="shared" si="33"/>
        <v/>
      </c>
      <c r="FV9" s="278"/>
      <c r="FW9" s="278"/>
      <c r="FX9" s="278"/>
      <c r="FY9" s="276">
        <f t="shared" si="34"/>
        <v>0</v>
      </c>
      <c r="FZ9" s="276">
        <f t="shared" si="12"/>
        <v>0</v>
      </c>
      <c r="GA9" s="278"/>
      <c r="GB9" s="278"/>
      <c r="GC9" s="276">
        <f>IF(D9="改修",MIN(500,FI9+FN9+FT9+FZ9,INT(CM9*10/2)),0)</f>
        <v>0</v>
      </c>
      <c r="GD9" s="276">
        <f t="shared" si="13"/>
        <v>0</v>
      </c>
      <c r="GE9" s="289" t="s">
        <v>405</v>
      </c>
      <c r="GF9" s="290">
        <v>43403</v>
      </c>
      <c r="GG9" s="290">
        <v>43409</v>
      </c>
      <c r="GH9" s="290">
        <v>43429</v>
      </c>
      <c r="GI9" s="285" t="e">
        <f>IF(D9="新築",AZ9,IF(D9="改修",BT9,0))</f>
        <v>#REF!</v>
      </c>
      <c r="GJ9" s="285" t="e">
        <f t="shared" si="14"/>
        <v>#REF!</v>
      </c>
      <c r="GK9" s="285" t="e">
        <f t="shared" si="35"/>
        <v>#REF!</v>
      </c>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row>
    <row r="10" spans="2:871" ht="12" hidden="1" customHeight="1" x14ac:dyDescent="0.15">
      <c r="B10" s="295" t="str">
        <f t="shared" si="0"/>
        <v/>
      </c>
      <c r="C10" s="296"/>
      <c r="D10" s="297"/>
      <c r="E10" s="298" t="str">
        <f t="shared" si="15"/>
        <v/>
      </c>
      <c r="F10" s="299"/>
      <c r="G10" s="299"/>
      <c r="H10" s="300"/>
      <c r="I10" s="299"/>
      <c r="J10" s="297"/>
      <c r="K10" s="299"/>
      <c r="L10" s="297"/>
      <c r="M10" s="297"/>
      <c r="N10" s="301"/>
      <c r="O10" s="302"/>
      <c r="P10" s="302"/>
      <c r="Q10" s="302">
        <f t="shared" si="36"/>
        <v>0</v>
      </c>
      <c r="R10" s="302" t="str">
        <f t="shared" si="37"/>
        <v/>
      </c>
      <c r="S10" s="302"/>
      <c r="T10" s="303">
        <f t="shared" si="38"/>
        <v>0</v>
      </c>
      <c r="U10" s="302" t="str">
        <f t="shared" si="39"/>
        <v/>
      </c>
      <c r="V10" s="302"/>
      <c r="W10" s="303">
        <f t="shared" si="40"/>
        <v>0</v>
      </c>
      <c r="X10" s="302" t="str">
        <f t="shared" si="41"/>
        <v/>
      </c>
      <c r="Y10" s="302"/>
      <c r="Z10" s="302">
        <f t="shared" si="42"/>
        <v>0</v>
      </c>
      <c r="AA10" s="302">
        <f t="shared" si="1"/>
        <v>0</v>
      </c>
      <c r="AB10" s="302" t="str">
        <f t="shared" si="43"/>
        <v/>
      </c>
      <c r="AC10" s="302"/>
      <c r="AD10" s="302">
        <f t="shared" si="2"/>
        <v>0</v>
      </c>
      <c r="AE10" s="302" t="str">
        <f t="shared" si="44"/>
        <v/>
      </c>
      <c r="AF10" s="302"/>
      <c r="AG10" s="302"/>
      <c r="AH10" s="302" t="e">
        <f>IF(AND(Q10&gt;0,AE10=1,#REF!=""),100,0)</f>
        <v>#REF!</v>
      </c>
      <c r="AI10" s="302" t="str">
        <f t="shared" si="45"/>
        <v/>
      </c>
      <c r="AJ10" s="302"/>
      <c r="AK10" s="302"/>
      <c r="AL10" s="302">
        <f t="shared" si="3"/>
        <v>0</v>
      </c>
      <c r="AM10" s="302" t="str">
        <f t="shared" si="46"/>
        <v/>
      </c>
      <c r="AN10" s="302"/>
      <c r="AO10" s="302"/>
      <c r="AP10" s="302"/>
      <c r="AQ10" s="302"/>
      <c r="AR10" s="302"/>
      <c r="AS10" s="302"/>
      <c r="AT10" s="302"/>
      <c r="AU10" s="302">
        <f t="shared" si="47"/>
        <v>0</v>
      </c>
      <c r="AV10" s="302">
        <f t="shared" si="48"/>
        <v>0</v>
      </c>
      <c r="AW10" s="302"/>
      <c r="AX10" s="302"/>
      <c r="AY10" s="302"/>
      <c r="AZ10" s="302">
        <f>IF(OR(D10="新築",D10="登録"),MIN(1000,Q10+T10+W10+AA10+AH10+AL10+AV10),0)</f>
        <v>0</v>
      </c>
      <c r="BA10" s="302"/>
      <c r="BB10" s="304"/>
      <c r="BC10" s="302"/>
      <c r="BD10" s="302">
        <f t="shared" si="49"/>
        <v>0</v>
      </c>
      <c r="BE10" s="302" t="str">
        <f t="shared" si="50"/>
        <v/>
      </c>
      <c r="BF10" s="302"/>
      <c r="BG10" s="302"/>
      <c r="BH10" s="302" t="e">
        <f>IF(AND(BD10&gt;0,BE10=1,#REF!=""),100,0)</f>
        <v>#REF!</v>
      </c>
      <c r="BI10" s="302" t="str">
        <f t="shared" si="51"/>
        <v/>
      </c>
      <c r="BJ10" s="302"/>
      <c r="BK10" s="302"/>
      <c r="BL10" s="302"/>
      <c r="BM10" s="302">
        <f t="shared" si="52"/>
        <v>0</v>
      </c>
      <c r="BN10" s="302" t="str">
        <f t="shared" si="53"/>
        <v/>
      </c>
      <c r="BO10" s="302"/>
      <c r="BP10" s="302"/>
      <c r="BQ10" s="302"/>
      <c r="BR10" s="302">
        <f t="shared" si="54"/>
        <v>0</v>
      </c>
      <c r="BS10" s="302"/>
      <c r="BT10" s="302">
        <f>IF(D10="改修",MIN(500,BD10+BH10+BM10+BR10,INT(CM10*10/2)),0)</f>
        <v>0</v>
      </c>
      <c r="BU10" s="305"/>
      <c r="BV10" s="306"/>
      <c r="BW10" s="306"/>
      <c r="BX10" s="306"/>
      <c r="BY10" s="306"/>
      <c r="BZ10" s="307"/>
      <c r="CA10" s="305"/>
      <c r="CB10" s="306"/>
      <c r="CC10" s="306"/>
      <c r="CD10" s="306"/>
      <c r="CE10" s="306"/>
      <c r="CF10" s="307"/>
      <c r="CG10" s="300"/>
      <c r="CH10" s="308">
        <f t="shared" si="16"/>
        <v>0</v>
      </c>
      <c r="CI10" s="299"/>
      <c r="CJ10" s="299"/>
      <c r="CK10" s="297"/>
      <c r="CL10" s="299"/>
      <c r="CM10" s="309"/>
      <c r="CN10" s="297"/>
      <c r="CO10" s="300"/>
      <c r="CP10" s="299"/>
      <c r="CQ10" s="299"/>
      <c r="CR10" s="300"/>
      <c r="CS10" s="300"/>
      <c r="CT10" s="299"/>
      <c r="CU10" s="299"/>
      <c r="CV10" s="299"/>
      <c r="CW10" s="299"/>
      <c r="CX10" s="299"/>
      <c r="CY10" s="299"/>
      <c r="CZ10" s="299"/>
      <c r="DA10" s="310"/>
      <c r="DB10" s="299"/>
      <c r="DC10" s="302"/>
      <c r="DD10" s="302"/>
      <c r="DE10" s="302"/>
      <c r="DF10" s="302">
        <f t="shared" si="4"/>
        <v>0</v>
      </c>
      <c r="DG10" s="302">
        <f>MIN(Q10,DF10)</f>
        <v>0</v>
      </c>
      <c r="DH10" s="302" t="str">
        <f t="shared" si="17"/>
        <v/>
      </c>
      <c r="DI10" s="302"/>
      <c r="DJ10" s="302"/>
      <c r="DK10" s="303">
        <f t="shared" si="18"/>
        <v>0</v>
      </c>
      <c r="DL10" s="302">
        <f>MIN(T10,DK10)</f>
        <v>0</v>
      </c>
      <c r="DM10" s="302" t="str">
        <f t="shared" si="19"/>
        <v/>
      </c>
      <c r="DN10" s="302"/>
      <c r="DO10" s="302"/>
      <c r="DP10" s="303">
        <f t="shared" si="20"/>
        <v>0</v>
      </c>
      <c r="DQ10" s="302">
        <f>MIN(W10,DP10)</f>
        <v>0</v>
      </c>
      <c r="DR10" s="302" t="str">
        <f t="shared" si="21"/>
        <v/>
      </c>
      <c r="DS10" s="302"/>
      <c r="DT10" s="302">
        <f t="shared" si="5"/>
        <v>0</v>
      </c>
      <c r="DU10" s="302" t="str">
        <f t="shared" si="22"/>
        <v/>
      </c>
      <c r="DV10" s="302"/>
      <c r="DW10" s="302"/>
      <c r="DX10" s="302">
        <f t="shared" si="23"/>
        <v>0</v>
      </c>
      <c r="DY10" s="302">
        <f t="shared" si="6"/>
        <v>0</v>
      </c>
      <c r="DZ10" s="302">
        <f>MIN(AA10,DY10)</f>
        <v>0</v>
      </c>
      <c r="EA10" s="302" t="str">
        <f t="shared" si="24"/>
        <v/>
      </c>
      <c r="EB10" s="302"/>
      <c r="EC10" s="302"/>
      <c r="ED10" s="302" t="e">
        <f>IF(AND(DF10&gt;0,EA10=1,#REF!=""),100,0)</f>
        <v>#REF!</v>
      </c>
      <c r="EE10" s="302" t="e">
        <f>MIN(AH10,ED10)</f>
        <v>#REF!</v>
      </c>
      <c r="EF10" s="302" t="str">
        <f t="shared" si="25"/>
        <v/>
      </c>
      <c r="EG10" s="302"/>
      <c r="EH10" s="302"/>
      <c r="EI10" s="302">
        <f t="shared" si="7"/>
        <v>0</v>
      </c>
      <c r="EJ10" s="302">
        <f>MIN(AL10,EI10)</f>
        <v>0</v>
      </c>
      <c r="EK10" s="302" t="str">
        <f t="shared" si="26"/>
        <v/>
      </c>
      <c r="EL10" s="302"/>
      <c r="EM10" s="302"/>
      <c r="EN10" s="302"/>
      <c r="EO10" s="302"/>
      <c r="EP10" s="302"/>
      <c r="EQ10" s="302"/>
      <c r="ER10" s="302"/>
      <c r="ES10" s="302">
        <f t="shared" si="27"/>
        <v>0</v>
      </c>
      <c r="ET10" s="302">
        <f t="shared" si="28"/>
        <v>0</v>
      </c>
      <c r="EU10" s="302">
        <f>MIN(AV10,ET10)</f>
        <v>0</v>
      </c>
      <c r="EV10" s="302"/>
      <c r="EW10" s="302"/>
      <c r="EX10" s="302"/>
      <c r="EY10" s="302"/>
      <c r="EZ10" s="302"/>
      <c r="FA10" s="302">
        <f>IF(D10="新築",MIN(1500,CH10,MIN(DG10+DL10+DQ10+DZ10+EE10+EJ10+EU10,1000)),0)</f>
        <v>0</v>
      </c>
      <c r="FB10" s="302">
        <f t="shared" si="8"/>
        <v>0</v>
      </c>
      <c r="FC10" s="302"/>
      <c r="FD10" s="311"/>
      <c r="FE10" s="311"/>
      <c r="FF10" s="302"/>
      <c r="FG10" s="302"/>
      <c r="FH10" s="302">
        <f t="shared" si="29"/>
        <v>0</v>
      </c>
      <c r="FI10" s="302">
        <f t="shared" si="9"/>
        <v>0</v>
      </c>
      <c r="FJ10" s="302" t="str">
        <f t="shared" si="30"/>
        <v/>
      </c>
      <c r="FK10" s="302"/>
      <c r="FL10" s="302"/>
      <c r="FM10" s="302" t="e">
        <f>IF(AND(FH10&gt;0,FJ10=1,#REF!=""),100,0)</f>
        <v>#REF!</v>
      </c>
      <c r="FN10" s="302" t="e">
        <f t="shared" si="10"/>
        <v>#REF!</v>
      </c>
      <c r="FO10" s="302" t="str">
        <f t="shared" si="31"/>
        <v/>
      </c>
      <c r="FP10" s="302"/>
      <c r="FQ10" s="302"/>
      <c r="FR10" s="302"/>
      <c r="FS10" s="302">
        <f t="shared" si="32"/>
        <v>0</v>
      </c>
      <c r="FT10" s="302">
        <f t="shared" si="11"/>
        <v>0</v>
      </c>
      <c r="FU10" s="302" t="str">
        <f t="shared" si="33"/>
        <v/>
      </c>
      <c r="FV10" s="302"/>
      <c r="FW10" s="302"/>
      <c r="FX10" s="302"/>
      <c r="FY10" s="302">
        <f t="shared" si="34"/>
        <v>0</v>
      </c>
      <c r="FZ10" s="302">
        <f t="shared" si="12"/>
        <v>0</v>
      </c>
      <c r="GA10" s="302"/>
      <c r="GB10" s="302"/>
      <c r="GC10" s="302">
        <f>IF(D10="改修",MIN(500,FI10+FN10+FT10+FZ10,INT(CM10*10/2)),0)</f>
        <v>0</v>
      </c>
      <c r="GD10" s="302">
        <f t="shared" si="13"/>
        <v>0</v>
      </c>
      <c r="GE10" s="299"/>
      <c r="GF10" s="300"/>
      <c r="GG10" s="300"/>
      <c r="GH10" s="300"/>
      <c r="GI10" s="285">
        <f>IF(D10="新築",AZ10,IF(D10="改修",BT10,0))</f>
        <v>0</v>
      </c>
      <c r="GJ10" s="285">
        <f t="shared" si="14"/>
        <v>0</v>
      </c>
      <c r="GK10" s="285">
        <f t="shared" si="35"/>
        <v>0</v>
      </c>
    </row>
    <row r="11" spans="2:871" s="292" customFormat="1" ht="21.6" customHeight="1" outlineLevel="1" x14ac:dyDescent="0.15">
      <c r="B11" s="266" t="str">
        <f t="shared" si="0"/>
        <v/>
      </c>
      <c r="C11" s="312"/>
      <c r="D11" s="268" t="s">
        <v>407</v>
      </c>
      <c r="E11" s="269" t="str">
        <f t="shared" si="15"/>
        <v/>
      </c>
      <c r="F11" s="270"/>
      <c r="G11" s="268"/>
      <c r="H11" s="271"/>
      <c r="I11" s="272" t="s">
        <v>430</v>
      </c>
      <c r="J11" s="273" t="s">
        <v>430</v>
      </c>
      <c r="K11" s="272" t="s">
        <v>430</v>
      </c>
      <c r="L11" s="313" t="s">
        <v>430</v>
      </c>
      <c r="M11" s="273" t="s">
        <v>430</v>
      </c>
      <c r="N11" s="314" t="s">
        <v>430</v>
      </c>
      <c r="O11" s="275"/>
      <c r="P11" s="275"/>
      <c r="Q11" s="276"/>
      <c r="R11" s="275"/>
      <c r="S11" s="275"/>
      <c r="T11" s="277"/>
      <c r="U11" s="275"/>
      <c r="V11" s="275"/>
      <c r="W11" s="277"/>
      <c r="X11" s="275"/>
      <c r="Y11" s="275"/>
      <c r="Z11" s="275"/>
      <c r="AA11" s="276"/>
      <c r="AB11" s="275"/>
      <c r="AC11" s="275"/>
      <c r="AD11" s="275"/>
      <c r="AE11" s="275"/>
      <c r="AF11" s="275"/>
      <c r="AG11" s="275"/>
      <c r="AH11" s="276"/>
      <c r="AI11" s="275"/>
      <c r="AJ11" s="275"/>
      <c r="AK11" s="275"/>
      <c r="AL11" s="276"/>
      <c r="AM11" s="275"/>
      <c r="AN11" s="275"/>
      <c r="AO11" s="275"/>
      <c r="AP11" s="275"/>
      <c r="AQ11" s="275"/>
      <c r="AR11" s="275"/>
      <c r="AS11" s="275"/>
      <c r="AT11" s="275"/>
      <c r="AU11" s="275"/>
      <c r="AV11" s="276"/>
      <c r="AW11" s="278"/>
      <c r="AX11" s="278"/>
      <c r="AY11" s="278"/>
      <c r="AZ11" s="276"/>
      <c r="BA11" s="278"/>
      <c r="BB11" s="279"/>
      <c r="BC11" s="278"/>
      <c r="BD11" s="276"/>
      <c r="BE11" s="275"/>
      <c r="BF11" s="280"/>
      <c r="BG11" s="280"/>
      <c r="BH11" s="276"/>
      <c r="BI11" s="275"/>
      <c r="BJ11" s="278"/>
      <c r="BK11" s="278"/>
      <c r="BL11" s="278"/>
      <c r="BM11" s="276"/>
      <c r="BN11" s="275"/>
      <c r="BO11" s="278"/>
      <c r="BP11" s="278"/>
      <c r="BQ11" s="278"/>
      <c r="BR11" s="276"/>
      <c r="BS11" s="278"/>
      <c r="BT11" s="276"/>
      <c r="BU11" s="315"/>
      <c r="BV11" s="282"/>
      <c r="BW11" s="282"/>
      <c r="BX11" s="282"/>
      <c r="BY11" s="282"/>
      <c r="BZ11" s="284"/>
      <c r="CA11" s="315"/>
      <c r="CB11" s="282"/>
      <c r="CC11" s="282"/>
      <c r="CD11" s="282"/>
      <c r="CE11" s="282"/>
      <c r="CF11" s="284"/>
      <c r="CG11" s="316"/>
      <c r="CH11" s="285"/>
      <c r="CI11" s="272"/>
      <c r="CJ11" s="272"/>
      <c r="CK11" s="268"/>
      <c r="CL11" s="272"/>
      <c r="CM11" s="272"/>
      <c r="CN11" s="272"/>
      <c r="CO11" s="270"/>
      <c r="CP11" s="270"/>
      <c r="CQ11" s="270"/>
      <c r="CR11" s="271"/>
      <c r="CS11" s="271"/>
      <c r="CT11" s="270"/>
      <c r="CU11" s="270"/>
      <c r="CV11" s="270"/>
      <c r="CW11" s="270"/>
      <c r="CX11" s="270"/>
      <c r="CY11" s="270"/>
      <c r="CZ11" s="270"/>
      <c r="DA11" s="287" t="s">
        <v>431</v>
      </c>
      <c r="DB11" s="268" t="s">
        <v>445</v>
      </c>
      <c r="DC11" s="275"/>
      <c r="DD11" s="275"/>
      <c r="DE11" s="280"/>
      <c r="DF11" s="276"/>
      <c r="DG11" s="276"/>
      <c r="DH11" s="275"/>
      <c r="DI11" s="275"/>
      <c r="DJ11" s="280"/>
      <c r="DK11" s="277"/>
      <c r="DL11" s="276"/>
      <c r="DM11" s="275"/>
      <c r="DN11" s="275"/>
      <c r="DO11" s="280"/>
      <c r="DP11" s="277"/>
      <c r="DQ11" s="276"/>
      <c r="DR11" s="275"/>
      <c r="DS11" s="275"/>
      <c r="DT11" s="275"/>
      <c r="DU11" s="275"/>
      <c r="DV11" s="275"/>
      <c r="DW11" s="280"/>
      <c r="DX11" s="275"/>
      <c r="DY11" s="276"/>
      <c r="DZ11" s="276"/>
      <c r="EA11" s="275"/>
      <c r="EB11" s="275"/>
      <c r="EC11" s="275"/>
      <c r="ED11" s="276"/>
      <c r="EE11" s="276"/>
      <c r="EF11" s="275"/>
      <c r="EG11" s="275"/>
      <c r="EH11" s="275"/>
      <c r="EI11" s="276"/>
      <c r="EJ11" s="276"/>
      <c r="EK11" s="275"/>
      <c r="EL11" s="275"/>
      <c r="EM11" s="275"/>
      <c r="EN11" s="275"/>
      <c r="EO11" s="275"/>
      <c r="EP11" s="275"/>
      <c r="EQ11" s="275"/>
      <c r="ER11" s="275"/>
      <c r="ES11" s="275"/>
      <c r="ET11" s="276"/>
      <c r="EU11" s="276"/>
      <c r="EV11" s="275"/>
      <c r="EW11" s="278"/>
      <c r="EX11" s="278"/>
      <c r="EY11" s="280"/>
      <c r="EZ11" s="280"/>
      <c r="FA11" s="276"/>
      <c r="FB11" s="317"/>
      <c r="FC11" s="275" t="str">
        <f>IF(【様式第６号の２】事業報告書兼チェックシート!Q86="","",【様式第６号の２】事業報告書兼チェックシート!Q86)</f>
        <v/>
      </c>
      <c r="FD11" s="335" t="str">
        <f>IF(【様式第６号の２】事業報告書兼チェックシート!Q87="","",【様式第６号の２】事業報告書兼チェックシート!Q87)</f>
        <v/>
      </c>
      <c r="FE11" s="288"/>
      <c r="FF11" s="335" t="str">
        <f>IF(【様式第６号の２】事業報告書兼チェックシート!Q88="","",【様式第６号の２】事業報告書兼チェックシート!Q88)</f>
        <v/>
      </c>
      <c r="FG11" s="278"/>
      <c r="FH11" s="276">
        <f>IFERROR(MIN(ROUNDDOWN(FD11,1)*20+INT(FF11)*2,250),0)</f>
        <v>0</v>
      </c>
      <c r="FI11" s="276">
        <f>IF('要入力　交付決定状況入力シート'!D3="",0,MIN('要入力　交付決定状況入力シート'!D3/1000,FH11))</f>
        <v>0</v>
      </c>
      <c r="FJ11" s="275" t="str">
        <f>IF(OR(FK11=1,FL11=1),1,"")</f>
        <v/>
      </c>
      <c r="FK11" s="275" t="str">
        <f>IF(【様式第６号の２】事業報告書兼チェックシート!Y100="","",IF(【様式第６号の２】事業報告書兼チェックシート!B102="","",1))</f>
        <v/>
      </c>
      <c r="FL11" s="275" t="str">
        <f>IF(【様式第６号の２】事業報告書兼チェックシート!Y100="","",IF(【様式第６号の２】事業報告書兼チェックシート!P102="","",1))</f>
        <v/>
      </c>
      <c r="FM11" s="276" t="str">
        <f>IFERROR(【様式第６号の２】事業報告書兼チェックシート!Y100*10,"")</f>
        <v/>
      </c>
      <c r="FN11" s="276">
        <f>IF('要入力　交付決定状況入力シート'!D5="",0,MIN('要入力　交付決定状況入力シート'!D5/1000,FM11))</f>
        <v>0</v>
      </c>
      <c r="FO11" s="275" t="str">
        <f>IF(OR(FP11=1,FQ11=1,FR11=1),1,"")</f>
        <v/>
      </c>
      <c r="FP11" s="275" t="str">
        <f>IF(【様式第６号の２】事業報告書兼チェックシート!Y118="","",IF(【様式第６号の２】事業報告書兼チェックシート!B131="","",1))</f>
        <v/>
      </c>
      <c r="FQ11" s="275" t="str">
        <f>IF(【様式第６号の２】事業報告書兼チェックシート!Y118="","",IF(【様式第６号の２】事業報告書兼チェックシート!B133="","",1))</f>
        <v/>
      </c>
      <c r="FR11" s="275" t="str">
        <f>IF(【様式第６号の２】事業報告書兼チェックシート!Y118="","",IF(【様式第６号の２】事業報告書兼チェックシート!B135="","",1))</f>
        <v/>
      </c>
      <c r="FS11" s="276" t="str">
        <f>IFERROR(【様式第６号の２】事業報告書兼チェックシート!Y118*10,"")</f>
        <v/>
      </c>
      <c r="FT11" s="276">
        <f>IF('要入力　交付決定状況入力シート'!D6="",0,MIN('要入力　交付決定状況入力シート'!D6/1000,FS11))</f>
        <v>0</v>
      </c>
      <c r="FU11" s="275">
        <f>IFERROR(IF(OR(AND(FV11&gt;=7,FW11&gt;=7,FV11+FW11&gt;=14),AND(FV11&gt;=7,FX11&gt;=3,FV11+FX11&gt;=10),AND(FW11&gt;=7,FX11&gt;=3,FW11+FX11&gt;=10)),1,""),0)</f>
        <v>0</v>
      </c>
      <c r="FV11" s="275" t="str">
        <f>IF(【様式第６号の２】事業報告書兼チェックシート!N161="","",【様式第６号の２】事業報告書兼チェックシート!N161)</f>
        <v/>
      </c>
      <c r="FW11" s="275" t="str">
        <f>IF(【様式第６号の２】事業報告書兼チェックシート!N168="","",【様式第６号の２】事業報告書兼チェックシート!N168)</f>
        <v/>
      </c>
      <c r="FX11" s="275" t="str">
        <f>IF(【様式第６号の２】事業報告書兼チェックシート!N179="","",【様式第６号の２】事業報告書兼チェックシート!N179)</f>
        <v/>
      </c>
      <c r="FY11" s="276">
        <f t="shared" si="34"/>
        <v>0</v>
      </c>
      <c r="FZ11" s="276">
        <f>IF('要入力　交付決定状況入力シート'!D4="",0,MIN('要入力　交付決定状況入力シート'!D4/1000,FY11))</f>
        <v>0</v>
      </c>
      <c r="GA11" s="275" t="str">
        <f>IF(【様式第６号の２】事業報告書兼チェックシート!R168="","",【様式第６号の２】事業報告書兼チェックシート!R168)</f>
        <v/>
      </c>
      <c r="GB11" s="278"/>
      <c r="GC11" s="276">
        <f>IF(D11="改修",MIN(500,FI11+FN11+FT11+FZ11,INT(【様式第６号の２】事業報告書兼チェックシート!S31*10/2)),0)</f>
        <v>0</v>
      </c>
      <c r="GD11" s="276">
        <f>IFERROR('要入力　交付決定状況入力シート'!D9/1000-GC11,0)</f>
        <v>0</v>
      </c>
      <c r="GE11" s="289"/>
      <c r="GF11" s="290"/>
      <c r="GG11" s="290"/>
      <c r="GH11" s="290"/>
      <c r="GI11" s="285">
        <f>IFERROR(IF(D11="改修",'要入力　交付決定状況入力シート'!D9/1000,0),0)</f>
        <v>0</v>
      </c>
      <c r="GJ11" s="285">
        <f t="shared" si="14"/>
        <v>0</v>
      </c>
      <c r="GK11" s="285">
        <f>GI11-GJ11</f>
        <v>0</v>
      </c>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1"/>
      <c r="JW11" s="131"/>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1"/>
      <c r="LP11" s="131"/>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1"/>
      <c r="NI11" s="131"/>
      <c r="NJ11" s="131"/>
      <c r="NK11" s="131"/>
      <c r="NL11" s="131"/>
      <c r="NM11" s="131"/>
      <c r="NN11" s="131"/>
      <c r="NO11" s="131"/>
      <c r="NP11" s="131"/>
      <c r="NQ11" s="131"/>
      <c r="NR11" s="131"/>
      <c r="NS11" s="131"/>
      <c r="NT11" s="131"/>
      <c r="NU11" s="131"/>
      <c r="NV11" s="131"/>
      <c r="NW11" s="131"/>
      <c r="NX11" s="131"/>
      <c r="NY11" s="131"/>
      <c r="NZ11" s="131"/>
      <c r="OA11" s="131"/>
      <c r="OB11" s="131"/>
      <c r="OC11" s="131"/>
      <c r="OD11" s="131"/>
      <c r="OE11" s="131"/>
      <c r="OF11" s="131"/>
      <c r="OG11" s="131"/>
      <c r="OH11" s="131"/>
      <c r="OI11" s="131"/>
      <c r="OJ11" s="131"/>
      <c r="OK11" s="131"/>
      <c r="OL11" s="131"/>
      <c r="OM11" s="131"/>
      <c r="ON11" s="131"/>
      <c r="OO11" s="131"/>
      <c r="OP11" s="131"/>
      <c r="OQ11" s="131"/>
      <c r="OR11" s="131"/>
      <c r="OS11" s="131"/>
      <c r="OT11" s="131"/>
      <c r="OU11" s="131"/>
      <c r="OV11" s="131"/>
      <c r="OW11" s="131"/>
      <c r="OX11" s="131"/>
      <c r="OY11" s="131"/>
      <c r="OZ11" s="131"/>
      <c r="PA11" s="131"/>
      <c r="PB11" s="131"/>
      <c r="PC11" s="131"/>
      <c r="PD11" s="131"/>
      <c r="PE11" s="131"/>
      <c r="PF11" s="131"/>
      <c r="PG11" s="131"/>
      <c r="PH11" s="131"/>
      <c r="PI11" s="131"/>
      <c r="PJ11" s="131"/>
      <c r="PK11" s="131"/>
      <c r="PL11" s="131"/>
      <c r="PM11" s="131"/>
      <c r="PN11" s="131"/>
      <c r="PO11" s="131"/>
      <c r="PP11" s="131"/>
      <c r="PQ11" s="131"/>
      <c r="PR11" s="131"/>
      <c r="PS11" s="131"/>
      <c r="PT11" s="131"/>
      <c r="PU11" s="131"/>
      <c r="PV11" s="131"/>
      <c r="PW11" s="131"/>
      <c r="PX11" s="131"/>
      <c r="PY11" s="131"/>
      <c r="PZ11" s="131"/>
      <c r="QA11" s="131"/>
      <c r="QB11" s="131"/>
      <c r="QC11" s="131"/>
      <c r="QD11" s="131"/>
      <c r="QE11" s="131"/>
      <c r="QF11" s="131"/>
      <c r="QG11" s="131"/>
      <c r="QH11" s="131"/>
      <c r="QI11" s="131"/>
      <c r="QJ11" s="131"/>
      <c r="QK11" s="131"/>
      <c r="QL11" s="131"/>
      <c r="QM11" s="131"/>
      <c r="QN11" s="131"/>
      <c r="QO11" s="131"/>
      <c r="QP11" s="131"/>
      <c r="QQ11" s="131"/>
      <c r="QR11" s="131"/>
      <c r="QS11" s="131"/>
      <c r="QT11" s="131"/>
      <c r="QU11" s="131"/>
      <c r="QV11" s="131"/>
      <c r="QW11" s="131"/>
      <c r="QX11" s="131"/>
      <c r="QY11" s="131"/>
      <c r="QZ11" s="131"/>
      <c r="RA11" s="131"/>
      <c r="RB11" s="131"/>
      <c r="RC11" s="131"/>
      <c r="RD11" s="131"/>
      <c r="RE11" s="131"/>
      <c r="RF11" s="131"/>
      <c r="RG11" s="131"/>
      <c r="RH11" s="131"/>
      <c r="RI11" s="131"/>
      <c r="RJ11" s="131"/>
      <c r="RK11" s="131"/>
      <c r="RL11" s="131"/>
      <c r="RM11" s="131"/>
      <c r="RN11" s="131"/>
      <c r="RO11" s="131"/>
      <c r="RP11" s="131"/>
      <c r="RQ11" s="131"/>
      <c r="RR11" s="131"/>
      <c r="RS11" s="131"/>
      <c r="RT11" s="131"/>
      <c r="RU11" s="131"/>
      <c r="RV11" s="131"/>
      <c r="RW11" s="131"/>
      <c r="RX11" s="131"/>
      <c r="RY11" s="131"/>
      <c r="RZ11" s="131"/>
      <c r="SA11" s="131"/>
      <c r="SB11" s="131"/>
      <c r="SC11" s="131"/>
      <c r="SD11" s="131"/>
      <c r="SE11" s="131"/>
      <c r="SF11" s="131"/>
      <c r="SG11" s="131"/>
      <c r="SH11" s="131"/>
      <c r="SI11" s="131"/>
      <c r="SJ11" s="131"/>
      <c r="SK11" s="131"/>
      <c r="SL11" s="131"/>
      <c r="SM11" s="131"/>
      <c r="SN11" s="131"/>
      <c r="SO11" s="131"/>
      <c r="SP11" s="131"/>
      <c r="SQ11" s="131"/>
      <c r="SR11" s="131"/>
      <c r="SS11" s="131"/>
      <c r="ST11" s="131"/>
      <c r="SU11" s="131"/>
      <c r="SV11" s="131"/>
      <c r="SW11" s="131"/>
      <c r="SX11" s="131"/>
      <c r="SY11" s="131"/>
      <c r="SZ11" s="131"/>
      <c r="TA11" s="131"/>
      <c r="TB11" s="131"/>
      <c r="TC11" s="131"/>
      <c r="TD11" s="131"/>
      <c r="TE11" s="131"/>
      <c r="TF11" s="131"/>
      <c r="TG11" s="131"/>
      <c r="TH11" s="131"/>
      <c r="TI11" s="131"/>
      <c r="TJ11" s="131"/>
      <c r="TK11" s="131"/>
      <c r="TL11" s="131"/>
      <c r="TM11" s="131"/>
      <c r="TN11" s="131"/>
      <c r="TO11" s="131"/>
      <c r="TP11" s="131"/>
      <c r="TQ11" s="131"/>
      <c r="TR11" s="131"/>
      <c r="TS11" s="131"/>
      <c r="TT11" s="131"/>
      <c r="TU11" s="131"/>
      <c r="TV11" s="131"/>
      <c r="TW11" s="131"/>
      <c r="TX11" s="131"/>
      <c r="TY11" s="131"/>
      <c r="TZ11" s="131"/>
      <c r="UA11" s="131"/>
      <c r="UB11" s="131"/>
      <c r="UC11" s="131"/>
      <c r="UD11" s="131"/>
      <c r="UE11" s="131"/>
      <c r="UF11" s="131"/>
      <c r="UG11" s="131"/>
      <c r="UH11" s="131"/>
      <c r="UI11" s="131"/>
      <c r="UJ11" s="131"/>
      <c r="UK11" s="131"/>
      <c r="UL11" s="131"/>
      <c r="UM11" s="131"/>
      <c r="UN11" s="131"/>
      <c r="UO11" s="131"/>
      <c r="UP11" s="131"/>
      <c r="UQ11" s="131"/>
      <c r="UR11" s="131"/>
      <c r="US11" s="131"/>
      <c r="UT11" s="131"/>
      <c r="UU11" s="131"/>
      <c r="UV11" s="131"/>
      <c r="UW11" s="131"/>
      <c r="UX11" s="131"/>
      <c r="UY11" s="131"/>
      <c r="UZ11" s="131"/>
      <c r="VA11" s="131"/>
      <c r="VB11" s="131"/>
      <c r="VC11" s="131"/>
      <c r="VD11" s="131"/>
      <c r="VE11" s="131"/>
      <c r="VF11" s="131"/>
      <c r="VG11" s="131"/>
      <c r="VH11" s="131"/>
      <c r="VI11" s="131"/>
      <c r="VJ11" s="131"/>
      <c r="VK11" s="131"/>
      <c r="VL11" s="131"/>
      <c r="VM11" s="131"/>
      <c r="VN11" s="131"/>
      <c r="VO11" s="131"/>
      <c r="VP11" s="131"/>
      <c r="VQ11" s="131"/>
      <c r="VR11" s="131"/>
      <c r="VS11" s="131"/>
      <c r="VT11" s="131"/>
      <c r="VU11" s="131"/>
      <c r="VV11" s="131"/>
      <c r="VW11" s="131"/>
      <c r="VX11" s="131"/>
      <c r="VY11" s="131"/>
      <c r="VZ11" s="131"/>
      <c r="WA11" s="131"/>
      <c r="WB11" s="131"/>
      <c r="WC11" s="131"/>
      <c r="WD11" s="131"/>
      <c r="WE11" s="131"/>
      <c r="WF11" s="131"/>
      <c r="WG11" s="131"/>
      <c r="WH11" s="131"/>
      <c r="WI11" s="131"/>
      <c r="WJ11" s="131"/>
      <c r="WK11" s="131"/>
      <c r="WL11" s="131"/>
      <c r="WM11" s="131"/>
      <c r="WN11" s="131"/>
      <c r="WO11" s="131"/>
      <c r="WP11" s="131"/>
      <c r="WQ11" s="131"/>
      <c r="WR11" s="131"/>
      <c r="WS11" s="131"/>
      <c r="WT11" s="131"/>
      <c r="WU11" s="131"/>
      <c r="WV11" s="131"/>
      <c r="WW11" s="131"/>
      <c r="WX11" s="131"/>
      <c r="WY11" s="131"/>
      <c r="WZ11" s="131"/>
      <c r="XA11" s="131"/>
      <c r="XB11" s="131"/>
      <c r="XC11" s="131"/>
      <c r="XD11" s="131"/>
      <c r="XE11" s="131"/>
      <c r="XF11" s="131"/>
      <c r="XG11" s="131"/>
      <c r="XH11" s="131"/>
      <c r="XI11" s="131"/>
      <c r="XJ11" s="131"/>
      <c r="XK11" s="131"/>
      <c r="XL11" s="131"/>
      <c r="XM11" s="131"/>
      <c r="XN11" s="131"/>
      <c r="XO11" s="131"/>
      <c r="XP11" s="131"/>
      <c r="XQ11" s="131"/>
      <c r="XR11" s="131"/>
      <c r="XS11" s="131"/>
      <c r="XT11" s="131"/>
      <c r="XU11" s="131"/>
      <c r="XV11" s="131"/>
      <c r="XW11" s="131"/>
      <c r="XX11" s="131"/>
      <c r="XY11" s="131"/>
      <c r="XZ11" s="131"/>
      <c r="YA11" s="131"/>
      <c r="YB11" s="131"/>
      <c r="YC11" s="131"/>
      <c r="YD11" s="131"/>
      <c r="YE11" s="131"/>
      <c r="YF11" s="131"/>
      <c r="YG11" s="131"/>
      <c r="YH11" s="131"/>
      <c r="YI11" s="131"/>
      <c r="YJ11" s="131"/>
      <c r="YK11" s="131"/>
      <c r="YL11" s="131"/>
      <c r="YM11" s="131"/>
      <c r="YN11" s="131"/>
      <c r="YO11" s="131"/>
      <c r="YP11" s="131"/>
      <c r="YQ11" s="131"/>
      <c r="YR11" s="131"/>
      <c r="YS11" s="131"/>
      <c r="YT11" s="131"/>
      <c r="YU11" s="131"/>
      <c r="YV11" s="131"/>
      <c r="YW11" s="131"/>
      <c r="YX11" s="131"/>
      <c r="YY11" s="131"/>
      <c r="YZ11" s="131"/>
      <c r="ZA11" s="131"/>
      <c r="ZB11" s="131"/>
      <c r="ZC11" s="131"/>
      <c r="ZD11" s="131"/>
      <c r="ZE11" s="131"/>
      <c r="ZF11" s="131"/>
      <c r="ZG11" s="131"/>
      <c r="ZH11" s="131"/>
      <c r="ZI11" s="131"/>
      <c r="ZJ11" s="131"/>
      <c r="ZK11" s="131"/>
      <c r="ZL11" s="131"/>
      <c r="ZM11" s="131"/>
      <c r="ZN11" s="131"/>
      <c r="ZO11" s="131"/>
      <c r="ZP11" s="131"/>
      <c r="ZQ11" s="131"/>
      <c r="ZR11" s="131"/>
      <c r="ZS11" s="131"/>
      <c r="ZT11" s="131"/>
      <c r="ZU11" s="131"/>
      <c r="ZV11" s="131"/>
      <c r="ZW11" s="131"/>
      <c r="ZX11" s="131"/>
      <c r="ZY11" s="131"/>
      <c r="ZZ11" s="131"/>
      <c r="AAA11" s="131"/>
      <c r="AAB11" s="131"/>
      <c r="AAC11" s="131"/>
      <c r="AAD11" s="131"/>
      <c r="AAE11" s="131"/>
      <c r="AAF11" s="131"/>
      <c r="AAG11" s="131"/>
      <c r="AAH11" s="131"/>
      <c r="AAI11" s="131"/>
      <c r="AAJ11" s="131"/>
      <c r="AAK11" s="131"/>
      <c r="AAL11" s="131"/>
      <c r="AAM11" s="131"/>
      <c r="AAN11" s="131"/>
      <c r="AAO11" s="131"/>
      <c r="AAP11" s="131"/>
      <c r="AAQ11" s="131"/>
      <c r="AAR11" s="131"/>
      <c r="AAS11" s="131"/>
      <c r="AAT11" s="131"/>
      <c r="AAU11" s="131"/>
      <c r="AAV11" s="131"/>
      <c r="AAW11" s="131"/>
      <c r="AAX11" s="131"/>
      <c r="AAY11" s="131"/>
      <c r="AAZ11" s="131"/>
      <c r="ABA11" s="131"/>
      <c r="ABB11" s="131"/>
      <c r="ABC11" s="131"/>
      <c r="ABD11" s="131"/>
      <c r="ABE11" s="131"/>
      <c r="ABF11" s="131"/>
      <c r="ABG11" s="131"/>
      <c r="ABH11" s="131"/>
      <c r="ABI11" s="131"/>
      <c r="ABJ11" s="131"/>
      <c r="ABK11" s="131"/>
      <c r="ABL11" s="131"/>
      <c r="ABM11" s="131"/>
      <c r="ABN11" s="131"/>
      <c r="ABO11" s="131"/>
      <c r="ABP11" s="131"/>
      <c r="ABQ11" s="131"/>
      <c r="ABR11" s="131"/>
      <c r="ABS11" s="131"/>
      <c r="ABT11" s="131"/>
      <c r="ABU11" s="131"/>
      <c r="ABV11" s="131"/>
      <c r="ABW11" s="131"/>
      <c r="ABX11" s="131"/>
      <c r="ABY11" s="131"/>
      <c r="ABZ11" s="131"/>
      <c r="ACA11" s="131"/>
      <c r="ACB11" s="131"/>
      <c r="ACC11" s="131"/>
      <c r="ACD11" s="131"/>
      <c r="ACE11" s="131"/>
      <c r="ACF11" s="131"/>
      <c r="ACG11" s="131"/>
      <c r="ACH11" s="131"/>
      <c r="ACI11" s="131"/>
      <c r="ACJ11" s="131"/>
      <c r="ACK11" s="131"/>
      <c r="ACL11" s="131"/>
      <c r="ACM11" s="131"/>
      <c r="ACN11" s="131"/>
      <c r="ACO11" s="131"/>
      <c r="ACP11" s="131"/>
      <c r="ACQ11" s="131"/>
      <c r="ACR11" s="131"/>
      <c r="ACS11" s="131"/>
      <c r="ACT11" s="131"/>
      <c r="ACU11" s="131"/>
      <c r="ACV11" s="131"/>
      <c r="ACW11" s="131"/>
      <c r="ACX11" s="131"/>
      <c r="ACY11" s="131"/>
      <c r="ACZ11" s="131"/>
      <c r="ADA11" s="131"/>
      <c r="ADB11" s="131"/>
      <c r="ADC11" s="131"/>
      <c r="ADD11" s="131"/>
      <c r="ADE11" s="131"/>
      <c r="ADF11" s="131"/>
      <c r="ADG11" s="131"/>
      <c r="ADH11" s="131"/>
      <c r="ADI11" s="131"/>
      <c r="ADJ11" s="131"/>
      <c r="ADK11" s="131"/>
      <c r="ADL11" s="131"/>
      <c r="ADM11" s="131"/>
      <c r="ADN11" s="131"/>
      <c r="ADO11" s="131"/>
      <c r="ADP11" s="131"/>
      <c r="ADQ11" s="131"/>
      <c r="ADR11" s="131"/>
      <c r="ADS11" s="131"/>
      <c r="ADT11" s="131"/>
      <c r="ADU11" s="131"/>
      <c r="ADV11" s="131"/>
      <c r="ADW11" s="131"/>
      <c r="ADX11" s="131"/>
      <c r="ADY11" s="131"/>
      <c r="ADZ11" s="131"/>
      <c r="AEA11" s="131"/>
      <c r="AEB11" s="131"/>
      <c r="AEC11" s="131"/>
      <c r="AED11" s="131"/>
      <c r="AEE11" s="131"/>
      <c r="AEF11" s="131"/>
      <c r="AEG11" s="131"/>
      <c r="AEH11" s="131"/>
      <c r="AEI11" s="131"/>
      <c r="AEJ11" s="131"/>
      <c r="AEK11" s="131"/>
      <c r="AEL11" s="131"/>
      <c r="AEM11" s="131"/>
      <c r="AEN11" s="131"/>
      <c r="AEO11" s="131"/>
      <c r="AEP11" s="131"/>
      <c r="AEQ11" s="131"/>
      <c r="AER11" s="131"/>
      <c r="AES11" s="131"/>
      <c r="AET11" s="131"/>
      <c r="AEU11" s="131"/>
      <c r="AEV11" s="131"/>
      <c r="AEW11" s="131"/>
      <c r="AEX11" s="131"/>
      <c r="AEY11" s="131"/>
      <c r="AEZ11" s="131"/>
      <c r="AFA11" s="131"/>
      <c r="AFB11" s="131"/>
      <c r="AFC11" s="131"/>
      <c r="AFD11" s="131"/>
      <c r="AFE11" s="131"/>
      <c r="AFF11" s="131"/>
      <c r="AFG11" s="131"/>
      <c r="AFH11" s="131"/>
      <c r="AFI11" s="131"/>
      <c r="AFJ11" s="131"/>
      <c r="AFK11" s="131"/>
      <c r="AFL11" s="131"/>
      <c r="AFM11" s="131"/>
      <c r="AFN11" s="131"/>
      <c r="AFO11" s="131"/>
      <c r="AFP11" s="131"/>
      <c r="AFQ11" s="131"/>
      <c r="AFR11" s="131"/>
      <c r="AFS11" s="131"/>
      <c r="AFT11" s="131"/>
      <c r="AFU11" s="131"/>
      <c r="AFV11" s="131"/>
      <c r="AFW11" s="131"/>
      <c r="AFX11" s="131"/>
      <c r="AFY11" s="131"/>
      <c r="AFZ11" s="131"/>
      <c r="AGA11" s="131"/>
      <c r="AGB11" s="131"/>
      <c r="AGC11" s="131"/>
      <c r="AGD11" s="131"/>
      <c r="AGE11" s="131"/>
      <c r="AGF11" s="131"/>
      <c r="AGG11" s="131"/>
      <c r="AGH11" s="131"/>
      <c r="AGI11" s="131"/>
      <c r="AGJ11" s="131"/>
      <c r="AGK11" s="131"/>
      <c r="AGL11" s="131"/>
      <c r="AGM11" s="131"/>
    </row>
    <row r="12" spans="2:871" ht="30" customHeight="1" outlineLevel="1" x14ac:dyDescent="0.15">
      <c r="K12" s="125" t="s">
        <v>432</v>
      </c>
      <c r="FC12" s="318" t="s">
        <v>446</v>
      </c>
    </row>
    <row r="13" spans="2:871" s="292" customFormat="1" ht="30" hidden="1" customHeight="1" x14ac:dyDescent="0.15">
      <c r="B13" s="319">
        <f>SUBTOTAL(3,B11:B11)</f>
        <v>1</v>
      </c>
      <c r="C13" s="320" t="s">
        <v>433</v>
      </c>
      <c r="D13" s="321">
        <f>SUBTOTAL(3,D11:D11)</f>
        <v>1</v>
      </c>
      <c r="E13" s="321">
        <f>SUBTOTAL(3,E11:E11)</f>
        <v>1</v>
      </c>
      <c r="G13" s="321">
        <f>SUBTOTAL(3,G11:G11)</f>
        <v>0</v>
      </c>
      <c r="H13" s="322"/>
      <c r="J13" s="323"/>
      <c r="K13" s="319">
        <f>SUBTOTAL(3,K11:K11)</f>
        <v>1</v>
      </c>
      <c r="L13" s="323"/>
      <c r="M13" s="323"/>
      <c r="N13" s="324"/>
      <c r="O13" s="319">
        <f t="shared" ref="O13:AM13" si="55">SUBTOTAL(9,O11:O11)</f>
        <v>0</v>
      </c>
      <c r="P13" s="319">
        <f t="shared" si="55"/>
        <v>0</v>
      </c>
      <c r="Q13" s="319">
        <f t="shared" si="55"/>
        <v>0</v>
      </c>
      <c r="R13" s="319">
        <f t="shared" si="55"/>
        <v>0</v>
      </c>
      <c r="S13" s="319">
        <f t="shared" si="55"/>
        <v>0</v>
      </c>
      <c r="T13" s="319">
        <f t="shared" si="55"/>
        <v>0</v>
      </c>
      <c r="U13" s="319">
        <f t="shared" si="55"/>
        <v>0</v>
      </c>
      <c r="V13" s="319">
        <f t="shared" si="55"/>
        <v>0</v>
      </c>
      <c r="W13" s="319">
        <f t="shared" si="55"/>
        <v>0</v>
      </c>
      <c r="X13" s="319">
        <f t="shared" si="55"/>
        <v>0</v>
      </c>
      <c r="Y13" s="319">
        <f t="shared" si="55"/>
        <v>0</v>
      </c>
      <c r="Z13" s="319">
        <f t="shared" si="55"/>
        <v>0</v>
      </c>
      <c r="AA13" s="319">
        <f t="shared" si="55"/>
        <v>0</v>
      </c>
      <c r="AB13" s="319">
        <f t="shared" si="55"/>
        <v>0</v>
      </c>
      <c r="AC13" s="319">
        <f t="shared" si="55"/>
        <v>0</v>
      </c>
      <c r="AD13" s="319">
        <f t="shared" si="55"/>
        <v>0</v>
      </c>
      <c r="AE13" s="319">
        <f t="shared" si="55"/>
        <v>0</v>
      </c>
      <c r="AF13" s="319">
        <f t="shared" si="55"/>
        <v>0</v>
      </c>
      <c r="AG13" s="319">
        <f t="shared" si="55"/>
        <v>0</v>
      </c>
      <c r="AH13" s="319">
        <f t="shared" si="55"/>
        <v>0</v>
      </c>
      <c r="AI13" s="319">
        <f t="shared" si="55"/>
        <v>0</v>
      </c>
      <c r="AJ13" s="319">
        <f t="shared" si="55"/>
        <v>0</v>
      </c>
      <c r="AK13" s="319">
        <f t="shared" si="55"/>
        <v>0</v>
      </c>
      <c r="AL13" s="319">
        <f t="shared" si="55"/>
        <v>0</v>
      </c>
      <c r="AM13" s="319">
        <f t="shared" si="55"/>
        <v>0</v>
      </c>
      <c r="AN13" s="319">
        <f t="shared" ref="AN13:AT13" si="56">SUBTOTAL(3,AN11:AN11)</f>
        <v>0</v>
      </c>
      <c r="AO13" s="319">
        <f t="shared" si="56"/>
        <v>0</v>
      </c>
      <c r="AP13" s="319">
        <f t="shared" si="56"/>
        <v>0</v>
      </c>
      <c r="AQ13" s="319">
        <f t="shared" si="56"/>
        <v>0</v>
      </c>
      <c r="AR13" s="319">
        <f t="shared" si="56"/>
        <v>0</v>
      </c>
      <c r="AS13" s="319">
        <f t="shared" si="56"/>
        <v>0</v>
      </c>
      <c r="AT13" s="319">
        <f t="shared" si="56"/>
        <v>0</v>
      </c>
      <c r="AU13" s="319">
        <f>SUBTOTAL(9,AU11:AU11)</f>
        <v>0</v>
      </c>
      <c r="AV13" s="319">
        <f>SUBTOTAL(9,AV11:AV11)</f>
        <v>0</v>
      </c>
      <c r="AW13" s="319">
        <f>SUBTOTAL(3,AW11:AW11)</f>
        <v>0</v>
      </c>
      <c r="AX13" s="319">
        <f>SUBTOTAL(3,AX11:AX11)</f>
        <v>0</v>
      </c>
      <c r="AY13" s="319">
        <f>SUBTOTAL(3,AY11:AY11)</f>
        <v>0</v>
      </c>
      <c r="AZ13" s="319">
        <f t="shared" ref="AZ13:BN13" si="57">SUBTOTAL(9,AZ11:AZ11)</f>
        <v>0</v>
      </c>
      <c r="BA13" s="319">
        <f t="shared" si="57"/>
        <v>0</v>
      </c>
      <c r="BB13" s="319">
        <f t="shared" si="57"/>
        <v>0</v>
      </c>
      <c r="BC13" s="319">
        <f t="shared" si="57"/>
        <v>0</v>
      </c>
      <c r="BD13" s="319">
        <f t="shared" si="57"/>
        <v>0</v>
      </c>
      <c r="BE13" s="319">
        <f t="shared" si="57"/>
        <v>0</v>
      </c>
      <c r="BF13" s="319">
        <f t="shared" si="57"/>
        <v>0</v>
      </c>
      <c r="BG13" s="319">
        <f t="shared" si="57"/>
        <v>0</v>
      </c>
      <c r="BH13" s="319">
        <f t="shared" si="57"/>
        <v>0</v>
      </c>
      <c r="BI13" s="319">
        <f t="shared" si="57"/>
        <v>0</v>
      </c>
      <c r="BJ13" s="319">
        <f t="shared" si="57"/>
        <v>0</v>
      </c>
      <c r="BK13" s="319">
        <f t="shared" si="57"/>
        <v>0</v>
      </c>
      <c r="BL13" s="319">
        <f t="shared" si="57"/>
        <v>0</v>
      </c>
      <c r="BM13" s="319">
        <f t="shared" si="57"/>
        <v>0</v>
      </c>
      <c r="BN13" s="319">
        <f t="shared" si="57"/>
        <v>0</v>
      </c>
      <c r="BO13" s="319">
        <f>SUBTOTAL(3,BO11:BO11)</f>
        <v>0</v>
      </c>
      <c r="BP13" s="319">
        <f>SUBTOTAL(3,BP11:BP11)</f>
        <v>0</v>
      </c>
      <c r="BQ13" s="319">
        <f>SUBTOTAL(3,BQ11:BQ11)</f>
        <v>0</v>
      </c>
      <c r="BR13" s="319">
        <f>SUBTOTAL(9,BR11:BR11)</f>
        <v>0</v>
      </c>
      <c r="BS13" s="319">
        <f>SUBTOTAL(3,BS11:BS11)</f>
        <v>0</v>
      </c>
      <c r="BT13" s="319">
        <f>SUBTOTAL(9,BT11:BT11)</f>
        <v>0</v>
      </c>
      <c r="BU13" s="322"/>
      <c r="BV13" s="322"/>
      <c r="BW13" s="322"/>
      <c r="BX13" s="322"/>
      <c r="BY13" s="322"/>
      <c r="BZ13" s="322"/>
      <c r="CA13" s="322"/>
      <c r="CB13" s="322"/>
      <c r="CC13" s="322"/>
      <c r="CD13" s="322"/>
      <c r="CE13" s="322"/>
      <c r="CF13" s="322"/>
      <c r="CG13" s="322"/>
      <c r="CH13" s="319">
        <f>SUBTOTAL(9,CH11:CH11)</f>
        <v>0</v>
      </c>
      <c r="CI13" s="319">
        <f>SUBTOTAL(3,CI11:CI11)</f>
        <v>0</v>
      </c>
      <c r="CK13" s="321">
        <f>SUBTOTAL(3,CK11:CK11)</f>
        <v>0</v>
      </c>
      <c r="CL13" s="319">
        <f>SUBTOTAL(9,CL11:CL11)</f>
        <v>0</v>
      </c>
      <c r="CM13" s="319">
        <f>SUBTOTAL(9,CM11:CM11)</f>
        <v>0</v>
      </c>
      <c r="CN13" s="323"/>
      <c r="CO13" s="322"/>
      <c r="CR13" s="322"/>
      <c r="CS13" s="322"/>
      <c r="CV13" s="319">
        <f>SUBTOTAL(3,CV11:CV11)</f>
        <v>0</v>
      </c>
      <c r="DB13" s="321">
        <f>SUBTOTAL(3,DB11:DB11)</f>
        <v>1</v>
      </c>
      <c r="DC13" s="319">
        <f>SUBTOTAL(9,DC11:DC11)</f>
        <v>0</v>
      </c>
      <c r="DD13" s="319">
        <f>SUBTOTAL(9,DD11:DD11)</f>
        <v>0</v>
      </c>
      <c r="DE13" s="319">
        <f>SUBTOTAL(3,DE11:DE11)</f>
        <v>0</v>
      </c>
      <c r="DF13" s="319">
        <f>SUBTOTAL(9,DF11:DF11)</f>
        <v>0</v>
      </c>
      <c r="DG13" s="319">
        <f>SUBTOTAL(9,DG11:DG11)</f>
        <v>0</v>
      </c>
      <c r="DH13" s="319">
        <f>SUBTOTAL(9,DH11:DH11)</f>
        <v>0</v>
      </c>
      <c r="DI13" s="319">
        <f>SUBTOTAL(9,DI11:DI11)</f>
        <v>0</v>
      </c>
      <c r="DJ13" s="319">
        <f>SUBTOTAL(3,DJ11:DJ11)</f>
        <v>0</v>
      </c>
      <c r="DK13" s="319">
        <f>SUBTOTAL(9,DK11:DK11)</f>
        <v>0</v>
      </c>
      <c r="DL13" s="319">
        <f>SUBTOTAL(9,DL11:DL11)</f>
        <v>0</v>
      </c>
      <c r="DM13" s="319">
        <f>SUBTOTAL(9,DM11:DM11)</f>
        <v>0</v>
      </c>
      <c r="DN13" s="319">
        <f>SUBTOTAL(9,DN11:DN11)</f>
        <v>0</v>
      </c>
      <c r="DO13" s="319">
        <f>SUBTOTAL(3,DO11:DO11)</f>
        <v>0</v>
      </c>
      <c r="DP13" s="319">
        <f t="shared" ref="DP13:DV13" si="58">SUBTOTAL(9,DP11:DP11)</f>
        <v>0</v>
      </c>
      <c r="DQ13" s="319">
        <f t="shared" si="58"/>
        <v>0</v>
      </c>
      <c r="DR13" s="319">
        <f t="shared" si="58"/>
        <v>0</v>
      </c>
      <c r="DS13" s="319">
        <f t="shared" si="58"/>
        <v>0</v>
      </c>
      <c r="DT13" s="319">
        <f t="shared" si="58"/>
        <v>0</v>
      </c>
      <c r="DU13" s="319">
        <f t="shared" si="58"/>
        <v>0</v>
      </c>
      <c r="DV13" s="319">
        <f t="shared" si="58"/>
        <v>0</v>
      </c>
      <c r="DW13" s="319">
        <f>SUBTOTAL(3,DW11:DW11)</f>
        <v>0</v>
      </c>
      <c r="DX13" s="319">
        <f t="shared" ref="DX13:EK13" si="59">SUBTOTAL(9,DX11:DX11)</f>
        <v>0</v>
      </c>
      <c r="DY13" s="319">
        <f t="shared" si="59"/>
        <v>0</v>
      </c>
      <c r="DZ13" s="319">
        <f t="shared" si="59"/>
        <v>0</v>
      </c>
      <c r="EA13" s="319">
        <f t="shared" si="59"/>
        <v>0</v>
      </c>
      <c r="EB13" s="319">
        <f t="shared" si="59"/>
        <v>0</v>
      </c>
      <c r="EC13" s="319">
        <f t="shared" si="59"/>
        <v>0</v>
      </c>
      <c r="ED13" s="319">
        <f t="shared" si="59"/>
        <v>0</v>
      </c>
      <c r="EE13" s="319">
        <f t="shared" si="59"/>
        <v>0</v>
      </c>
      <c r="EF13" s="319">
        <f t="shared" si="59"/>
        <v>0</v>
      </c>
      <c r="EG13" s="319">
        <f t="shared" si="59"/>
        <v>0</v>
      </c>
      <c r="EH13" s="319">
        <f t="shared" si="59"/>
        <v>0</v>
      </c>
      <c r="EI13" s="319">
        <f t="shared" si="59"/>
        <v>0</v>
      </c>
      <c r="EJ13" s="319">
        <f t="shared" si="59"/>
        <v>0</v>
      </c>
      <c r="EK13" s="319">
        <f t="shared" si="59"/>
        <v>0</v>
      </c>
      <c r="EL13" s="319">
        <f t="shared" ref="EL13:ER13" si="60">SUBTOTAL(3,EL11:EL11)</f>
        <v>0</v>
      </c>
      <c r="EM13" s="319">
        <f t="shared" si="60"/>
        <v>0</v>
      </c>
      <c r="EN13" s="319">
        <f t="shared" si="60"/>
        <v>0</v>
      </c>
      <c r="EO13" s="319">
        <f t="shared" si="60"/>
        <v>0</v>
      </c>
      <c r="EP13" s="319">
        <f t="shared" si="60"/>
        <v>0</v>
      </c>
      <c r="EQ13" s="319">
        <f t="shared" si="60"/>
        <v>0</v>
      </c>
      <c r="ER13" s="319">
        <f t="shared" si="60"/>
        <v>0</v>
      </c>
      <c r="ES13" s="319">
        <f>SUBTOTAL(9,ES11:ES11)</f>
        <v>0</v>
      </c>
      <c r="ET13" s="319">
        <f>SUBTOTAL(9,ET11:ET11)</f>
        <v>0</v>
      </c>
      <c r="EU13" s="319">
        <f>SUBTOTAL(9,EU11:EU11)</f>
        <v>0</v>
      </c>
      <c r="EV13" s="319">
        <f>SUBTOTAL(3,EV11:EV11)</f>
        <v>0</v>
      </c>
      <c r="EW13" s="319">
        <f>SUBTOTAL(3,EW11:EW11)</f>
        <v>0</v>
      </c>
      <c r="EX13" s="319">
        <f>SUBTOTAL(3,EX11:EX11)</f>
        <v>0</v>
      </c>
      <c r="EY13" s="319">
        <f>SUBTOTAL(3,EY11:EY11)</f>
        <v>0</v>
      </c>
      <c r="EZ13" s="319">
        <f>SUBTOTAL(3,EZ11:EZ11)</f>
        <v>0</v>
      </c>
      <c r="FA13" s="319">
        <f>SUBTOTAL(9,FA11:FA11)</f>
        <v>0</v>
      </c>
      <c r="FB13" s="319">
        <f>SUBTOTAL(9,FB11:FB11)</f>
        <v>0</v>
      </c>
      <c r="FC13" s="319">
        <f>SUBTOTAL(9,FC11:FC11)</f>
        <v>0</v>
      </c>
      <c r="FD13" s="319">
        <f>SUBTOTAL(9,FD11:FD11)</f>
        <v>0</v>
      </c>
      <c r="FE13" s="319">
        <f>SUBTOTAL(3,FE11:FE11)</f>
        <v>0</v>
      </c>
      <c r="FF13" s="319">
        <f>SUBTOTAL(9,FF11:FF11)</f>
        <v>0</v>
      </c>
      <c r="FG13" s="319">
        <f>SUBTOTAL(3,FG11:FG11)</f>
        <v>0</v>
      </c>
      <c r="FH13" s="319">
        <f t="shared" ref="FH13:FU13" si="61">SUBTOTAL(9,FH11:FH11)</f>
        <v>0</v>
      </c>
      <c r="FI13" s="319">
        <f t="shared" si="61"/>
        <v>0</v>
      </c>
      <c r="FJ13" s="319">
        <f t="shared" si="61"/>
        <v>0</v>
      </c>
      <c r="FK13" s="319">
        <f t="shared" si="61"/>
        <v>0</v>
      </c>
      <c r="FL13" s="319">
        <f t="shared" si="61"/>
        <v>0</v>
      </c>
      <c r="FM13" s="319">
        <f t="shared" si="61"/>
        <v>0</v>
      </c>
      <c r="FN13" s="319">
        <f t="shared" si="61"/>
        <v>0</v>
      </c>
      <c r="FO13" s="319">
        <f t="shared" si="61"/>
        <v>0</v>
      </c>
      <c r="FP13" s="319">
        <f t="shared" si="61"/>
        <v>0</v>
      </c>
      <c r="FQ13" s="319">
        <f t="shared" si="61"/>
        <v>0</v>
      </c>
      <c r="FR13" s="319">
        <f t="shared" si="61"/>
        <v>0</v>
      </c>
      <c r="FS13" s="319">
        <f t="shared" si="61"/>
        <v>0</v>
      </c>
      <c r="FT13" s="319">
        <f t="shared" si="61"/>
        <v>0</v>
      </c>
      <c r="FU13" s="319">
        <f t="shared" si="61"/>
        <v>0</v>
      </c>
      <c r="FV13" s="319">
        <f>SUBTOTAL(3,FV11:FV11)</f>
        <v>1</v>
      </c>
      <c r="FW13" s="319">
        <f>SUBTOTAL(3,FW11:FW11)</f>
        <v>1</v>
      </c>
      <c r="FX13" s="319">
        <f>SUBTOTAL(3,FX11:FX11)</f>
        <v>1</v>
      </c>
      <c r="FY13" s="319">
        <f>SUBTOTAL(9,FY11:FY11)</f>
        <v>0</v>
      </c>
      <c r="FZ13" s="319">
        <f>SUBTOTAL(9,FZ11:FZ11)</f>
        <v>0</v>
      </c>
      <c r="GA13" s="319">
        <f>SUBTOTAL(3,GA11:GA11)</f>
        <v>1</v>
      </c>
      <c r="GB13" s="319">
        <f>SUBTOTAL(3,GB11:GB11)</f>
        <v>0</v>
      </c>
      <c r="GC13" s="319">
        <f>SUBTOTAL(9,GC11:GC11)</f>
        <v>0</v>
      </c>
      <c r="GD13" s="319">
        <f>SUBTOTAL(9,GD11:GD11)</f>
        <v>0</v>
      </c>
      <c r="GF13" s="322"/>
      <c r="GG13" s="322"/>
      <c r="GH13" s="322"/>
      <c r="GI13" s="319">
        <f>SUBTOTAL(9,GI11:GI11)</f>
        <v>0</v>
      </c>
      <c r="GJ13" s="319">
        <f>SUBTOTAL(9,GJ11:GJ11)</f>
        <v>0</v>
      </c>
      <c r="GK13" s="319">
        <f>SUBTOTAL(9,GK11:GK11)</f>
        <v>0</v>
      </c>
    </row>
    <row r="14" spans="2:871" ht="30" customHeight="1" x14ac:dyDescent="0.15"/>
    <row r="15" spans="2:871" ht="30" customHeight="1" x14ac:dyDescent="0.15"/>
    <row r="16" spans="2:871"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8">
    <mergeCell ref="X4:Z4"/>
    <mergeCell ref="AB4:AD4"/>
    <mergeCell ref="DR4:DT4"/>
    <mergeCell ref="DU4:DX4"/>
    <mergeCell ref="BU5:BZ5"/>
    <mergeCell ref="CA5:CF5"/>
    <mergeCell ref="AZ3:AZ5"/>
    <mergeCell ref="CX3:CZ4"/>
  </mergeCells>
  <phoneticPr fontId="1"/>
  <conditionalFormatting sqref="O6:AX11 AZ6:AZ11">
    <cfRule type="expression" dxfId="7" priority="8">
      <formula>($D6="改修")</formula>
    </cfRule>
  </conditionalFormatting>
  <conditionalFormatting sqref="BA6:BT11 FC6:GD11">
    <cfRule type="expression" dxfId="6" priority="7">
      <formula>OR($D6="新築",$D6="登録")</formula>
    </cfRule>
  </conditionalFormatting>
  <conditionalFormatting sqref="DU6:DX10 DR6:DS10 DX11 DR11 DT6:DT11 DC6:DQ11 DY6:EV11 EX6:FB11">
    <cfRule type="expression" dxfId="5" priority="6">
      <formula>OR($D6="改修",$D6="登録")</formula>
    </cfRule>
  </conditionalFormatting>
  <conditionalFormatting sqref="DU11">
    <cfRule type="expression" dxfId="4" priority="5">
      <formula>OR($D11="改修",$D11="登録")</formula>
    </cfRule>
  </conditionalFormatting>
  <conditionalFormatting sqref="DV11:DW11">
    <cfRule type="expression" dxfId="3" priority="4">
      <formula>OR($D11="改修",$D11="登録")</formula>
    </cfRule>
  </conditionalFormatting>
  <conditionalFormatting sqref="DS11">
    <cfRule type="expression" dxfId="2" priority="3">
      <formula>OR($D11="改修",$D11="登録")</formula>
    </cfRule>
  </conditionalFormatting>
  <conditionalFormatting sqref="EW6:EW11">
    <cfRule type="expression" dxfId="1" priority="2">
      <formula>OR($D6="改修",$D6="登録")</formula>
    </cfRule>
  </conditionalFormatting>
  <conditionalFormatting sqref="AY6:AY11">
    <cfRule type="expression" dxfId="0" priority="1">
      <formula>($D6="改修")</formula>
    </cfRule>
  </conditionalFormatting>
  <dataValidations xWindow="830" yWindow="909" count="59">
    <dataValidation type="whole" operator="greaterThanOrEqual" allowBlank="1" showInputMessage="1" showErrorMessage="1" error="３未満の値は入力しないでください。_x000a_（建具は見付３㎡以上が補助対象です）" prompt="FU列の木製建具事業者名も選択してください。" sqref="FX6:FX10">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FW6:FW10">
      <formula1>7</formula1>
    </dataValidation>
    <dataValidation allowBlank="1" showErrorMessage="1" sqref="GB6:GB11"/>
    <dataValidation operator="greaterThanOrEqual" allowBlank="1" showInputMessage="1" showErrorMessage="1" error="整数値で入力" sqref="FG6:FG10"/>
    <dataValidation allowBlank="1" showInputMessage="1" showErrorMessage="1" error="0.3以上が補助対象、実木材使用量以下の数値を入力" sqref="FE6:FE10"/>
    <dataValidation type="list" allowBlank="1" showInputMessage="1" showErrorMessage="1" prompt="EO列に畳事業者名を入力してください。" sqref="EQ6:EQ10">
      <formula1>"1"</formula1>
    </dataValidation>
    <dataValidation type="list" allowBlank="1" showInputMessage="1" showErrorMessage="1" prompt="EN列の木製建具事業者名も入力してください。" sqref="EP6:EP10">
      <formula1>"1,2"</formula1>
    </dataValidation>
    <dataValidation type="list" allowBlank="1" showInputMessage="1" showErrorMessage="1" prompt="EM列の左官材料の種類も選択してください。" sqref="EN6:EN10">
      <formula1>"1,2"</formula1>
    </dataValidation>
    <dataValidation type="list" allowBlank="1" showInputMessage="1" showErrorMessage="1" prompt="EL列の瓦の種類も選択してください。" sqref="EO6:EO10">
      <formula1>"2"</formula1>
    </dataValidation>
    <dataValidation type="list" allowBlank="1" showErrorMessage="1" sqref="EW6:EX11 GA6:GA10">
      <formula1>"モルタル塗,漆喰塗,土壁塗,そとん壁,じゅらく塗,珪藻土塗,その他"</formula1>
    </dataValidation>
    <dataValidation type="list" allowBlank="1" showErrorMessage="1" sqref="EV6:EV10">
      <formula1>"平板瓦,和瓦,S瓦"</formula1>
    </dataValidation>
    <dataValidation operator="greaterThanOrEqual" allowBlank="1" showInputMessage="1" showErrorMessage="1" error="県産材の実使用量より大きな値は入力しないでください。" sqref="DW6:DW10"/>
    <dataValidation operator="lessThanOrEqual" allowBlank="1" showInputMessage="1" showErrorMessage="1" error="県産材の実使用量より大きな値は入力しないでください。" sqref="DO6:DO10"/>
    <dataValidation operator="lessThanOrEqual" allowBlank="1" showInputMessage="1" showErrorMessage="1" error="県産材の実使用量より大きな値は入力しないでください（整数値入力）。" sqref="DJ6:DJ10 S11 V11 AC11 Y11 AF11:AG11 AJ11:AK11 AN11:AT11"/>
    <dataValidation allowBlank="1" showInputMessage="1" showErrorMessage="1" error="実木材使用量より大きな値は入力しないでください。補助対象は10m3以上です（整数値で入力）。" sqref="DE6:DE10 P11"/>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P6:BP11">
      <formula1>7</formula1>
    </dataValidation>
    <dataValidation type="list" allowBlank="1" showInputMessage="1" showErrorMessage="1" prompt="AX列の左官材料の種類も選択してください。" sqref="AP6:AP10">
      <formula1>"1,2"</formula1>
    </dataValidation>
    <dataValidation type="list" allowBlank="1" showInputMessage="1" showErrorMessage="1" prompt="AW列の瓦の種類も選択してください。" sqref="AQ6:AQ10">
      <formula1>"2"</formula1>
    </dataValidation>
    <dataValidation allowBlank="1" showInputMessage="1" showErrorMessage="1" prompt="自動計算" sqref="E6:E11 EI6:EK11 FS6:FU11 ES6:EU11 FH6:FJ11 DF6:DH11 ED6:EF11 DX6:EA11 FA6:FB11 GC6:GD11 FM6:FO11 AD6:AE11 B6:B11 BH6:BI11 Q6:R11 GI6:GK11 T6:U11 AU6:AV11 AL6:AM11 BD6:BE11 BM6:BN11 BR6:BR11 BT6:BT11 CH6:CH11 AH6:AI11 AZ6:AZ11 Z6:AB11 W6:X11 DK6:DM11 DP6:DR11 DT6:DU11 FY6:FZ11"/>
    <dataValidation type="list" allowBlank="1" showInputMessage="1" showErrorMessage="1" sqref="BS6:BS11 AX6:AY11">
      <formula1>"モルタル塗,漆喰塗,土壁塗,そとん壁,じゅらく塗,珪藻土塗,その他"</formula1>
    </dataValidation>
    <dataValidation type="list" allowBlank="1" showInputMessage="1" showErrorMessage="1" sqref="AW6:AW11">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formula1>"新築,改修,登録"</formula1>
    </dataValidation>
    <dataValidation type="list" allowBlank="1" showInputMessage="1" showErrorMessage="1" sqref="CK6:CK11">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Q6:BQ11">
      <formula1>3</formula1>
    </dataValidation>
    <dataValidation type="whole" operator="greaterThanOrEqual" allowBlank="1" showInputMessage="1" showErrorMessage="1" error="７未満の値は入力しないでください。（補助対象となるのは最低７平方メートル以上です）" sqref="BO6:BO11 FV6:FV10">
      <formula1>7</formula1>
    </dataValidation>
    <dataValidation type="whole" operator="greaterThanOrEqual" allowBlank="1" showInputMessage="1" showErrorMessage="1" error="整数値で入力" sqref="BC6:BC11 FF6:FF10">
      <formula1>0</formula1>
    </dataValidation>
    <dataValidation type="list" allowBlank="1" showInputMessage="1" showErrorMessage="1" sqref="AO6:AO10 EM6:EM10">
      <formula1>"2"</formula1>
    </dataValidation>
    <dataValidation type="list" allowBlank="1" showInputMessage="1" showErrorMessage="1" sqref="AR6:AR10 AT6:AT10 ER6:ER10">
      <formula1>"1,2"</formula1>
    </dataValidation>
    <dataValidation type="list" allowBlank="1" showInputMessage="1" showErrorMessage="1" sqref="AN6:AN10 EL6:EL10">
      <formula1>"4"</formula1>
    </dataValidation>
    <dataValidation type="whole" operator="greaterThanOrEqual" allowBlank="1" showInputMessage="1" showErrorMessage="1" error="10以上の整数値を入力してください。" sqref="O6:O10 DC6:DC10">
      <formula1>10</formula1>
    </dataValidation>
    <dataValidation type="whole" operator="greaterThanOrEqual" allowBlank="1" showInputMessage="1" showErrorMessage="1" error="県産材の実使用量より大きな値は入力しないでください。" sqref="AC6:AC10 DV6:DV10">
      <formula1>0</formula1>
    </dataValidation>
    <dataValidation type="list" allowBlank="1" showInputMessage="1" showErrorMessage="1" sqref="M6:M1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F6:F11 DB6:DB10 G6:G10">
      <formula1>"債,支→債,債→支"</formula1>
    </dataValidation>
    <dataValidation type="date" operator="greaterThanOrEqual" allowBlank="1" showInputMessage="1" showErrorMessage="1" error="日付以外の内容は入力できません" sqref="CF10 BV10 BW6:BW10 BX10 BY6:BY10 BZ10 CB10 CC6:CC10 CD10 CE6:CE10 BU6:BU10">
      <formula1>1</formula1>
    </dataValidation>
    <dataValidation type="list" allowBlank="1" showInputMessage="1" showErrorMessage="1" sqref="CN6:CN10">
      <formula1>"要,不要"</formula1>
    </dataValidation>
    <dataValidation type="decimal" operator="greaterThanOrEqual" allowBlank="1" showInputMessage="1" showErrorMessage="1" error="数値以外は入力できません" sqref="CL6:CM10">
      <formula1>0</formula1>
    </dataValidation>
    <dataValidation type="date" operator="greaterThanOrEqual" allowBlank="1" showInputMessage="1" showErrorMessage="1" error="日付以外は入力できません" sqref="CO6:CO10 GF6:GH11 CR6:CS11">
      <formula1>1</formula1>
    </dataValidation>
    <dataValidation type="date" operator="greaterThanOrEqual" allowBlank="1" showInputMessage="1" showErrorMessage="1" error="日付以外の値は入力できません" sqref="H6:H11">
      <formula1>1</formula1>
    </dataValidation>
    <dataValidation type="list" allowBlank="1" showInputMessage="1" showErrorMessage="1" sqref="GE6:GE11">
      <formula1>"実績,取下,取消"</formula1>
    </dataValidation>
    <dataValidation type="list" allowBlank="1" showInputMessage="1" showErrorMessage="1" sqref="CQ6:CQ11">
      <formula1>"若年子育て,三世代近居,三世代同居"</formula1>
    </dataValidation>
    <dataValidation type="list" allowBlank="1" showInputMessage="1" showErrorMessage="1" sqref="EB6:EC10 FK6:FL10 AS6:AS10 EG6:EH10 AJ6:AK10 BF6:BG11 BJ6:BL11 AF6:AG10 FP6:FR10">
      <formula1>"1"</formula1>
    </dataValidation>
    <dataValidation type="decimal" operator="greaterThanOrEqual" allowBlank="1" showInputMessage="1" showErrorMessage="1" sqref="BA6:BA11 FC6:FC10">
      <formula1>0</formula1>
    </dataValidation>
    <dataValidation type="whole" operator="lessThanOrEqual" allowBlank="1" showInputMessage="1" showErrorMessage="1" error="県産材の実使用量より大きな値は入力しないでください。" sqref="DN6:DN10">
      <formula1>DI6</formula1>
    </dataValidation>
    <dataValidation imeMode="halfAlpha" allowBlank="1" showInputMessage="1" showErrorMessage="1" sqref="L1:L1048576 J1:J1048576"/>
    <dataValidation type="whole" allowBlank="1" showInputMessage="1" showErrorMessage="1" error="実木材使用量より大きな値は入力しないでください。補助対象は10m3以上です（整数値で入力）。" sqref="P6:P10 DD6:DD10">
      <formula1>10</formula1>
      <formula2>O6</formula2>
    </dataValidation>
    <dataValidation type="decimal" operator="lessThanOrEqual" allowBlank="1" showInputMessage="1" showErrorMessage="1" error="県産材の実使用量より大きな値は入力しないでください。" sqref="DS6:DS10">
      <formula1>DI6</formula1>
    </dataValidation>
    <dataValidation type="whole" operator="lessThanOrEqual" allowBlank="1" showInputMessage="1" showErrorMessage="1" error="県産材の実使用量より大きな値は入力しないでください（整数値入力）。" sqref="DI6:DI10">
      <formula1>DD6</formula1>
    </dataValidation>
    <dataValidation type="decimal" allowBlank="1" showInputMessage="1" showErrorMessage="1" error="0.3以上が補助対象、実木材使用量以下の数値を入力" sqref="BB6:BB11 FD6:FD10">
      <formula1>0.3</formula1>
      <formula2>BA6</formula2>
    </dataValidation>
    <dataValidation type="whole" operator="lessThanOrEqual" allowBlank="1" showInputMessage="1" showErrorMessage="1" error="県産材の実使用量より大きな値は入力しないでください（整数値入力）。" sqref="S6:S10">
      <formula1>P6</formula1>
    </dataValidation>
    <dataValidation type="whole" operator="lessThanOrEqual" allowBlank="1" showInputMessage="1" showErrorMessage="1" error="県産材の実使用量より大きな値は入力しないでください。" sqref="V6:V10">
      <formula1>S6</formula1>
    </dataValidation>
    <dataValidation type="date" operator="greaterThanOrEqual" allowBlank="1" showInputMessage="1" showErrorMessage="1" error="申請日より前の日付や、日付以外の内容は入力できません" sqref="CA6:CA10">
      <formula1>BU6</formula1>
    </dataValidation>
    <dataValidation type="date" operator="greaterThanOrEqual" allowBlank="1" showInputMessage="1" showErrorMessage="1" error="申請日より前の日付や、日付以外の内容は入力できません" sqref="CG6:CG10">
      <formula1>H6</formula1>
    </dataValidation>
    <dataValidation type="decimal" operator="lessThanOrEqual" allowBlank="1" showInputMessage="1" showErrorMessage="1" error="県産材の実使用量より大きな値は入力しないでください。" sqref="Y6:Y10">
      <formula1>S6</formula1>
    </dataValidation>
    <dataValidation operator="greaterThanOrEqual" allowBlank="1" showInputMessage="1" showErrorMessage="1" error="10以上の整数値を入力してください。" sqref="O11 DC11:DE11 DI11:DJ11 DN11:DO11 DV11:DW11 DS11 EB11:EC11 EG11:EH11 EL11:ER11 EY11:EZ11 EV11"/>
    <dataValidation operator="greaterThanOrEqual" allowBlank="1" showInputMessage="1" showErrorMessage="1" error="日付以外の内容は入力できません" sqref="BZ6:BZ9 BV6:BV9 BX6:BX9 CD6:CD9 CF6:CF9 CB6:CB9 BU11:CG11"/>
    <dataValidation operator="greaterThanOrEqual" allowBlank="1" showInputMessage="1" showErrorMessage="1" error="数値以外は入力できません" sqref="CL11:CP11 CT11:CZ11"/>
    <dataValidation type="decimal" operator="greaterThanOrEqual" allowBlank="1" showInputMessage="1" sqref="FC11">
      <formula1>0</formula1>
    </dataValidation>
    <dataValidation allowBlank="1" showInputMessage="1" sqref="FD11:FG11 GA11 FV11:FX11 FP11:FR11 FK11:FL11"/>
    <dataValidation type="list" allowBlank="1" showInputMessage="1" showErrorMessage="1" sqref="G11 DB11">
      <formula1>"〇"</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Normal="100" zoomScaleSheetLayoutView="100" workbookViewId="0">
      <selection activeCell="B15" sqref="B15"/>
    </sheetView>
  </sheetViews>
  <sheetFormatPr defaultColWidth="9" defaultRowHeight="13.5" x14ac:dyDescent="0.15"/>
  <cols>
    <col min="1" max="1" width="4.75" style="1" customWidth="1"/>
    <col min="2" max="4" width="24.625" style="1" customWidth="1"/>
    <col min="5" max="16384" width="9" style="1"/>
  </cols>
  <sheetData>
    <row r="1" spans="1:6" x14ac:dyDescent="0.15">
      <c r="A1" s="1" t="s">
        <v>146</v>
      </c>
    </row>
    <row r="5" spans="1:6" ht="14.25" x14ac:dyDescent="0.15">
      <c r="A5" s="527" t="s">
        <v>116</v>
      </c>
      <c r="B5" s="527"/>
      <c r="C5" s="527"/>
      <c r="D5" s="527"/>
      <c r="E5" s="527"/>
    </row>
    <row r="7" spans="1:6" ht="44.25" customHeight="1" x14ac:dyDescent="0.15">
      <c r="C7" s="6" t="s">
        <v>36</v>
      </c>
      <c r="D7" s="338" t="str">
        <f>IF(【様式第６号の２】事業報告書兼チェックシート!N11="","",【様式第６号の２】事業報告書兼チェックシート!N11)</f>
        <v/>
      </c>
      <c r="E7" s="338"/>
    </row>
    <row r="8" spans="1:6" x14ac:dyDescent="0.15">
      <c r="C8" s="6" t="s">
        <v>37</v>
      </c>
      <c r="D8" s="528" t="str">
        <f>IF(【様式第６号の２】事業報告書兼チェックシート!N12="","",【様式第６号の２】事業報告書兼チェックシート!N12)</f>
        <v/>
      </c>
      <c r="E8" s="528"/>
    </row>
    <row r="10" spans="1:6" x14ac:dyDescent="0.15">
      <c r="A10" s="1" t="s">
        <v>31</v>
      </c>
    </row>
    <row r="11" spans="1:6" x14ac:dyDescent="0.15">
      <c r="A11" s="1" t="s">
        <v>32</v>
      </c>
    </row>
    <row r="13" spans="1:6" x14ac:dyDescent="0.15">
      <c r="B13" s="107" t="s">
        <v>30</v>
      </c>
      <c r="C13" s="107" t="s">
        <v>5</v>
      </c>
      <c r="D13" s="107" t="s">
        <v>35</v>
      </c>
    </row>
    <row r="14" spans="1:6" ht="27.95" customHeight="1" x14ac:dyDescent="0.15">
      <c r="A14" s="119" t="s">
        <v>34</v>
      </c>
      <c r="B14" s="117" t="s">
        <v>245</v>
      </c>
      <c r="C14" s="120" t="s">
        <v>246</v>
      </c>
      <c r="D14" s="118" t="s">
        <v>247</v>
      </c>
    </row>
    <row r="15" spans="1:6" ht="29.45" customHeight="1" x14ac:dyDescent="0.15">
      <c r="A15" s="119" t="s">
        <v>34</v>
      </c>
      <c r="B15" s="61" t="s">
        <v>248</v>
      </c>
      <c r="C15" s="61" t="s">
        <v>249</v>
      </c>
      <c r="D15" s="61" t="s">
        <v>250</v>
      </c>
      <c r="F15" s="121"/>
    </row>
    <row r="16" spans="1:6" x14ac:dyDescent="0.15">
      <c r="B16" s="62"/>
      <c r="C16" s="62"/>
      <c r="D16" s="62"/>
    </row>
    <row r="17" spans="1:7" x14ac:dyDescent="0.15">
      <c r="B17" s="60" t="s">
        <v>30</v>
      </c>
      <c r="C17" s="107" t="s">
        <v>5</v>
      </c>
      <c r="D17" s="107" t="s">
        <v>22</v>
      </c>
    </row>
    <row r="18" spans="1:7" ht="36" customHeight="1" x14ac:dyDescent="0.15">
      <c r="B18" s="67"/>
      <c r="C18" s="67"/>
      <c r="D18" s="68"/>
    </row>
    <row r="19" spans="1:7" ht="36" customHeight="1" x14ac:dyDescent="0.15">
      <c r="B19" s="67"/>
      <c r="C19" s="67"/>
      <c r="D19" s="68"/>
    </row>
    <row r="20" spans="1:7" ht="36" customHeight="1" x14ac:dyDescent="0.15">
      <c r="B20" s="67"/>
      <c r="C20" s="67"/>
      <c r="D20" s="68"/>
    </row>
    <row r="21" spans="1:7" ht="36" customHeight="1" x14ac:dyDescent="0.15">
      <c r="B21" s="67"/>
      <c r="C21" s="67"/>
      <c r="D21" s="68"/>
      <c r="G21" s="1" t="s">
        <v>225</v>
      </c>
    </row>
    <row r="22" spans="1:7" ht="36" customHeight="1" x14ac:dyDescent="0.15">
      <c r="B22" s="67"/>
      <c r="C22" s="67"/>
      <c r="D22" s="68"/>
      <c r="G22" s="1" t="s">
        <v>226</v>
      </c>
    </row>
    <row r="23" spans="1:7" ht="36" customHeight="1" x14ac:dyDescent="0.15">
      <c r="B23" s="67"/>
      <c r="C23" s="67"/>
      <c r="D23" s="68"/>
      <c r="G23" s="1" t="s">
        <v>227</v>
      </c>
    </row>
    <row r="24" spans="1:7" ht="36" customHeight="1" x14ac:dyDescent="0.15">
      <c r="B24" s="67"/>
      <c r="C24" s="67"/>
      <c r="D24" s="68"/>
      <c r="G24" s="1" t="s">
        <v>228</v>
      </c>
    </row>
    <row r="26" spans="1:7" x14ac:dyDescent="0.15">
      <c r="B26" s="108"/>
      <c r="C26" s="108"/>
      <c r="D26" s="109"/>
      <c r="G26" s="1" t="s">
        <v>229</v>
      </c>
    </row>
    <row r="27" spans="1:7" x14ac:dyDescent="0.15">
      <c r="A27" s="1" t="s">
        <v>43</v>
      </c>
    </row>
    <row r="28" spans="1:7" x14ac:dyDescent="0.15">
      <c r="A28" s="63" t="s">
        <v>230</v>
      </c>
      <c r="B28" s="526" t="s">
        <v>42</v>
      </c>
      <c r="C28" s="526"/>
      <c r="D28" s="526"/>
      <c r="E28" s="526"/>
    </row>
    <row r="29" spans="1:7" x14ac:dyDescent="0.15">
      <c r="A29" s="64"/>
      <c r="B29" s="526"/>
      <c r="C29" s="526"/>
      <c r="D29" s="526"/>
      <c r="E29" s="526"/>
    </row>
    <row r="30" spans="1:7" x14ac:dyDescent="0.15">
      <c r="A30" s="63" t="s">
        <v>230</v>
      </c>
      <c r="B30" s="526" t="s">
        <v>44</v>
      </c>
      <c r="C30" s="526"/>
      <c r="D30" s="526"/>
      <c r="E30" s="526"/>
      <c r="G30" s="1" t="s">
        <v>231</v>
      </c>
    </row>
    <row r="31" spans="1:7" x14ac:dyDescent="0.15">
      <c r="A31" s="63"/>
      <c r="B31" s="526"/>
      <c r="C31" s="526"/>
      <c r="D31" s="526"/>
      <c r="E31" s="526"/>
      <c r="G31" s="1" t="s">
        <v>232</v>
      </c>
    </row>
    <row r="32" spans="1:7" x14ac:dyDescent="0.15">
      <c r="A32" s="63"/>
      <c r="B32" s="526"/>
      <c r="C32" s="526"/>
      <c r="D32" s="526"/>
      <c r="E32" s="526"/>
    </row>
    <row r="33" spans="1:5" x14ac:dyDescent="0.15">
      <c r="A33" s="64"/>
      <c r="B33" s="526"/>
      <c r="C33" s="526"/>
      <c r="D33" s="526"/>
      <c r="E33" s="526"/>
    </row>
  </sheetData>
  <sheetProtection algorithmName="SHA-512" hashValue="z6qWo62HVb8IQjoidYj6PcWB6EpLHP2EHvSauf69vnZsJOFGLXIRnBYpMbTEkc/jg8GCkTe+NT6d5ZyJhf8dVQ==" saltValue="f+e9JY+R3THtUBAkbUqg5w==" spinCount="100000" sheet="1" objects="1" scenarios="1"/>
  <mergeCells count="5">
    <mergeCell ref="B30:E33"/>
    <mergeCell ref="A5:E5"/>
    <mergeCell ref="D7:E7"/>
    <mergeCell ref="D8:E8"/>
    <mergeCell ref="B28:E29"/>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【様式第６号の２】事業報告書兼チェックシート</vt:lpstr>
      <vt:lpstr>実績報告書鑑（申請日、交付決定日及び番号要入力）</vt:lpstr>
      <vt:lpstr>要入力　交付決定状況入力シート</vt:lpstr>
      <vt:lpstr>台帳コピー</vt:lpstr>
      <vt:lpstr>【様式第６号の２】（別紙）補助金併用一覧</vt:lpstr>
      <vt:lpstr>'【様式第６号の２】（別紙）補助金併用一覧'!Print_Area</vt:lpstr>
      <vt:lpstr>【様式第６号の２】事業報告書兼チェックシート!Print_Area</vt:lpstr>
      <vt:lpstr>'実績報告書鑑（申請日、交付決定日及び番号要入力）'!Print_Area</vt:lpstr>
      <vt:lpstr>'要入力　交付決定状況入力シート'!Print_Area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2020-07-27T11:08:49Z</cp:lastPrinted>
  <dcterms:created xsi:type="dcterms:W3CDTF">2017-01-19T07:37:02Z</dcterms:created>
  <dcterms:modified xsi:type="dcterms:W3CDTF">2023-05-11T00:37:16Z</dcterms:modified>
</cp:coreProperties>
</file>