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neve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5C6F4540-D642-4FFA-9B02-B2DCD9BCFF87}" xr6:coauthVersionLast="47" xr6:coauthVersionMax="47" xr10:uidLastSave="{00000000-0000-0000-0000-000000000000}"/>
  <bookViews>
    <workbookView xWindow="28680" yWindow="-120" windowWidth="27615" windowHeight="16440" tabRatio="848" xr2:uid="{00000000-000D-0000-FFFF-FFFF00000000}"/>
  </bookViews>
  <sheets>
    <sheet name="【様式第６号】事業計画書兼チェックシート（新築）" sheetId="11" r:id="rId1"/>
    <sheet name="【様式第６号】（別紙）補助金併用一覧" sheetId="15" state="hidden" r:id="rId2"/>
    <sheet name="【規則様式第１号】交付申請書（計画書連動）（住まいる）" sheetId="12" r:id="rId3"/>
    <sheet name="【規則様式第１号】交付申請書（計画書連動）（未来型）" sheetId="18" r:id="rId4"/>
    <sheet name="住まいる台帳コピー" sheetId="16" r:id="rId5"/>
    <sheet name="未来型台帳コピー" sheetId="17" r:id="rId6"/>
  </sheets>
  <definedNames>
    <definedName name="_xlnm.Print_Area" localSheetId="2">'【規則様式第１号】交付申請書（計画書連動）（住まいる）'!$A$1:$Z$39</definedName>
    <definedName name="_xlnm.Print_Area" localSheetId="3">'【規則様式第１号】交付申請書（計画書連動）（未来型）'!$A$1:$Z$39</definedName>
    <definedName name="_xlnm.Print_Area" localSheetId="1">'【様式第６号】（別紙）補助金併用一覧'!$A$1:$E$32</definedName>
    <definedName name="_xlnm.Print_Area" localSheetId="0">'【様式第６号】事業計画書兼チェックシート（新築）'!$A$1:$AA$275</definedName>
  </definedNames>
  <calcPr calcId="181029"/>
</workbook>
</file>

<file path=xl/calcChain.xml><?xml version="1.0" encoding="utf-8"?>
<calcChain xmlns="http://schemas.openxmlformats.org/spreadsheetml/2006/main">
  <c r="Y102" i="11" l="1"/>
  <c r="C77" i="11"/>
  <c r="H26" i="12" l="1"/>
  <c r="T237" i="11"/>
  <c r="Q39" i="18"/>
  <c r="I39" i="18"/>
  <c r="I38" i="18"/>
  <c r="I37" i="18"/>
  <c r="J36" i="18"/>
  <c r="Q39" i="12"/>
  <c r="I39" i="12"/>
  <c r="I38" i="12"/>
  <c r="I37" i="12"/>
  <c r="J36" i="12"/>
  <c r="Y103" i="11" l="1"/>
  <c r="D54" i="11" l="1"/>
  <c r="D60" i="11"/>
  <c r="D63" i="11"/>
  <c r="AB237" i="11" l="1"/>
  <c r="DB11" i="16"/>
  <c r="DA11" i="16"/>
  <c r="AJ106" i="11" l="1"/>
  <c r="AJ105" i="11"/>
  <c r="AI106" i="11"/>
  <c r="AI105" i="11"/>
  <c r="AJ107" i="11" l="1"/>
  <c r="AI107" i="11"/>
  <c r="Y107" i="11" s="1"/>
  <c r="AF11" i="16"/>
  <c r="AC11" i="16"/>
  <c r="Y11" i="16"/>
  <c r="V11" i="16"/>
  <c r="S11" i="16"/>
  <c r="P11" i="16"/>
  <c r="Y109" i="11" l="1"/>
  <c r="X11" i="16" l="1"/>
  <c r="U11" i="16"/>
  <c r="AB109" i="11"/>
  <c r="AB104" i="11"/>
  <c r="AB103" i="11"/>
  <c r="U100" i="11"/>
  <c r="AB102" i="11" l="1"/>
  <c r="AB64" i="11" l="1"/>
  <c r="BG28" i="11" l="1"/>
  <c r="D75" i="11" l="1"/>
  <c r="CZ11" i="16" l="1"/>
  <c r="DL11" i="16" l="1"/>
  <c r="DK11" i="16"/>
  <c r="DK13" i="16" s="1"/>
  <c r="DJ11" i="16"/>
  <c r="DI11" i="16"/>
  <c r="DI13" i="16" s="1"/>
  <c r="DH11" i="16"/>
  <c r="DG11" i="16"/>
  <c r="DG13" i="16" s="1"/>
  <c r="DF11" i="16"/>
  <c r="DE11" i="16"/>
  <c r="DE13" i="16" s="1"/>
  <c r="DD11" i="16"/>
  <c r="DC11" i="16"/>
  <c r="CO11" i="16"/>
  <c r="BC11" i="16"/>
  <c r="BB11" i="16"/>
  <c r="BB13" i="16" s="1"/>
  <c r="BA11" i="16"/>
  <c r="D48" i="11" l="1"/>
  <c r="AB30" i="11" l="1"/>
  <c r="AB55" i="11"/>
  <c r="AB52" i="11"/>
  <c r="H25" i="18"/>
  <c r="O11" i="18"/>
  <c r="O10" i="18"/>
  <c r="O9" i="18"/>
  <c r="P8" i="18"/>
  <c r="W2" i="18"/>
  <c r="T2" i="18"/>
  <c r="Q2" i="18"/>
  <c r="M22" i="18" l="1"/>
  <c r="M21" i="18"/>
  <c r="AT3" i="17"/>
  <c r="AS3" i="17"/>
  <c r="AR3" i="17"/>
  <c r="AQ3" i="17"/>
  <c r="AP3" i="17"/>
  <c r="AO3" i="17"/>
  <c r="AN3" i="17"/>
  <c r="AJ3" i="17"/>
  <c r="AM3" i="17" s="1"/>
  <c r="AI3" i="17"/>
  <c r="AH3" i="17"/>
  <c r="AG3" i="17"/>
  <c r="Q3" i="17"/>
  <c r="P3" i="17"/>
  <c r="O3" i="17"/>
  <c r="AE3" i="17"/>
  <c r="AC3" i="17"/>
  <c r="AA3" i="17"/>
  <c r="X3" i="17"/>
  <c r="V3" i="17"/>
  <c r="T3" i="17"/>
  <c r="R3" i="17" l="1"/>
  <c r="AK3" i="17"/>
  <c r="AL3" i="17"/>
  <c r="N3" i="17" l="1"/>
  <c r="M3" i="17"/>
  <c r="L3" i="17"/>
  <c r="J3" i="17"/>
  <c r="K3" i="17"/>
  <c r="I3" i="17"/>
  <c r="AD11" i="16" l="1"/>
  <c r="FC11" i="16"/>
  <c r="FB11" i="16"/>
  <c r="FA11" i="16"/>
  <c r="EZ11" i="16"/>
  <c r="EY11" i="16"/>
  <c r="EX11" i="16"/>
  <c r="EW11" i="16"/>
  <c r="ES11" i="16"/>
  <c r="ER11" i="16"/>
  <c r="EN11" i="16"/>
  <c r="EM11" i="16"/>
  <c r="EG11" i="16"/>
  <c r="EF11" i="16" s="1"/>
  <c r="ED11" i="16"/>
  <c r="DY11" i="16"/>
  <c r="DX11" i="16" s="1"/>
  <c r="DT11" i="16"/>
  <c r="DS11" i="16" s="1"/>
  <c r="DO11" i="16"/>
  <c r="DQ11" i="16" s="1"/>
  <c r="DN11" i="16"/>
  <c r="GT10" i="16"/>
  <c r="GS10" i="16"/>
  <c r="GM10" i="16"/>
  <c r="GE10" i="16"/>
  <c r="FY10" i="16"/>
  <c r="FT10" i="16"/>
  <c r="FR10" i="16"/>
  <c r="FK10" i="16"/>
  <c r="FD10" i="16"/>
  <c r="EV10" i="16" s="1"/>
  <c r="EQ10" i="16"/>
  <c r="EL10" i="16"/>
  <c r="EF10" i="16"/>
  <c r="EC10" i="16"/>
  <c r="DX10" i="16"/>
  <c r="DS10" i="16"/>
  <c r="DQ10" i="16"/>
  <c r="EI10" i="16" s="1"/>
  <c r="GM9" i="16"/>
  <c r="GE9" i="16"/>
  <c r="FY9" i="16"/>
  <c r="FT9" i="16"/>
  <c r="FR9" i="16"/>
  <c r="FD9" i="16"/>
  <c r="FE9" i="16" s="1"/>
  <c r="EQ9" i="16"/>
  <c r="EL9" i="16"/>
  <c r="EF9" i="16"/>
  <c r="EC9" i="16"/>
  <c r="DX9" i="16"/>
  <c r="DS9" i="16"/>
  <c r="DQ9" i="16"/>
  <c r="GT8" i="16"/>
  <c r="GS8" i="16"/>
  <c r="GM8" i="16"/>
  <c r="GE8" i="16"/>
  <c r="FY8" i="16"/>
  <c r="FT8" i="16"/>
  <c r="FR8" i="16"/>
  <c r="FK8" i="16"/>
  <c r="FD8" i="16"/>
  <c r="EV8" i="16" s="1"/>
  <c r="EQ8" i="16"/>
  <c r="EL8" i="16"/>
  <c r="EF8" i="16"/>
  <c r="EC8" i="16"/>
  <c r="DX8" i="16"/>
  <c r="DS8" i="16"/>
  <c r="DQ8" i="16"/>
  <c r="EA8" i="16" s="1"/>
  <c r="GE7" i="16"/>
  <c r="FY7" i="16"/>
  <c r="FT7" i="16"/>
  <c r="FR7" i="16"/>
  <c r="FK7" i="16"/>
  <c r="FD7" i="16"/>
  <c r="EV7" i="16" s="1"/>
  <c r="EQ7" i="16"/>
  <c r="EL7" i="16"/>
  <c r="EF7" i="16"/>
  <c r="EC7" i="16"/>
  <c r="DX7" i="16"/>
  <c r="DS7" i="16"/>
  <c r="DQ7" i="16"/>
  <c r="GM6" i="16"/>
  <c r="GE6" i="16"/>
  <c r="FY6" i="16"/>
  <c r="FT6" i="16"/>
  <c r="FR6" i="16"/>
  <c r="FD6" i="16"/>
  <c r="FE6" i="16" s="1"/>
  <c r="EQ6" i="16"/>
  <c r="EL6" i="16"/>
  <c r="EF6" i="16"/>
  <c r="EC6" i="16"/>
  <c r="DX6" i="16"/>
  <c r="DS6" i="16"/>
  <c r="DQ6" i="16"/>
  <c r="EI6" i="16" s="1"/>
  <c r="EV6" i="16" l="1"/>
  <c r="FE10" i="16"/>
  <c r="DV10" i="16"/>
  <c r="GC7" i="16"/>
  <c r="DV6" i="16"/>
  <c r="GI6" i="16"/>
  <c r="ET9" i="16"/>
  <c r="FW9" i="16"/>
  <c r="GC8" i="16"/>
  <c r="GC10" i="16"/>
  <c r="GI7" i="16"/>
  <c r="EE10" i="16"/>
  <c r="EJ10" i="16" s="1"/>
  <c r="EO8" i="16"/>
  <c r="EO7" i="16"/>
  <c r="EE7" i="16"/>
  <c r="EI8" i="16"/>
  <c r="GI9" i="16"/>
  <c r="ET10" i="16"/>
  <c r="GI10" i="16"/>
  <c r="EQ11" i="16"/>
  <c r="EO10" i="16"/>
  <c r="GI8" i="16"/>
  <c r="FW6" i="16"/>
  <c r="GC9" i="16"/>
  <c r="EA10" i="16"/>
  <c r="GU10" i="16"/>
  <c r="EL11" i="16"/>
  <c r="EO11" i="16" s="1"/>
  <c r="FD11" i="16"/>
  <c r="EV11" i="16" s="1"/>
  <c r="GC6" i="16"/>
  <c r="FW7" i="16"/>
  <c r="DV8" i="16"/>
  <c r="ET8" i="16"/>
  <c r="FE8" i="16"/>
  <c r="EE9" i="16"/>
  <c r="ET6" i="16"/>
  <c r="EO6" i="16"/>
  <c r="EA7" i="16"/>
  <c r="ET7" i="16"/>
  <c r="EE8" i="16"/>
  <c r="GU8" i="16"/>
  <c r="EA11" i="16"/>
  <c r="DV11" i="16"/>
  <c r="EI11" i="16"/>
  <c r="EE11" i="16"/>
  <c r="FE7" i="16"/>
  <c r="EE6" i="16"/>
  <c r="EJ6" i="16" s="1"/>
  <c r="DV7" i="16"/>
  <c r="EI7" i="16"/>
  <c r="EJ7" i="16" s="1"/>
  <c r="FW8" i="16"/>
  <c r="DV9" i="16"/>
  <c r="EI9" i="16"/>
  <c r="EO9" i="16"/>
  <c r="FW10" i="16"/>
  <c r="EA6" i="16"/>
  <c r="EV9" i="16"/>
  <c r="EC11" i="16"/>
  <c r="EA9" i="16"/>
  <c r="EJ8" i="16" l="1"/>
  <c r="EJ9" i="16"/>
  <c r="ET11" i="16"/>
  <c r="FE11" i="16"/>
  <c r="EJ11" i="16"/>
  <c r="Q2" i="12" l="1"/>
  <c r="CR11" i="16" l="1"/>
  <c r="CQ11" i="16"/>
  <c r="CQ13" i="16" s="1"/>
  <c r="CP11" i="16"/>
  <c r="CP13" i="16" s="1"/>
  <c r="CN11" i="16"/>
  <c r="CM11" i="16"/>
  <c r="CM13" i="16" s="1"/>
  <c r="CI11" i="16"/>
  <c r="CG11" i="16"/>
  <c r="CE11" i="16"/>
  <c r="CC11" i="16"/>
  <c r="CA11" i="16"/>
  <c r="BY11" i="16"/>
  <c r="AE11" i="16"/>
  <c r="Z13" i="16"/>
  <c r="R11" i="16"/>
  <c r="P13" i="16"/>
  <c r="O11" i="16"/>
  <c r="O13" i="16" s="1"/>
  <c r="N11" i="16"/>
  <c r="M11" i="16"/>
  <c r="L11" i="16"/>
  <c r="K11" i="16"/>
  <c r="K13" i="16" s="1"/>
  <c r="J11" i="16"/>
  <c r="I11" i="16"/>
  <c r="B7" i="16"/>
  <c r="E7" i="16"/>
  <c r="Q7" i="16"/>
  <c r="R7" i="16"/>
  <c r="U7" i="16"/>
  <c r="AE7" i="16"/>
  <c r="AB7" i="16"/>
  <c r="AD7" i="16"/>
  <c r="AI7" i="16"/>
  <c r="AM7" i="16"/>
  <c r="AY7" i="16"/>
  <c r="AQ7" i="16" s="1"/>
  <c r="BD7" i="16"/>
  <c r="BH7" i="16"/>
  <c r="BI7" i="16"/>
  <c r="BM7" i="16"/>
  <c r="BR7" i="16"/>
  <c r="B8" i="16"/>
  <c r="E8" i="16"/>
  <c r="Q8" i="16"/>
  <c r="R8" i="16"/>
  <c r="U8" i="16"/>
  <c r="AE8" i="16"/>
  <c r="AB8" i="16"/>
  <c r="AD8" i="16"/>
  <c r="AI8" i="16"/>
  <c r="AM8" i="16"/>
  <c r="AY8" i="16"/>
  <c r="AQ8" i="16" s="1"/>
  <c r="BH8" i="16"/>
  <c r="FS8" i="16" s="1"/>
  <c r="BI8" i="16"/>
  <c r="BM8" i="16"/>
  <c r="BR8" i="16"/>
  <c r="BX8" i="16"/>
  <c r="GN8" i="16" s="1"/>
  <c r="B9" i="16"/>
  <c r="E9" i="16"/>
  <c r="Q9" i="16"/>
  <c r="R9" i="16"/>
  <c r="U9" i="16"/>
  <c r="AE9" i="16"/>
  <c r="AB9" i="16"/>
  <c r="AD9" i="16"/>
  <c r="AI9" i="16"/>
  <c r="AM9" i="16"/>
  <c r="AY9" i="16"/>
  <c r="BH9" i="16"/>
  <c r="FS9" i="16" s="1"/>
  <c r="BI9" i="16"/>
  <c r="BM9" i="16"/>
  <c r="BR9" i="16"/>
  <c r="BX9" i="16"/>
  <c r="GN9" i="16" s="1"/>
  <c r="B10" i="16"/>
  <c r="E10" i="16"/>
  <c r="Q10" i="16"/>
  <c r="R10" i="16"/>
  <c r="U10" i="16"/>
  <c r="AE10" i="16"/>
  <c r="AB10" i="16"/>
  <c r="AD10" i="16"/>
  <c r="AI10" i="16"/>
  <c r="AM10" i="16"/>
  <c r="AY10" i="16"/>
  <c r="AQ10" i="16" s="1"/>
  <c r="BD10" i="16"/>
  <c r="FL10" i="16" s="1"/>
  <c r="BH10" i="16"/>
  <c r="FS10" i="16" s="1"/>
  <c r="BI10" i="16"/>
  <c r="BM10" i="16"/>
  <c r="BR10" i="16"/>
  <c r="BX10" i="16"/>
  <c r="GN10" i="16" s="1"/>
  <c r="B11" i="16"/>
  <c r="E11" i="16"/>
  <c r="EG13" i="16"/>
  <c r="FR13" i="16"/>
  <c r="GL13" i="16"/>
  <c r="GK13" i="16"/>
  <c r="GH13" i="16"/>
  <c r="GG13" i="16"/>
  <c r="GF13" i="16"/>
  <c r="GB13" i="16"/>
  <c r="GA13" i="16"/>
  <c r="FZ13" i="16"/>
  <c r="FV13" i="16"/>
  <c r="FU13" i="16"/>
  <c r="FQ13" i="16"/>
  <c r="FP13" i="16"/>
  <c r="FO13" i="16"/>
  <c r="FN13" i="16"/>
  <c r="FM13" i="16"/>
  <c r="FJ13" i="16"/>
  <c r="FI13" i="16"/>
  <c r="FH13" i="16"/>
  <c r="FG13" i="16"/>
  <c r="FC13" i="16"/>
  <c r="FB13" i="16"/>
  <c r="FA13" i="16"/>
  <c r="EZ13" i="16"/>
  <c r="EY13" i="16"/>
  <c r="EX13" i="16"/>
  <c r="EW13" i="16"/>
  <c r="ES13" i="16"/>
  <c r="ER13" i="16"/>
  <c r="EN13" i="16"/>
  <c r="EM13" i="16"/>
  <c r="EH13" i="16"/>
  <c r="EE13" i="16"/>
  <c r="ED13" i="16"/>
  <c r="DZ13" i="16"/>
  <c r="DY13" i="16"/>
  <c r="DU13" i="16"/>
  <c r="DT13" i="16"/>
  <c r="DP13" i="16"/>
  <c r="DO13" i="16"/>
  <c r="DN13" i="16"/>
  <c r="DC13" i="16"/>
  <c r="CO13" i="16"/>
  <c r="BW13" i="16"/>
  <c r="BU13" i="16"/>
  <c r="BT13" i="16"/>
  <c r="BS13" i="16"/>
  <c r="BP13" i="16"/>
  <c r="BO13" i="16"/>
  <c r="BN13" i="16"/>
  <c r="BK13" i="16"/>
  <c r="BJ13" i="16"/>
  <c r="BG13" i="16"/>
  <c r="BF13" i="16"/>
  <c r="BE13" i="16"/>
  <c r="BC13" i="16"/>
  <c r="BA13" i="16"/>
  <c r="G13" i="16"/>
  <c r="D13" i="16"/>
  <c r="BM13" i="16"/>
  <c r="BX6" i="16"/>
  <c r="GN6" i="16" s="1"/>
  <c r="BR6" i="16"/>
  <c r="BM6" i="16"/>
  <c r="BI6" i="16"/>
  <c r="BH6" i="16"/>
  <c r="FS6" i="16" s="1"/>
  <c r="AY6" i="16"/>
  <c r="AQ6" i="16" s="1"/>
  <c r="AM6" i="16"/>
  <c r="AI6" i="16"/>
  <c r="AD6" i="16"/>
  <c r="AB6" i="16"/>
  <c r="AE6" i="16"/>
  <c r="U6" i="16"/>
  <c r="R6" i="16"/>
  <c r="Q6" i="16"/>
  <c r="E6" i="16"/>
  <c r="B6" i="16"/>
  <c r="BV9" i="16" l="1"/>
  <c r="GJ9" i="16" s="1"/>
  <c r="DR10" i="16"/>
  <c r="AL10" i="16"/>
  <c r="EP10" i="16" s="1"/>
  <c r="BQ9" i="16"/>
  <c r="GD9" i="16" s="1"/>
  <c r="T7" i="16"/>
  <c r="DW7" i="16" s="1"/>
  <c r="DR7" i="16"/>
  <c r="AL7" i="16"/>
  <c r="EP7" i="16" s="1"/>
  <c r="DR6" i="16"/>
  <c r="AL6" i="16"/>
  <c r="EP6" i="16" s="1"/>
  <c r="BL7" i="16"/>
  <c r="FX7" i="16" s="1"/>
  <c r="FS7" i="16"/>
  <c r="FL7" i="16"/>
  <c r="T9" i="16"/>
  <c r="DW9" i="16" s="1"/>
  <c r="DR9" i="16"/>
  <c r="AL9" i="16"/>
  <c r="EP9" i="16" s="1"/>
  <c r="T8" i="16"/>
  <c r="DW8" i="16" s="1"/>
  <c r="DR8" i="16"/>
  <c r="AL8" i="16"/>
  <c r="EP8" i="16" s="1"/>
  <c r="AB11" i="16"/>
  <c r="AB13" i="16" s="1"/>
  <c r="AC13" i="16"/>
  <c r="S13" i="16"/>
  <c r="AA8" i="16"/>
  <c r="EB8" i="16" s="1"/>
  <c r="AD13" i="16"/>
  <c r="AF13" i="16"/>
  <c r="BV10" i="16"/>
  <c r="GJ10" i="16" s="1"/>
  <c r="CL10" i="16"/>
  <c r="Q11" i="16"/>
  <c r="U13" i="16"/>
  <c r="BQ10" i="16"/>
  <c r="GD10" i="16" s="1"/>
  <c r="BL10" i="16"/>
  <c r="FX10" i="16" s="1"/>
  <c r="BV7" i="16"/>
  <c r="BL6" i="16"/>
  <c r="FX6" i="16" s="1"/>
  <c r="AA9" i="16"/>
  <c r="EB9" i="16" s="1"/>
  <c r="BQ7" i="16"/>
  <c r="GD7" i="16" s="1"/>
  <c r="AG8" i="16"/>
  <c r="AH8" i="16" s="1"/>
  <c r="EK8" i="16" s="1"/>
  <c r="AZ8" i="16"/>
  <c r="FF8" i="16" s="1"/>
  <c r="AP8" i="16"/>
  <c r="EU8" i="16" s="1"/>
  <c r="AZ7" i="16"/>
  <c r="FF7" i="16" s="1"/>
  <c r="AA7" i="16"/>
  <c r="EB7" i="16" s="1"/>
  <c r="AG9" i="16"/>
  <c r="AH9" i="16" s="1"/>
  <c r="EK9" i="16" s="1"/>
  <c r="AZ6" i="16"/>
  <c r="FF6" i="16" s="1"/>
  <c r="AZ10" i="16"/>
  <c r="FF10" i="16" s="1"/>
  <c r="BL9" i="16"/>
  <c r="FX9" i="16" s="1"/>
  <c r="AP9" i="16"/>
  <c r="EU9" i="16" s="1"/>
  <c r="AP7" i="16"/>
  <c r="EU7" i="16" s="1"/>
  <c r="EL13" i="16"/>
  <c r="BV6" i="16"/>
  <c r="GJ6" i="16" s="1"/>
  <c r="DS13" i="16"/>
  <c r="AE13" i="16"/>
  <c r="R13" i="16"/>
  <c r="AZ9" i="16"/>
  <c r="FF9" i="16" s="1"/>
  <c r="AQ9" i="16"/>
  <c r="BL8" i="16"/>
  <c r="FX8" i="16" s="1"/>
  <c r="BV8" i="16"/>
  <c r="GJ8" i="16" s="1"/>
  <c r="AP10" i="16"/>
  <c r="EU10" i="16" s="1"/>
  <c r="T10" i="16"/>
  <c r="DW10" i="16" s="1"/>
  <c r="AG10" i="16"/>
  <c r="AH10" i="16" s="1"/>
  <c r="EK10" i="16" s="1"/>
  <c r="AA10" i="16"/>
  <c r="EB10" i="16" s="1"/>
  <c r="BQ8" i="16"/>
  <c r="GD8" i="16" s="1"/>
  <c r="AG7" i="16"/>
  <c r="AH7" i="16" s="1"/>
  <c r="EK7" i="16" s="1"/>
  <c r="GE13" i="16"/>
  <c r="B13" i="16"/>
  <c r="FY13" i="16"/>
  <c r="AP6" i="16"/>
  <c r="EU6" i="16" s="1"/>
  <c r="T6" i="16"/>
  <c r="DW6" i="16" s="1"/>
  <c r="BQ6" i="16"/>
  <c r="GD6" i="16" s="1"/>
  <c r="BI13" i="16"/>
  <c r="DQ13" i="16"/>
  <c r="FT13" i="16"/>
  <c r="AA6" i="16"/>
  <c r="EB6" i="16" s="1"/>
  <c r="BH13" i="16"/>
  <c r="AG6" i="16"/>
  <c r="AH6" i="16" s="1"/>
  <c r="EK6" i="16" s="1"/>
  <c r="E13" i="16"/>
  <c r="BR13" i="16"/>
  <c r="EC13" i="16"/>
  <c r="DX13" i="16"/>
  <c r="EQ13" i="16"/>
  <c r="FD13" i="16"/>
  <c r="B97" i="11"/>
  <c r="Y110" i="11" s="1"/>
  <c r="Y129" i="11" l="1"/>
  <c r="AB97" i="11"/>
  <c r="W11" i="16"/>
  <c r="Z11" i="16"/>
  <c r="AG11" i="16"/>
  <c r="AH11" i="16" s="1"/>
  <c r="EK11" i="16" s="1"/>
  <c r="T11" i="16"/>
  <c r="DW11" i="16" s="1"/>
  <c r="DW13" i="16" s="1"/>
  <c r="DR11" i="16"/>
  <c r="DR13" i="16" s="1"/>
  <c r="BX7" i="16"/>
  <c r="GJ7" i="16"/>
  <c r="GM7" i="16"/>
  <c r="GT7" i="16" s="1"/>
  <c r="Q13" i="16"/>
  <c r="BD9" i="16"/>
  <c r="DV13" i="16"/>
  <c r="EV13" i="16"/>
  <c r="BD8" i="16"/>
  <c r="FL8" i="16" s="1"/>
  <c r="EA13" i="16"/>
  <c r="FE13" i="16"/>
  <c r="EI13" i="16"/>
  <c r="BQ13" i="16"/>
  <c r="GC13" i="16"/>
  <c r="BD6" i="16"/>
  <c r="EO13" i="16"/>
  <c r="BV13" i="16"/>
  <c r="FW13" i="16"/>
  <c r="EF13" i="16"/>
  <c r="BL13" i="16"/>
  <c r="FX13" i="16"/>
  <c r="ET13" i="16"/>
  <c r="GI13" i="16"/>
  <c r="FS13" i="16"/>
  <c r="T2" i="12"/>
  <c r="W2" i="12"/>
  <c r="AA11" i="16" l="1"/>
  <c r="EB11" i="16" s="1"/>
  <c r="EB13" i="16" s="1"/>
  <c r="Y144" i="11"/>
  <c r="AB110" i="11"/>
  <c r="AU3" i="17"/>
  <c r="AH13" i="16"/>
  <c r="T13" i="16"/>
  <c r="GS9" i="16"/>
  <c r="GS6" i="16"/>
  <c r="GS7" i="16"/>
  <c r="GU7" i="16" s="1"/>
  <c r="GN7" i="16"/>
  <c r="CL7" i="16"/>
  <c r="CL9" i="16"/>
  <c r="FK9" i="16" s="1"/>
  <c r="GT9" i="16" s="1"/>
  <c r="AG13" i="16"/>
  <c r="EK13" i="16"/>
  <c r="CL8" i="16"/>
  <c r="GD13" i="16"/>
  <c r="EJ13" i="16"/>
  <c r="GM13" i="16"/>
  <c r="BX13" i="16"/>
  <c r="GJ13" i="16"/>
  <c r="CL6" i="16"/>
  <c r="FK6" i="16" s="1"/>
  <c r="GT6" i="16" s="1"/>
  <c r="AA13" i="16" l="1"/>
  <c r="GU9" i="16"/>
  <c r="FL9" i="16"/>
  <c r="GU6" i="16"/>
  <c r="FL6" i="16"/>
  <c r="GN13" i="16"/>
  <c r="AC177" i="11"/>
  <c r="F179" i="11" s="1"/>
  <c r="AR11" i="16" s="1"/>
  <c r="AR13" i="16" l="1"/>
  <c r="D88" i="11"/>
  <c r="AB47" i="11" l="1"/>
  <c r="Y86" i="11" l="1"/>
  <c r="AB269" i="11" l="1"/>
  <c r="AB36" i="11" l="1"/>
  <c r="AL11" i="16" l="1"/>
  <c r="EP11" i="16" s="1"/>
  <c r="EP13" i="16" s="1"/>
  <c r="AJ11" i="16"/>
  <c r="AJ13" i="16" s="1"/>
  <c r="AK11" i="16"/>
  <c r="AK13" i="16" s="1"/>
  <c r="AB195" i="11"/>
  <c r="AB192" i="11"/>
  <c r="AB194" i="11"/>
  <c r="AB193" i="11"/>
  <c r="AI11" i="16" l="1"/>
  <c r="AI13" i="16" s="1"/>
  <c r="AL13" i="16"/>
  <c r="B175" i="11"/>
  <c r="H25" i="12" l="1"/>
  <c r="C247" i="11"/>
  <c r="AB28" i="11" l="1"/>
  <c r="AB43" i="11" l="1"/>
  <c r="AB11" i="11" l="1"/>
  <c r="AB273" i="11" l="1"/>
  <c r="AB272" i="11"/>
  <c r="AB271" i="11"/>
  <c r="AB270" i="11"/>
  <c r="AC189" i="11" l="1"/>
  <c r="F191" i="11" s="1"/>
  <c r="AT11" i="16" s="1"/>
  <c r="AT13" i="16" s="1"/>
  <c r="D8" i="15" l="1"/>
  <c r="D7" i="15"/>
  <c r="O10" i="12" l="1"/>
  <c r="O11" i="12"/>
  <c r="O9" i="12"/>
  <c r="P8" i="12"/>
  <c r="B5" i="12" l="1"/>
  <c r="B5" i="18"/>
  <c r="AB38" i="11"/>
  <c r="AB37" i="11"/>
  <c r="AB34" i="11" l="1"/>
  <c r="AB228" i="11" l="1"/>
  <c r="AC222" i="11"/>
  <c r="F224" i="11" s="1"/>
  <c r="AX11" i="16" s="1"/>
  <c r="AX13" i="16" s="1"/>
  <c r="AB217" i="11"/>
  <c r="AC215" i="11"/>
  <c r="AB210" i="11"/>
  <c r="AC205" i="11"/>
  <c r="F207" i="11" s="1"/>
  <c r="AV11" i="16" s="1"/>
  <c r="AV13" i="16" s="1"/>
  <c r="AB200" i="11"/>
  <c r="AC197" i="11"/>
  <c r="F199" i="11" s="1"/>
  <c r="AU11" i="16" s="1"/>
  <c r="AU13" i="16" s="1"/>
  <c r="AB186" i="11"/>
  <c r="AB185" i="11"/>
  <c r="AC182" i="11"/>
  <c r="F184" i="11" s="1"/>
  <c r="AS11" i="16" s="1"/>
  <c r="AB93" i="11"/>
  <c r="AB46" i="11"/>
  <c r="AB42" i="11"/>
  <c r="AB41" i="11"/>
  <c r="AB35" i="11"/>
  <c r="AB33" i="11"/>
  <c r="AB32" i="11"/>
  <c r="AB31" i="11"/>
  <c r="AB29" i="11"/>
  <c r="AB13" i="11"/>
  <c r="AB12" i="11"/>
  <c r="AB10" i="11"/>
  <c r="AB8" i="11"/>
  <c r="AS13" i="16" l="1"/>
  <c r="F217" i="11"/>
  <c r="F230" i="11" l="1"/>
  <c r="AW11" i="16"/>
  <c r="AP11" i="16"/>
  <c r="AN11" i="16"/>
  <c r="AO11" i="16"/>
  <c r="AO13" i="16" s="1"/>
  <c r="Y170" i="11"/>
  <c r="T236" i="11" s="1"/>
  <c r="H26" i="18" s="1"/>
  <c r="K232" i="11" l="1"/>
  <c r="AB232" i="11"/>
  <c r="M21" i="12" s="1"/>
  <c r="AW13" i="16"/>
  <c r="AY11" i="16"/>
  <c r="EU11" i="16"/>
  <c r="AN13" i="16"/>
  <c r="AM11" i="16"/>
  <c r="M22" i="12"/>
  <c r="AB160" i="11"/>
  <c r="AB163" i="11"/>
  <c r="AB159" i="11"/>
  <c r="AB162" i="11"/>
  <c r="AB161" i="11"/>
  <c r="AZ11" i="16" l="1"/>
  <c r="AQ11" i="16"/>
  <c r="AQ13" i="16" s="1"/>
  <c r="AY13" i="16"/>
  <c r="AM13" i="16"/>
  <c r="FF11" i="16" l="1"/>
  <c r="FF13" i="16" s="1"/>
  <c r="BD11" i="16"/>
  <c r="AZ13" i="16"/>
  <c r="AP13" i="16"/>
  <c r="EU13" i="16"/>
  <c r="CL11" i="16" l="1"/>
  <c r="GS11" i="16"/>
  <c r="GS13" i="16" s="1"/>
  <c r="FK11" i="16"/>
  <c r="BD13" i="16"/>
  <c r="GT11" i="16" l="1"/>
  <c r="GU11" i="16" s="1"/>
  <c r="FL11" i="16"/>
  <c r="CL13" i="16"/>
  <c r="FK13" i="16" l="1"/>
  <c r="FL13" i="16"/>
  <c r="GU13" i="16" l="1"/>
  <c r="GT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U100" authorId="0" shapeId="0" xr:uid="{00000000-0006-0000-0000-000001000000}">
      <text>
        <r>
          <rPr>
            <b/>
            <sz val="9"/>
            <color indexed="81"/>
            <rFont val="ＭＳ Ｐゴシック"/>
            <family val="3"/>
            <charset val="128"/>
          </rPr>
          <t>併用住宅を選択すると、ここに入力欄が表示されます。</t>
        </r>
      </text>
    </comment>
    <comment ref="J269"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<sst xmlns="http://schemas.openxmlformats.org/spreadsheetml/2006/main" count="822" uniqueCount="531">
  <si>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</si>
  <si>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</si>
  <si>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</si>
  <si>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</si>
  <si>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</si>
  <si>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</si>
  <si>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</si>
  <si>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</si>
  <si>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</si>
  <si>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</si>
  <si>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</si>
  <si>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</si>
  <si>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</si>
  <si>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</si>
  <si>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</si>
  <si>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</si>
  <si>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</si>
  <si>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</si>
  <si>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</si>
  <si>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</si>
  <si>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</si>
  <si>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</si>
  <si>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</si>
  <si>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　下記のとおり、補助金の交付を受けたいので、鳥取県補助金等交付規則第５条の規定により、関係書類を添えて申請します。</t>
    <phoneticPr fontId="1"/>
  </si>
  <si>
    <t>金</t>
    <rPh sb="0" eb="1">
      <t>キン</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</si>
  <si>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</si>
  <si>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</si>
  <si>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</si>
  <si>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</si>
  <si>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</si>
  <si>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</si>
  <si>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</si>
  <si>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</si>
  <si>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</si>
  <si>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</si>
  <si>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</si>
  <si>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</si>
  <si>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</si>
  <si>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</si>
  <si>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</si>
  <si>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</si>
  <si>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</si>
  <si>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</si>
  <si>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</si>
  <si>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</si>
  <si>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</si>
  <si>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</si>
  <si>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</si>
  <si>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</si>
  <si>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</si>
  <si>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</si>
  <si>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</si>
  <si>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</si>
  <si>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</si>
  <si>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</si>
  <si>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</si>
  <si>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</si>
  <si>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</si>
  <si>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</si>
  <si>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</si>
  <si>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</si>
  <si>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</si>
  <si>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</si>
  <si>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</si>
  <si>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</si>
  <si>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</si>
  <si>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</si>
  <si>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</si>
  <si>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</si>
  <si>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</si>
  <si>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</si>
  <si>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</si>
  <si>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</si>
  <si>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</si>
  <si>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</si>
  <si>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</si>
  <si>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</si>
  <si>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</si>
  <si>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</si>
  <si>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</si>
  <si>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</si>
  <si>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</si>
  <si>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</si>
  <si>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</si>
  <si>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</si>
  <si>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</si>
  <si>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</si>
  <si>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</si>
  <si>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</si>
  <si>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</si>
  <si>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</si>
  <si>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</si>
  <si>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</si>
  <si>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</si>
  <si>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</si>
  <si>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</si>
  <si>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</si>
  <si>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</si>
  <si>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</si>
  <si>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</si>
  <si>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</si>
  <si>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</si>
  <si>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</si>
  <si>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</si>
  <si>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</si>
  <si>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</si>
  <si>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</si>
  <si>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</si>
  <si>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</si>
  <si>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</si>
  <si>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</si>
  <si>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</si>
  <si>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</si>
  <si>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</si>
  <si>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</si>
  <si>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</si>
  <si>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</si>
  <si>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</si>
  <si>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</si>
  <si>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</si>
  <si>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</si>
  <si>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</si>
  <si>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</si>
  <si>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</si>
  <si>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</si>
  <si>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</si>
  <si>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</si>
  <si>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</si>
  <si>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</si>
  <si>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</si>
  <si>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</si>
  <si>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</si>
  <si>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</si>
  <si>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</si>
  <si>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</si>
  <si>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</si>
  <si>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</si>
  <si>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</si>
  <si>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</si>
  <si>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</si>
  <si>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</si>
  <si>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</si>
  <si>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</si>
  <si>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</si>
  <si>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</si>
  <si>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</si>
  <si>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</si>
  <si>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</si>
  <si>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</si>
  <si>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</si>
  <si>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</si>
  <si>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</si>
  <si>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</si>
  <si>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</si>
  <si>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</si>
  <si>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</si>
  <si>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</si>
  <si>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</si>
  <si>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</si>
  <si>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</si>
  <si>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</si>
  <si>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</si>
  <si>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</si>
  <si>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</si>
  <si>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</si>
  <si>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</si>
  <si>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</si>
  <si>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</si>
  <si>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</si>
  <si>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</si>
  <si>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</si>
  <si>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</si>
  <si>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</si>
  <si>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</si>
  <si>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</si>
  <si>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</si>
  <si>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</si>
  <si>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</si>
  <si>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</si>
  <si>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</si>
  <si>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</si>
  <si>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</si>
  <si>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</si>
  <si>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</si>
  <si>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</si>
  <si>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</si>
  <si>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</si>
  <si>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</si>
  <si>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</si>
  <si>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</si>
  <si>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</si>
  <si>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</si>
  <si>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</si>
  <si>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</si>
  <si>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</si>
  <si>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</si>
  <si>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</si>
  <si>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</si>
  <si>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</si>
  <si>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</si>
  <si>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</si>
  <si>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</si>
  <si>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</si>
  <si>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</si>
  <si>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</si>
  <si>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</si>
  <si>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</si>
  <si>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</si>
  <si>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</si>
  <si>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</si>
  <si>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</si>
  <si>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④新築することで直系尊属の世帯と新たに近居すること。</t>
    <rPh sb="1" eb="3">
      <t>シンチク</t>
    </rPh>
    <rPh sb="8" eb="10">
      <t>チョッケイ</t>
    </rPh>
    <rPh sb="10" eb="12">
      <t>ソンゾク</t>
    </rPh>
    <rPh sb="13" eb="15">
      <t>セタイ</t>
    </rPh>
    <rPh sb="16" eb="17">
      <t>アラ</t>
    </rPh>
    <phoneticPr fontId="1"/>
  </si>
  <si>
    <t>⑤新築することで直系尊属の世帯と新たに同居すること。</t>
    <rPh sb="1" eb="3">
      <t>シンチク</t>
    </rPh>
    <rPh sb="8" eb="10">
      <t>チョッケイ</t>
    </rPh>
    <rPh sb="10" eb="12">
      <t>ソンゾク</t>
    </rPh>
    <rPh sb="13" eb="15">
      <t>セタイ</t>
    </rPh>
    <rPh sb="16" eb="17">
      <t>アラ</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</si>
  <si>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</si>
  <si>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</si>
  <si>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</si>
  <si>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</si>
  <si>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</si>
  <si>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</si>
  <si>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</si>
  <si>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</si>
  <si>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</si>
  <si>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</si>
  <si>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</si>
  <si>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補助対象を同一とする県費を財源とする他の補助事業を利用していないこと。</t>
    <phoneticPr fontId="1"/>
  </si>
  <si>
    <t>⑥新築することで直系卑属の子育て世帯等と新たに同居する世帯であること。</t>
    <rPh sb="1" eb="3">
      <t>シンチク</t>
    </rPh>
    <rPh sb="10" eb="12">
      <t>ヒゾク</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</si>
  <si>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</si>
  <si>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</si>
  <si>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</si>
  <si>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</si>
  <si>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</si>
  <si>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</si>
  <si>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</si>
  <si>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日</t>
    <rPh sb="0" eb="1">
      <t>ニチ</t>
    </rPh>
    <phoneticPr fontId="1"/>
  </si>
  <si>
    <t>月</t>
    <rPh sb="0" eb="1">
      <t>ガツ</t>
    </rPh>
    <phoneticPr fontId="1"/>
  </si>
  <si>
    <t>年</t>
    <rPh sb="0" eb="1">
      <t>ネン</t>
    </rPh>
    <phoneticPr fontId="1"/>
  </si>
  <si>
    <t>令和</t>
    <rPh sb="0" eb="2">
      <t>レイワ</t>
    </rPh>
    <phoneticPr fontId="1"/>
  </si>
  <si>
    <t>令和</t>
    <rPh sb="0" eb="2">
      <t>レイワ</t>
    </rPh>
    <phoneticPr fontId="1"/>
  </si>
  <si>
    <t>←日付はチェックシートから引用します</t>
    <rPh sb="1" eb="3">
      <t>ヒヅケ</t>
    </rPh>
    <rPh sb="13" eb="15">
      <t>インヨウ</t>
    </rPh>
    <phoneticPr fontId="1"/>
  </si>
  <si>
    <t>補助金の名称</t>
    <rPh sb="0" eb="3">
      <t>ホジョキン</t>
    </rPh>
    <rPh sb="4" eb="6">
      <t>メイショウ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</si>
  <si>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</si>
  <si>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</si>
  <si>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</si>
  <si>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</si>
  <si>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</si>
  <si>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</si>
  <si>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</si>
  <si>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</si>
  <si>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</si>
  <si>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</si>
  <si>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</si>
  <si>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</si>
  <si>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</si>
  <si>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</si>
  <si>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</si>
  <si>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4"/>
  </si>
  <si>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</si>
  <si>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</si>
  <si>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4"/>
  </si>
  <si>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</si>
  <si>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</si>
  <si>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</si>
  <si>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</si>
  <si>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</si>
  <si>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4"/>
  </si>
  <si>
    <t>改修助成（予定）</t>
    <rPh sb="0" eb="2">
      <t>カイシュウ</t>
    </rPh>
    <rPh sb="2" eb="4">
      <t>ジョセイ</t>
    </rPh>
    <rPh sb="5" eb="7">
      <t>ヨテイ</t>
    </rPh>
    <phoneticPr fontId="34"/>
  </si>
  <si>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</si>
  <si>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</si>
  <si>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</si>
  <si>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</si>
  <si>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4"/>
  </si>
  <si>
    <t>工事費</t>
    <rPh sb="0" eb="3">
      <t>コウジヒ</t>
    </rPh>
    <phoneticPr fontId="34"/>
  </si>
  <si>
    <t>建築確認</t>
    <rPh sb="0" eb="2">
      <t>ケンチク</t>
    </rPh>
    <rPh sb="2" eb="4">
      <t>カクニン</t>
    </rPh>
    <phoneticPr fontId="34"/>
  </si>
  <si>
    <t>変更承認</t>
    <rPh sb="0" eb="2">
      <t>ヘンコウ</t>
    </rPh>
    <rPh sb="2" eb="4">
      <t>ショウニン</t>
    </rPh>
    <phoneticPr fontId="34"/>
  </si>
  <si>
    <t>フラット35子育て支援型利用</t>
    <rPh sb="6" eb="8">
      <t>コソダ</t>
    </rPh>
    <rPh sb="9" eb="12">
      <t>シエンガタ</t>
    </rPh>
    <rPh sb="12" eb="14">
      <t>リヨウ</t>
    </rPh>
    <phoneticPr fontId="34"/>
  </si>
  <si>
    <t>補助金併用</t>
    <rPh sb="0" eb="3">
      <t>ホジョキン</t>
    </rPh>
    <rPh sb="3" eb="5">
      <t>ヘイヨウ</t>
    </rPh>
    <phoneticPr fontId="34"/>
  </si>
  <si>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</si>
  <si>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4"/>
  </si>
  <si>
    <t>額の確定</t>
    <rPh sb="0" eb="1">
      <t>ガク</t>
    </rPh>
    <rPh sb="2" eb="4">
      <t>カクテイ</t>
    </rPh>
    <phoneticPr fontId="34"/>
  </si>
  <si>
    <t>氏名</t>
    <rPh sb="0" eb="2">
      <t>シメイ</t>
    </rPh>
    <phoneticPr fontId="18"/>
  </si>
  <si>
    <t>郵便番号</t>
    <rPh sb="0" eb="4">
      <t>ユウビンバンゴウ</t>
    </rPh>
    <phoneticPr fontId="34"/>
  </si>
  <si>
    <t>住所</t>
    <rPh sb="0" eb="2">
      <t>ジュウショ</t>
    </rPh>
    <phoneticPr fontId="34"/>
  </si>
  <si>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</si>
  <si>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</si>
  <si>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</si>
  <si>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</si>
  <si>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県産内外装材</t>
    <rPh sb="0" eb="2">
      <t>ケンサン</t>
    </rPh>
    <rPh sb="2" eb="5">
      <t>ナイガイソウ</t>
    </rPh>
    <rPh sb="5" eb="6">
      <t>ザイ</t>
    </rPh>
    <phoneticPr fontId="18"/>
  </si>
  <si>
    <t>県産ＣＬＴ材</t>
    <rPh sb="0" eb="2">
      <t>ケンサン</t>
    </rPh>
    <rPh sb="5" eb="6">
      <t>ザイ</t>
    </rPh>
    <phoneticPr fontId="18"/>
  </si>
  <si>
    <t>子育て世帯等</t>
    <rPh sb="0" eb="2">
      <t>コソダ</t>
    </rPh>
    <rPh sb="3" eb="5">
      <t>セタイ</t>
    </rPh>
    <rPh sb="5" eb="6">
      <t>トウ</t>
    </rPh>
    <phoneticPr fontId="34"/>
  </si>
  <si>
    <t>三世代同居等</t>
    <rPh sb="0" eb="1">
      <t>サン</t>
    </rPh>
    <rPh sb="1" eb="3">
      <t>セダイ</t>
    </rPh>
    <rPh sb="3" eb="5">
      <t>ドウキョ</t>
    </rPh>
    <rPh sb="5" eb="6">
      <t>トウ</t>
    </rPh>
    <phoneticPr fontId="34"/>
  </si>
  <si>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</si>
  <si>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4"/>
  </si>
  <si>
    <t>伝統</t>
    <rPh sb="0" eb="2">
      <t>デントウ</t>
    </rPh>
    <phoneticPr fontId="1"/>
  </si>
  <si>
    <t>交付決定額
（改修）</t>
    <rPh sb="0" eb="2">
      <t>コウフ</t>
    </rPh>
    <rPh sb="2" eb="4">
      <t>ケッテイ</t>
    </rPh>
    <rPh sb="4" eb="5">
      <t>ガク</t>
    </rPh>
    <rPh sb="7" eb="9">
      <t>カイシュウ</t>
    </rPh>
    <phoneticPr fontId="34"/>
  </si>
  <si>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</si>
  <si>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4"/>
  </si>
  <si>
    <t>実績減</t>
    <rPh sb="0" eb="2">
      <t>ジッセキ</t>
    </rPh>
    <rPh sb="2" eb="3">
      <t>ゲン</t>
    </rPh>
    <phoneticPr fontId="1"/>
  </si>
  <si>
    <t>交付確定額
（改修）</t>
    <rPh sb="0" eb="2">
      <t>コウフ</t>
    </rPh>
    <rPh sb="2" eb="4">
      <t>カクテイ</t>
    </rPh>
    <rPh sb="4" eb="5">
      <t>ガク</t>
    </rPh>
    <rPh sb="7" eb="9">
      <t>カイシュウ</t>
    </rPh>
    <phoneticPr fontId="34"/>
  </si>
  <si>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</si>
  <si>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</si>
  <si>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</si>
  <si>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</si>
  <si>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</si>
  <si>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4"/>
  </si>
  <si>
    <r>
      <t xml:space="preserve">実木材
使用量
</t>
    </r>
    <r>
      <rPr>
        <sz val="10"/>
        <color indexed="10"/>
        <rFont val="ＭＳ Ｐゴシック"/>
        <family val="3"/>
        <charset val="128"/>
      </rPr>
      <t>(m3)</t>
    </r>
    <rPh sb="0" eb="1">
      <t>ジツ</t>
    </rPh>
    <rPh sb="1" eb="3">
      <t>モクザイ</t>
    </rPh>
    <rPh sb="4" eb="7">
      <t>シヨウリョウ</t>
    </rPh>
    <phoneticPr fontId="34"/>
  </si>
  <si>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4"/>
  </si>
  <si>
    <t>補助金額
(千円)</t>
    <rPh sb="0" eb="3">
      <t>ホジョキン</t>
    </rPh>
    <rPh sb="3" eb="4">
      <t>ガク</t>
    </rPh>
    <rPh sb="6" eb="8">
      <t>センエン</t>
    </rPh>
    <phoneticPr fontId="34"/>
  </si>
  <si>
    <t xml:space="preserve">有
</t>
    <rPh sb="0" eb="1">
      <t>ア</t>
    </rPh>
    <phoneticPr fontId="34"/>
  </si>
  <si>
    <t>内外装材使用量
(m3)</t>
    <rPh sb="0" eb="3">
      <t>ナイガイソウ</t>
    </rPh>
    <rPh sb="3" eb="4">
      <t>ザイ</t>
    </rPh>
    <rPh sb="4" eb="7">
      <t>シヨウリョウ</t>
    </rPh>
    <phoneticPr fontId="34"/>
  </si>
  <si>
    <t>算出値
(千円)</t>
    <rPh sb="0" eb="2">
      <t>サンシュツ</t>
    </rPh>
    <rPh sb="2" eb="3">
      <t>チ</t>
    </rPh>
    <rPh sb="5" eb="7">
      <t>センエン</t>
    </rPh>
    <phoneticPr fontId="34"/>
  </si>
  <si>
    <t>CLT使用量
(m3)</t>
    <rPh sb="3" eb="6">
      <t>シヨウリョウ</t>
    </rPh>
    <phoneticPr fontId="34"/>
  </si>
  <si>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</si>
  <si>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4"/>
  </si>
  <si>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4"/>
  </si>
  <si>
    <t xml:space="preserve">有
</t>
    <rPh sb="0" eb="1">
      <t>ア</t>
    </rPh>
    <phoneticPr fontId="34"/>
  </si>
  <si>
    <t>ポイント数</t>
    <rPh sb="4" eb="5">
      <t>スウ</t>
    </rPh>
    <phoneticPr fontId="34"/>
  </si>
  <si>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</si>
  <si>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</si>
  <si>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</si>
  <si>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4"/>
  </si>
  <si>
    <t>内外装使用面積m2</t>
    <rPh sb="0" eb="3">
      <t>ナイガイソウ</t>
    </rPh>
    <rPh sb="3" eb="5">
      <t>シヨウ</t>
    </rPh>
    <rPh sb="5" eb="7">
      <t>メンセキ</t>
    </rPh>
    <phoneticPr fontId="34"/>
  </si>
  <si>
    <t>補助金額
（千円）</t>
    <rPh sb="0" eb="2">
      <t>ホジョ</t>
    </rPh>
    <rPh sb="2" eb="4">
      <t>キンガク</t>
    </rPh>
    <rPh sb="6" eb="8">
      <t>センエン</t>
    </rPh>
    <phoneticPr fontId="34"/>
  </si>
  <si>
    <r>
      <t>近居（子育て世帯）</t>
    </r>
    <r>
      <rPr>
        <sz val="10"/>
        <color rgb="FFFF0000"/>
        <rFont val="ＭＳ Ｐゴシック"/>
        <family val="3"/>
        <charset val="128"/>
        <scheme val="minor"/>
      </rPr>
      <t>（選択式）</t>
    </r>
    <rPh sb="0" eb="2">
      <t>キンキョ</t>
    </rPh>
    <phoneticPr fontId="34"/>
  </si>
  <si>
    <r>
      <t>同居（子育て世帯）</t>
    </r>
    <r>
      <rPr>
        <sz val="10"/>
        <color rgb="FFFF0000"/>
        <rFont val="ＭＳ Ｐゴシック"/>
        <family val="3"/>
        <charset val="128"/>
        <scheme val="minor"/>
      </rPr>
      <t>（選択式）</t>
    </r>
    <rPh sb="0" eb="2">
      <t>ドウキョ</t>
    </rPh>
    <rPh sb="3" eb="5">
      <t>コソダ</t>
    </rPh>
    <rPh sb="6" eb="8">
      <t>セタイ</t>
    </rPh>
    <phoneticPr fontId="34"/>
  </si>
  <si>
    <r>
      <t>同居（親世帯）</t>
    </r>
    <r>
      <rPr>
        <sz val="10"/>
        <color rgb="FFFF0000"/>
        <rFont val="ＭＳ Ｐゴシック"/>
        <family val="3"/>
        <charset val="128"/>
        <scheme val="minor"/>
      </rPr>
      <t>（選択式）</t>
    </r>
    <rPh sb="0" eb="2">
      <t>ドウキョ</t>
    </rPh>
    <rPh sb="3" eb="4">
      <t>オヤ</t>
    </rPh>
    <rPh sb="4" eb="6">
      <t>セタイ</t>
    </rPh>
    <phoneticPr fontId="34"/>
  </si>
  <si>
    <t>大工
面積</t>
    <rPh sb="0" eb="2">
      <t>ダイク</t>
    </rPh>
    <rPh sb="3" eb="5">
      <t>メンセキ</t>
    </rPh>
    <phoneticPr fontId="34"/>
  </si>
  <si>
    <t>左官
面積</t>
    <rPh sb="0" eb="2">
      <t>サカン</t>
    </rPh>
    <rPh sb="3" eb="5">
      <t>メンセキ</t>
    </rPh>
    <phoneticPr fontId="34"/>
  </si>
  <si>
    <t>建具
面積</t>
    <rPh sb="0" eb="2">
      <t>タテグ</t>
    </rPh>
    <rPh sb="3" eb="5">
      <t>メンセキ</t>
    </rPh>
    <phoneticPr fontId="34"/>
  </si>
  <si>
    <t>補助金額計
（千円）</t>
    <rPh sb="0" eb="2">
      <t>ホジョ</t>
    </rPh>
    <rPh sb="2" eb="4">
      <t>キンガク</t>
    </rPh>
    <rPh sb="4" eb="5">
      <t>ケイ</t>
    </rPh>
    <rPh sb="7" eb="9">
      <t>センエン</t>
    </rPh>
    <phoneticPr fontId="34"/>
  </si>
  <si>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</si>
  <si>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</si>
  <si>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</si>
  <si>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</si>
  <si>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</si>
  <si>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4"/>
  </si>
  <si>
    <t>所在地</t>
    <rPh sb="0" eb="3">
      <t>ショザイチ</t>
    </rPh>
    <phoneticPr fontId="34"/>
  </si>
  <si>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</si>
  <si>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</si>
  <si>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4"/>
  </si>
  <si>
    <r>
      <t xml:space="preserve">要・不要
</t>
    </r>
    <r>
      <rPr>
        <sz val="10"/>
        <color rgb="FFFF0000"/>
        <rFont val="ＭＳ Ｐゴシック"/>
        <family val="3"/>
        <charset val="128"/>
        <scheme val="minor"/>
      </rPr>
      <t>（選択式）</t>
    </r>
    <rPh sb="0" eb="1">
      <t>ヨウ</t>
    </rPh>
    <rPh sb="2" eb="4">
      <t>フヨウ</t>
    </rPh>
    <phoneticPr fontId="34"/>
  </si>
  <si>
    <t>承認日</t>
    <rPh sb="0" eb="2">
      <t>ショウニン</t>
    </rPh>
    <phoneticPr fontId="34"/>
  </si>
  <si>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</si>
  <si>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</si>
  <si>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</si>
  <si>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</si>
  <si>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</si>
  <si>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</si>
  <si>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</si>
  <si>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</si>
  <si>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</si>
  <si>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4"/>
  </si>
  <si>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</si>
  <si>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</si>
  <si>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</si>
  <si>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</si>
  <si>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</si>
  <si>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</si>
  <si>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</si>
  <si>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4"/>
  </si>
  <si>
    <t>婚姻後10年以内</t>
    <rPh sb="0" eb="3">
      <t>コンインゴ</t>
    </rPh>
    <rPh sb="5" eb="6">
      <t>ネン</t>
    </rPh>
    <rPh sb="6" eb="8">
      <t>イナイ</t>
    </rPh>
    <phoneticPr fontId="34"/>
  </si>
  <si>
    <t>有
有なら1を選択</t>
    <rPh sb="0" eb="1">
      <t>ア</t>
    </rPh>
    <rPh sb="3" eb="4">
      <t>ア</t>
    </rPh>
    <rPh sb="8" eb="10">
      <t>センタク</t>
    </rPh>
    <phoneticPr fontId="34"/>
  </si>
  <si>
    <t>近居（子育て世帯）</t>
    <rPh sb="0" eb="2">
      <t>キンキョ</t>
    </rPh>
    <phoneticPr fontId="34"/>
  </si>
  <si>
    <t>同居（子育て世帯）</t>
    <rPh sb="0" eb="2">
      <t>ドウキョ</t>
    </rPh>
    <rPh sb="3" eb="5">
      <t>コソダ</t>
    </rPh>
    <rPh sb="6" eb="8">
      <t>セタイ</t>
    </rPh>
    <phoneticPr fontId="34"/>
  </si>
  <si>
    <t>同居（親世帯）</t>
    <rPh sb="0" eb="2">
      <t>ドウキョ</t>
    </rPh>
    <rPh sb="3" eb="4">
      <t>オヤ</t>
    </rPh>
    <rPh sb="4" eb="6">
      <t>セタイ</t>
    </rPh>
    <phoneticPr fontId="34"/>
  </si>
  <si>
    <t>(区分）
実績・取消・取下</t>
    <rPh sb="1" eb="3">
      <t>クブン</t>
    </rPh>
    <rPh sb="5" eb="7">
      <t>ジッセキ</t>
    </rPh>
    <rPh sb="8" eb="10">
      <t>トリケシ</t>
    </rPh>
    <rPh sb="11" eb="13">
      <t>トリサ</t>
    </rPh>
    <phoneticPr fontId="34"/>
  </si>
  <si>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4"/>
  </si>
  <si>
    <t>額の
確定日</t>
    <rPh sb="0" eb="1">
      <t>ガク</t>
    </rPh>
    <rPh sb="3" eb="5">
      <t>カクテイ</t>
    </rPh>
    <rPh sb="5" eb="6">
      <t>ビ</t>
    </rPh>
    <phoneticPr fontId="18"/>
  </si>
  <si>
    <t>支払日</t>
    <rPh sb="0" eb="3">
      <t>シハライビ</t>
    </rPh>
    <phoneticPr fontId="34"/>
  </si>
  <si>
    <t>交付決定額</t>
    <rPh sb="0" eb="2">
      <t>コウフ</t>
    </rPh>
    <rPh sb="2" eb="4">
      <t>ケッテイ</t>
    </rPh>
    <rPh sb="4" eb="5">
      <t>ガク</t>
    </rPh>
    <phoneticPr fontId="34"/>
  </si>
  <si>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</si>
  <si>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</si>
  <si>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</si>
  <si>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</si>
  <si>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</si>
  <si>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</si>
  <si>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</si>
  <si>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</si>
  <si>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</si>
  <si>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</si>
  <si>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</si>
  <si>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</si>
  <si>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</si>
  <si>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</si>
  <si>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</si>
  <si>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</si>
  <si>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</si>
  <si>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</si>
  <si>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</si>
  <si>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</si>
  <si>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</si>
  <si>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</si>
  <si>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</si>
  <si>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</si>
  <si>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</si>
  <si>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</si>
  <si>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</si>
  <si>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</si>
  <si>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</si>
  <si>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</si>
  <si>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</si>
  <si>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</si>
  <si>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</si>
  <si>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</si>
  <si>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</si>
  <si>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</si>
  <si>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</si>
  <si>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</si>
  <si>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</si>
  <si>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</si>
  <si>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</si>
  <si>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</si>
  <si>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</si>
  <si>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</si>
  <si>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</si>
  <si>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4"/>
  </si>
  <si>
    <t>18歳以下なしかつ婚姻10年</t>
    <rPh sb="2" eb="3">
      <t>サイ</t>
    </rPh>
    <rPh sb="3" eb="5">
      <t>イカ</t>
    </rPh>
    <rPh sb="9" eb="11">
      <t>コンイン</t>
    </rPh>
    <rPh sb="13" eb="14">
      <t>ネン</t>
    </rPh>
    <phoneticPr fontId="34"/>
  </si>
  <si>
    <t>近居（同居除く）</t>
    <rPh sb="0" eb="2">
      <t>キンキョ</t>
    </rPh>
    <rPh sb="3" eb="5">
      <t>ドウキョ</t>
    </rPh>
    <rPh sb="5" eb="6">
      <t>ノゾ</t>
    </rPh>
    <phoneticPr fontId="34"/>
  </si>
  <si>
    <t>同居</t>
    <rPh sb="0" eb="2">
      <t>ドウキョ</t>
    </rPh>
    <phoneticPr fontId="34"/>
  </si>
  <si>
    <t>手刻み</t>
    <rPh sb="0" eb="1">
      <t>テ</t>
    </rPh>
    <rPh sb="1" eb="2">
      <t>キザ</t>
    </rPh>
    <phoneticPr fontId="34"/>
  </si>
  <si>
    <t>下見板張り</t>
    <rPh sb="0" eb="2">
      <t>シタミ</t>
    </rPh>
    <rPh sb="2" eb="3">
      <t>イタ</t>
    </rPh>
    <rPh sb="3" eb="4">
      <t>バ</t>
    </rPh>
    <phoneticPr fontId="34"/>
  </si>
  <si>
    <t>左官仕上げ</t>
    <rPh sb="0" eb="2">
      <t>サカン</t>
    </rPh>
    <rPh sb="2" eb="4">
      <t>シア</t>
    </rPh>
    <phoneticPr fontId="34"/>
  </si>
  <si>
    <t>国産瓦</t>
    <rPh sb="0" eb="2">
      <t>コクサン</t>
    </rPh>
    <rPh sb="2" eb="3">
      <t>ガワラ</t>
    </rPh>
    <phoneticPr fontId="34"/>
  </si>
  <si>
    <t>木製建具</t>
    <rPh sb="0" eb="2">
      <t>モクセイ</t>
    </rPh>
    <rPh sb="2" eb="4">
      <t>タテグ</t>
    </rPh>
    <phoneticPr fontId="34"/>
  </si>
  <si>
    <t>畳</t>
    <rPh sb="0" eb="1">
      <t>タタミ</t>
    </rPh>
    <phoneticPr fontId="34"/>
  </si>
  <si>
    <t>構造材現し</t>
    <rPh sb="0" eb="2">
      <t>コウゾウ</t>
    </rPh>
    <rPh sb="2" eb="3">
      <t>ザイ</t>
    </rPh>
    <rPh sb="3" eb="4">
      <t>アラワ</t>
    </rPh>
    <phoneticPr fontId="34"/>
  </si>
  <si>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</si>
  <si>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</si>
  <si>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52"/>
  </si>
  <si>
    <t>申請受付年月日</t>
    <rPh sb="0" eb="2">
      <t>シンセイ</t>
    </rPh>
    <rPh sb="2" eb="4">
      <t>ウケツケ</t>
    </rPh>
    <rPh sb="4" eb="7">
      <t>ネンガッピ</t>
    </rPh>
    <phoneticPr fontId="52"/>
  </si>
  <si>
    <t>申請者</t>
    <rPh sb="0" eb="3">
      <t>シンセイシャ</t>
    </rPh>
    <phoneticPr fontId="52"/>
  </si>
  <si>
    <t>交付決定日</t>
    <rPh sb="0" eb="4">
      <t>コウフケッテイ</t>
    </rPh>
    <rPh sb="4" eb="5">
      <t>ヒ</t>
    </rPh>
    <phoneticPr fontId="52"/>
  </si>
  <si>
    <t>実績報告日</t>
    <rPh sb="0" eb="2">
      <t>ジッセキ</t>
    </rPh>
    <rPh sb="2" eb="4">
      <t>ホウコク</t>
    </rPh>
    <rPh sb="4" eb="5">
      <t>ビ</t>
    </rPh>
    <phoneticPr fontId="52"/>
  </si>
  <si>
    <t>額の確定日</t>
    <rPh sb="0" eb="1">
      <t>ガク</t>
    </rPh>
    <rPh sb="2" eb="4">
      <t>カクテイ</t>
    </rPh>
    <rPh sb="4" eb="5">
      <t>ヒ</t>
    </rPh>
    <phoneticPr fontId="52"/>
  </si>
  <si>
    <t>支払日</t>
    <rPh sb="0" eb="2">
      <t>シハラ</t>
    </rPh>
    <rPh sb="2" eb="3">
      <t>ヒ</t>
    </rPh>
    <phoneticPr fontId="52"/>
  </si>
  <si>
    <t>郵便番号</t>
    <rPh sb="0" eb="2">
      <t>ユウビン</t>
    </rPh>
    <rPh sb="2" eb="4">
      <t>バンゴウ</t>
    </rPh>
    <phoneticPr fontId="1"/>
  </si>
  <si>
    <t>申請者情報</t>
    <rPh sb="0" eb="3">
      <t>シンセイシャ</t>
    </rPh>
    <rPh sb="3" eb="5">
      <t>ジョウホウ</t>
    </rPh>
    <phoneticPr fontId="52"/>
  </si>
  <si>
    <t>電話番号</t>
    <rPh sb="0" eb="4">
      <t>デンワバンゴウ</t>
    </rPh>
    <phoneticPr fontId="1"/>
  </si>
  <si>
    <t>市町村名</t>
    <rPh sb="0" eb="4">
      <t>シチョウソンメイ</t>
    </rPh>
    <phoneticPr fontId="34"/>
  </si>
  <si>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</si>
  <si>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</si>
  <si>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</si>
  <si>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</si>
  <si>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</si>
  <si>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</si>
  <si>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52"/>
  </si>
  <si>
    <t>着工（予定）年月日</t>
    <rPh sb="0" eb="2">
      <t>チャッコウ</t>
    </rPh>
    <rPh sb="3" eb="5">
      <t>ヨテイ</t>
    </rPh>
    <rPh sb="6" eb="9">
      <t>ネンガッピ</t>
    </rPh>
    <phoneticPr fontId="52"/>
  </si>
  <si>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</si>
  <si>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</si>
  <si>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</si>
  <si>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</si>
  <si>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</si>
  <si>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</si>
  <si>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</si>
  <si>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</si>
  <si>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</si>
  <si>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</si>
  <si>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</si>
  <si>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</si>
  <si>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52"/>
  </si>
  <si>
    <t>額確定額</t>
    <rPh sb="0" eb="3">
      <t>ガクカクテイ</t>
    </rPh>
    <rPh sb="3" eb="4">
      <t>ガク</t>
    </rPh>
    <phoneticPr fontId="52"/>
  </si>
  <si>
    <t>変更承認額</t>
    <rPh sb="0" eb="4">
      <t>ヘンコウショウニン</t>
    </rPh>
    <rPh sb="4" eb="5">
      <t>ガク</t>
    </rPh>
    <phoneticPr fontId="52"/>
  </si>
  <si>
    <t>変更承認日</t>
    <rPh sb="0" eb="2">
      <t>ヘンコウ</t>
    </rPh>
    <rPh sb="2" eb="4">
      <t>ショウニン</t>
    </rPh>
    <rPh sb="4" eb="5">
      <t>ヒ</t>
    </rPh>
    <phoneticPr fontId="52"/>
  </si>
  <si>
    <t>T-G1</t>
    <phoneticPr fontId="1"/>
  </si>
  <si>
    <t>T-G2</t>
    <phoneticPr fontId="1"/>
  </si>
  <si>
    <t>T-G3</t>
    <phoneticPr fontId="1"/>
  </si>
  <si>
    <t>→行全体を台帳へコピぺ</t>
    <rPh sb="1" eb="2">
      <t>ギョウ</t>
    </rPh>
    <rPh sb="2" eb="4">
      <t>ゼンタイ</t>
    </rPh>
    <rPh sb="5" eb="7">
      <t>ダイチョウ</t>
    </rPh>
    <phoneticPr fontId="1"/>
  </si>
  <si>
    <t>　　　　　とっとり未来型省エネ住宅特別促進事業建設等計画（報告）書【新築用】</t>
    <rPh sb="9" eb="12">
      <t>ミライガタ</t>
    </rPh>
    <rPh sb="12" eb="13">
      <t>ショウ</t>
    </rPh>
    <rPh sb="15" eb="17">
      <t>ジュウタク</t>
    </rPh>
    <rPh sb="17" eb="19">
      <t>トクベツ</t>
    </rPh>
    <rPh sb="19" eb="23">
      <t>ソクシンジギョウ</t>
    </rPh>
    <rPh sb="23" eb="25">
      <t>ケンセツ</t>
    </rPh>
    <rPh sb="25" eb="26">
      <t>トウ</t>
    </rPh>
    <rPh sb="26" eb="28">
      <t>ケイカク</t>
    </rPh>
    <rPh sb="29" eb="31">
      <t>ホウコク</t>
    </rPh>
    <rPh sb="32" eb="33">
      <t>ショ</t>
    </rPh>
    <rPh sb="34" eb="36">
      <t>シンチク</t>
    </rPh>
    <rPh sb="36" eb="37">
      <t>ヨウ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</si>
  <si>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</si>
  <si>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</si>
  <si>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</si>
  <si>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</si>
  <si>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</si>
  <si>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とっとり住まいる支援事業補助金交付申請書</t>
    <phoneticPr fontId="1"/>
  </si>
  <si>
    <t>とっとり未来型省エネ住宅特別促進事業補助金交付申請書</t>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</si>
  <si>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</si>
  <si>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</si>
  <si>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</si>
  <si>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</si>
  <si>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</si>
  <si>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</si>
  <si>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　</t>
  </si>
  <si>
    <t>③県産JAS製材の使用材積</t>
    <rPh sb="1" eb="3">
      <t>ケンサン</t>
    </rPh>
    <rPh sb="6" eb="8">
      <t>セイザイ</t>
    </rPh>
    <rPh sb="7" eb="8">
      <t>ザイ</t>
    </rPh>
    <rPh sb="9" eb="11">
      <t>シヨウ</t>
    </rPh>
    <rPh sb="11" eb="13">
      <t>ザイセキ</t>
    </rPh>
    <phoneticPr fontId="1"/>
  </si>
  <si>
    <t>横架材</t>
    <rPh sb="0" eb="3">
      <t>オウカザイ</t>
    </rPh>
    <phoneticPr fontId="1"/>
  </si>
  <si>
    <t>横架材以外</t>
    <rPh sb="0" eb="3">
      <t>オウカザイ</t>
    </rPh>
    <rPh sb="3" eb="5">
      <t>イガイ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</si>
  <si>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</si>
  <si>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横架材
使用量
(m3)</t>
    <rPh sb="0" eb="3">
      <t>オウカザイ</t>
    </rPh>
    <rPh sb="4" eb="7">
      <t>シヨウリョウ</t>
    </rPh>
    <phoneticPr fontId="34"/>
  </si>
  <si>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4"/>
  </si>
  <si>
    <t>＜実績報告時の提出書類＞鳥取県産材活用協議会が発行する県産材の産地証明書の写し</t>
    <rPh sb="1" eb="3">
      <t>ジッセキ</t>
    </rPh>
    <rPh sb="3" eb="5">
      <t>ホウコク</t>
    </rPh>
    <rPh sb="5" eb="6">
      <t>ジ</t>
    </rPh>
    <rPh sb="7" eb="9">
      <t>テイシュツ</t>
    </rPh>
    <rPh sb="9" eb="11">
      <t>ショルイ</t>
    </rPh>
    <rPh sb="12" eb="15">
      <t>トットリケン</t>
    </rPh>
    <rPh sb="15" eb="17">
      <t>サンザイ</t>
    </rPh>
    <rPh sb="17" eb="22">
      <t>カツヨウキョウギカイ</t>
    </rPh>
    <rPh sb="23" eb="25">
      <t>ハッコウ</t>
    </rPh>
    <rPh sb="27" eb="28">
      <t>ケン</t>
    </rPh>
    <rPh sb="28" eb="30">
      <t>サンザイ</t>
    </rPh>
    <rPh sb="31" eb="33">
      <t>サンチ</t>
    </rPh>
    <rPh sb="33" eb="36">
      <t>ショウメイショ</t>
    </rPh>
    <rPh sb="37" eb="38">
      <t>ウツ</t>
    </rPh>
    <phoneticPr fontId="1"/>
  </si>
  <si>
    <t>（別途提出する鳥取県産材活用協議会が発行する県産材の産地証明書で証明できる場合を除く。）</t>
    <rPh sb="22" eb="25">
      <t>ケンサンザイ</t>
    </rPh>
    <rPh sb="26" eb="28">
      <t>サンチ</t>
    </rPh>
    <rPh sb="28" eb="31">
      <t>ショウメイショ</t>
    </rPh>
    <rPh sb="32" eb="34">
      <t>ショウメイ</t>
    </rPh>
    <rPh sb="37" eb="39">
      <t>バアイ</t>
    </rPh>
    <rPh sb="40" eb="41">
      <t>ノゾ</t>
    </rPh>
    <phoneticPr fontId="1"/>
  </si>
  <si>
    <t>（JAS格付及び含水率20%以下）であることを証明する書類</t>
  </si>
  <si>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</si>
  <si>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・県産CLT材、県産内外装材、県産木塀の上限額は２０万円になります。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</si>
  <si>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</si>
  <si>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r>
      <t>含水率の測定結果写真</t>
    </r>
    <r>
      <rPr>
        <sz val="9"/>
        <color rgb="FF0066FF"/>
        <rFont val="ＭＳ 明朝"/>
        <family val="1"/>
        <charset val="128"/>
      </rPr>
      <t>又は鳥取県木材協同組合連合会</t>
    </r>
    <r>
      <rPr>
        <sz val="9"/>
        <color rgb="FFFF0000"/>
        <rFont val="ＭＳ 明朝"/>
        <family val="1"/>
        <charset val="128"/>
      </rPr>
      <t>が発行する日本農林規格県産材</t>
    </r>
    <rPh sb="10" eb="11">
      <t>マタ</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</si>
  <si>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</si>
  <si>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</si>
  <si>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　　※Nearly ZEHは多雪地域のみ選択できます。（多雪地域以外のNearly ZEHは対象外）</t>
    <rPh sb="14" eb="18">
      <t>タセツチイキ</t>
    </rPh>
    <rPh sb="20" eb="22">
      <t>センタク</t>
    </rPh>
    <rPh sb="28" eb="32">
      <t>タセツチイキ</t>
    </rPh>
    <rPh sb="32" eb="34">
      <t>イガイ</t>
    </rPh>
    <rPh sb="46" eb="49">
      <t>タイショウガイ</t>
    </rPh>
    <phoneticPr fontId="1"/>
  </si>
  <si>
    <r>
      <t>国補助利用者のうち、「地域型グリーン化事業</t>
    </r>
    <r>
      <rPr>
        <sz val="11"/>
        <rFont val="ＭＳ Ｐ明朝"/>
        <family val="1"/>
        <charset val="128"/>
      </rPr>
      <t>補助金</t>
    </r>
    <r>
      <rPr>
        <sz val="11"/>
        <color theme="1"/>
        <rFont val="ＭＳ Ｐ明朝"/>
        <family val="1"/>
        <charset val="128"/>
      </rPr>
      <t>」利用者である。</t>
    </r>
    <rPh sb="11" eb="14">
      <t>チイキガタ</t>
    </rPh>
    <rPh sb="18" eb="19">
      <t>カ</t>
    </rPh>
    <rPh sb="19" eb="21">
      <t>ジギョウ</t>
    </rPh>
    <rPh sb="21" eb="24">
      <t>ホジョキン</t>
    </rPh>
    <phoneticPr fontId="1"/>
  </si>
  <si>
    <t>横架材</t>
    <rPh sb="0" eb="3">
      <t>オウカザイ</t>
    </rPh>
    <phoneticPr fontId="1"/>
  </si>
  <si>
    <t>横架材以外</t>
    <rPh sb="0" eb="3">
      <t>オウカザイ</t>
    </rPh>
    <rPh sb="3" eb="5">
      <t>イガイ</t>
    </rPh>
    <phoneticPr fontId="1"/>
  </si>
  <si>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</si>
  <si>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地域建築技能活用（４ポイント以上該当）</t>
    <rPh sb="0" eb="4">
      <t>チイキケンチク</t>
    </rPh>
    <rPh sb="4" eb="6">
      <t>ギノウ</t>
    </rPh>
    <rPh sb="6" eb="8">
      <t>カツヨウ</t>
    </rPh>
    <rPh sb="14" eb="16">
      <t>イジョウ</t>
    </rPh>
    <rPh sb="16" eb="18">
      <t>ガイトウ</t>
    </rPh>
    <phoneticPr fontId="18"/>
  </si>
  <si>
    <t>地域建築技能活用</t>
    <rPh sb="0" eb="6">
      <t>チイキケンチクギノウ</t>
    </rPh>
    <rPh sb="6" eb="8">
      <t>カツヨウ</t>
    </rPh>
    <phoneticPr fontId="1"/>
  </si>
  <si>
    <t>GX志向型</t>
    <rPh sb="2" eb="5">
      <t>シコウガタ</t>
    </rPh>
    <phoneticPr fontId="1"/>
  </si>
  <si>
    <t>GX志向型以外
（国子育て支援補助金）</t>
    <rPh sb="2" eb="4">
      <t>シコウ</t>
    </rPh>
    <rPh sb="4" eb="5">
      <t>ガタ</t>
    </rPh>
    <rPh sb="5" eb="7">
      <t>イガイ</t>
    </rPh>
    <rPh sb="9" eb="10">
      <t>クニ</t>
    </rPh>
    <rPh sb="10" eb="12">
      <t>コソダ</t>
    </rPh>
    <rPh sb="13" eb="15">
      <t>シエン</t>
    </rPh>
    <rPh sb="15" eb="18">
      <t>ホジョキン</t>
    </rPh>
    <phoneticPr fontId="1"/>
  </si>
  <si>
    <t>令和7年4月1日改正</t>
    <rPh sb="0" eb="2">
      <t>レイワ</t>
    </rPh>
    <rPh sb="3" eb="4">
      <t>ネン</t>
    </rPh>
    <rPh sb="5" eb="6">
      <t>ガツ</t>
    </rPh>
    <rPh sb="7" eb="8">
      <t>ニチ</t>
    </rPh>
    <rPh sb="8" eb="10">
      <t>カイセイ</t>
    </rPh>
    <phoneticPr fontId="1"/>
  </si>
  <si>
    <r>
      <t>　《交付決定通知書、額の確定通知書等の県が交付する文書の送付先》（</t>
    </r>
    <r>
      <rPr>
        <sz val="9"/>
        <color theme="1"/>
        <rFont val="ＭＳ 明朝"/>
        <family val="1"/>
        <charset val="128"/>
      </rPr>
      <t>申請者と同じ場合は記載不要）</t>
    </r>
    <rPh sb="2" eb="4">
      <t>コウフ</t>
    </rPh>
    <rPh sb="4" eb="6">
      <t>ケッテイ</t>
    </rPh>
    <rPh sb="6" eb="8">
      <t>ツウチ</t>
    </rPh>
    <rPh sb="8" eb="9">
      <t>ショ</t>
    </rPh>
    <rPh sb="10" eb="11">
      <t>ガク</t>
    </rPh>
    <rPh sb="12" eb="14">
      <t>カクテイ</t>
    </rPh>
    <rPh sb="14" eb="16">
      <t>ツウチ</t>
    </rPh>
    <rPh sb="16" eb="17">
      <t>ショ</t>
    </rPh>
    <rPh sb="17" eb="18">
      <t>トウ</t>
    </rPh>
    <rPh sb="19" eb="20">
      <t>ケン</t>
    </rPh>
    <rPh sb="21" eb="23">
      <t>コウフ</t>
    </rPh>
    <rPh sb="25" eb="27">
      <t>ブンショ</t>
    </rPh>
    <rPh sb="28" eb="30">
      <t>ソウフ</t>
    </rPh>
    <rPh sb="30" eb="31">
      <t>サキ</t>
    </rPh>
    <phoneticPr fontId="1"/>
  </si>
  <si>
    <r>
      <t>住所</t>
    </r>
    <r>
      <rPr>
        <sz val="8"/>
        <color theme="1"/>
        <rFont val="ＭＳ 明朝"/>
        <family val="1"/>
        <charset val="128"/>
      </rPr>
      <t xml:space="preserve">
</t>
    </r>
    <r>
      <rPr>
        <sz val="8"/>
        <color theme="1"/>
        <rFont val="ＭＳ Ｐ明朝"/>
        <family val="1"/>
        <charset val="128"/>
      </rPr>
      <t>（法人の場合は所在地）</t>
    </r>
  </si>
  <si>
    <r>
      <t>氏名</t>
    </r>
    <r>
      <rPr>
        <sz val="8"/>
        <color theme="1"/>
        <rFont val="ＭＳ 明朝"/>
        <family val="1"/>
        <charset val="128"/>
      </rPr>
      <t xml:space="preserve">
</t>
    </r>
    <r>
      <rPr>
        <sz val="8"/>
        <color theme="1"/>
        <rFont val="ＭＳ Ｐ明朝"/>
        <family val="1"/>
        <charset val="128"/>
      </rPr>
      <t>（法人の場合は名称・代表者）</t>
    </r>
  </si>
  <si>
    <t>補助金交付申請書</t>
    <rPh sb="0" eb="3">
      <t>ホジョキン</t>
    </rPh>
    <rPh sb="3" eb="5">
      <t>コウフ</t>
    </rPh>
    <rPh sb="5" eb="8">
      <t>シンセイショ</t>
    </rPh>
    <phoneticPr fontId="1"/>
  </si>
  <si>
    <t>建築等計画（報告）書【新築用】</t>
    <rPh sb="0" eb="3">
      <t>ケンチクナド</t>
    </rPh>
    <rPh sb="6" eb="8">
      <t>ホウコク</t>
    </rPh>
    <phoneticPr fontId="1"/>
  </si>
  <si>
    <t>・建設等計画書（様式第６号）</t>
    <rPh sb="1" eb="4">
      <t>ケンセツトウ</t>
    </rPh>
    <rPh sb="4" eb="7">
      <t>ケイカクショ</t>
    </rPh>
    <rPh sb="8" eb="10">
      <t>ヨウシキ</t>
    </rPh>
    <rPh sb="10" eb="11">
      <t>ダイ</t>
    </rPh>
    <rPh sb="12" eb="13">
      <t>ゴウ</t>
    </rPh>
    <phoneticPr fontId="1"/>
  </si>
  <si>
    <t>規則様式第1号(第5条関係)</t>
    <rPh sb="0" eb="2">
      <t>キソク</t>
    </rPh>
    <rPh sb="2" eb="4">
      <t>ヨウシキ</t>
    </rPh>
    <rPh sb="4" eb="5">
      <t>ダイ</t>
    </rPh>
    <rPh sb="6" eb="7">
      <t>ゴウ</t>
    </rPh>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</si>
  <si>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</si>
  <si>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</si>
  <si>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r>
      <t>国補助利用者のうち、「</t>
    </r>
    <r>
      <rPr>
        <sz val="11"/>
        <rFont val="ＭＳ Ｐ明朝"/>
        <family val="1"/>
        <charset val="128"/>
      </rPr>
      <t>国の子育て世帯等支援補助金</t>
    </r>
    <r>
      <rPr>
        <sz val="11"/>
        <color rgb="FFFF0000"/>
        <rFont val="ＭＳ Ｐ明朝"/>
        <family val="1"/>
        <charset val="128"/>
      </rPr>
      <t>（GX志向型を除く）</t>
    </r>
    <r>
      <rPr>
        <sz val="11"/>
        <rFont val="ＭＳ Ｐ明朝"/>
        <family val="1"/>
        <charset val="128"/>
      </rPr>
      <t>」利用者</t>
    </r>
    <r>
      <rPr>
        <sz val="11"/>
        <color theme="1"/>
        <rFont val="ＭＳ Ｐ明朝"/>
        <family val="1"/>
        <charset val="128"/>
      </rPr>
      <t>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</si>
  <si>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</si>
  <si>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</si>
  <si>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</si>
  <si>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</si>
  <si>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t>
    </r>
    <r>
      <rPr>
        <sz val="10.5"/>
        <color theme="1"/>
        <rFont val="ＭＳ Ｐ明朝"/>
        <family val="1"/>
        <charset val="128"/>
      </rPr>
      <t>にあっては補助額は０円となります。</t>
    </r>
    <rPh sb="17" eb="20">
      <t>シコウガタ</t>
    </rPh>
    <rPh sb="21" eb="22">
      <t>ノゾ</t>
    </rPh>
    <rPh sb="24" eb="27">
      <t>リヨウシャ</t>
    </rPh>
    <rPh sb="32" eb="35">
      <t>ホジョガク</t>
    </rPh>
    <rPh sb="37" eb="38">
      <t>エン</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</si>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</sst>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rgb="FFFF0000"/>
      <name val="ＭＳ Ｐ明朝"/>
      <family val="1"/>
      <charset val="128"/>
    </font>
    <font>
      <sz val="10.5"/>
      <color theme="1"/>
      <name val="ＭＳ Ｐ明朝"/>
      <family val="1"/>
      <charset val="128"/>
    </font>
    <font>
      <sz val="10.5"/>
      <name val="ＭＳ Ｐ明朝"/>
      <family val="1"/>
      <charset val="128"/>
    </font>
    <font>
      <sz val="9"/>
      <name val="ＭＳ Ｐ明朝"/>
      <family val="1"/>
      <charset val="128"/>
    </font>
    <font>
      <sz val="10.5"/>
      <color rgb="FFFF000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50" fillId="0" borderId="0"/>
    <xf numFmtId="38" fontId="50" fillId="0" borderId="0" applyFont="0" applyFill="0" applyBorder="0" applyAlignment="0" applyProtection="0">
      <alignment vertical="center"/>
    </xf>
    <xf numFmtId="9" fontId="50" fillId="0" borderId="0" applyFont="0" applyFill="0" applyBorder="0" applyAlignment="0" applyProtection="0">
      <alignment vertical="center"/>
    </xf>
  </cellStyleXfs>
  <cellXfs count="567">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4"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9" fillId="0" borderId="0" xfId="0" applyFont="1">
      <alignment vertical="center"/>
    </xf>
    <xf numFmtId="0" fontId="20"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0" fontId="24" fillId="0" borderId="0" xfId="0" applyFont="1">
      <alignment vertical="center"/>
    </xf>
    <xf numFmtId="49" fontId="23" fillId="0" borderId="0" xfId="0" applyNumberFormat="1" applyFont="1" applyAlignment="1">
      <alignment horizontal="right" vertical="center"/>
    </xf>
    <xf numFmtId="0" fontId="23" fillId="0" borderId="1" xfId="0" applyFont="1" applyBorder="1">
      <alignment vertical="center"/>
    </xf>
    <xf numFmtId="0" fontId="23" fillId="0" borderId="2" xfId="0" applyFont="1" applyBorder="1">
      <alignment vertical="center"/>
    </xf>
    <xf numFmtId="0" fontId="23" fillId="0" borderId="3" xfId="0" applyFont="1" applyBorder="1">
      <alignment vertical="center"/>
    </xf>
    <xf numFmtId="176" fontId="23" fillId="0" borderId="1" xfId="0" applyNumberFormat="1" applyFont="1" applyBorder="1">
      <alignment vertical="center"/>
    </xf>
    <xf numFmtId="176" fontId="23" fillId="0" borderId="2" xfId="0" applyNumberFormat="1" applyFont="1" applyBorder="1">
      <alignment vertical="center"/>
    </xf>
    <xf numFmtId="176" fontId="23" fillId="0" borderId="2" xfId="0" applyNumberFormat="1" applyFont="1" applyBorder="1" applyAlignment="1">
      <alignment horizontal="right" vertical="center"/>
    </xf>
    <xf numFmtId="176" fontId="23" fillId="0" borderId="3" xfId="0" applyNumberFormat="1" applyFont="1" applyBorder="1">
      <alignment vertical="center"/>
    </xf>
    <xf numFmtId="176" fontId="23" fillId="0" borderId="9" xfId="0" applyNumberFormat="1" applyFont="1" applyBorder="1">
      <alignment vertical="center"/>
    </xf>
    <xf numFmtId="176" fontId="23" fillId="0" borderId="10" xfId="0" applyNumberFormat="1" applyFont="1" applyBorder="1">
      <alignment vertical="center"/>
    </xf>
    <xf numFmtId="176" fontId="23" fillId="0" borderId="10" xfId="0" applyNumberFormat="1" applyFont="1" applyBorder="1" applyAlignment="1">
      <alignment horizontal="right" vertical="center"/>
    </xf>
    <xf numFmtId="176" fontId="23" fillId="0" borderId="11" xfId="0" applyNumberFormat="1" applyFont="1" applyBorder="1">
      <alignment vertical="center"/>
    </xf>
    <xf numFmtId="0" fontId="23" fillId="0" borderId="6" xfId="0" applyFont="1" applyBorder="1">
      <alignment vertical="center"/>
    </xf>
    <xf numFmtId="0" fontId="23" fillId="0" borderId="5" xfId="0" applyFont="1" applyBorder="1">
      <alignment vertical="center"/>
    </xf>
    <xf numFmtId="0" fontId="23" fillId="0" borderId="7" xfId="0" applyFont="1" applyBorder="1">
      <alignment vertical="center"/>
    </xf>
    <xf numFmtId="0" fontId="25" fillId="0" borderId="6" xfId="0" applyFont="1" applyBorder="1">
      <alignment vertical="center"/>
    </xf>
    <xf numFmtId="0" fontId="25" fillId="0" borderId="5" xfId="0" applyFont="1" applyBorder="1">
      <alignment vertical="center"/>
    </xf>
    <xf numFmtId="0" fontId="23" fillId="0" borderId="8" xfId="0" applyFont="1" applyBorder="1">
      <alignment vertical="center"/>
    </xf>
    <xf numFmtId="0" fontId="23" fillId="0" borderId="4" xfId="0" applyFont="1" applyBorder="1">
      <alignment vertical="center"/>
    </xf>
    <xf numFmtId="0" fontId="25" fillId="0" borderId="8" xfId="0" applyFont="1" applyBorder="1">
      <alignment vertical="center"/>
    </xf>
    <xf numFmtId="0" fontId="25" fillId="0" borderId="0" xfId="0" applyFont="1">
      <alignment vertical="center"/>
    </xf>
    <xf numFmtId="0" fontId="23" fillId="0" borderId="9" xfId="0" applyFont="1" applyBorder="1">
      <alignment vertical="center"/>
    </xf>
    <xf numFmtId="0" fontId="23" fillId="0" borderId="10" xfId="0" applyFont="1" applyBorder="1">
      <alignment vertical="center"/>
    </xf>
    <xf numFmtId="0" fontId="23" fillId="0" borderId="11" xfId="0" applyFont="1" applyBorder="1">
      <alignment vertical="center"/>
    </xf>
    <xf numFmtId="0" fontId="25" fillId="0" borderId="9" xfId="0" applyFont="1" applyBorder="1">
      <alignment vertical="center"/>
    </xf>
    <xf numFmtId="0" fontId="25" fillId="0" borderId="10" xfId="0" applyFont="1" applyBorder="1">
      <alignment vertical="center"/>
    </xf>
    <xf numFmtId="0" fontId="20" fillId="0" borderId="0" xfId="0" applyFont="1" applyAlignment="1"/>
    <xf numFmtId="0" fontId="20" fillId="0" borderId="0" xfId="0" applyFont="1" applyAlignment="1">
      <alignment vertical="center" wrapText="1"/>
    </xf>
    <xf numFmtId="0" fontId="27" fillId="0" borderId="0" xfId="0" applyFont="1">
      <alignment vertical="center"/>
    </xf>
    <xf numFmtId="0" fontId="28" fillId="0" borderId="0" xfId="0" applyFont="1">
      <alignment vertical="center"/>
    </xf>
    <xf numFmtId="0" fontId="20" fillId="0" borderId="6" xfId="0" applyFont="1" applyBorder="1" applyAlignment="1">
      <alignment horizontal="center" vertical="center"/>
    </xf>
    <xf numFmtId="0" fontId="28"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2" xfId="0" applyFont="1" applyBorder="1">
      <alignment vertical="center"/>
    </xf>
    <xf numFmtId="0" fontId="12" fillId="0" borderId="0" xfId="0" applyFont="1">
      <alignment vertical="center"/>
    </xf>
    <xf numFmtId="0" fontId="29" fillId="0" borderId="0" xfId="0" applyFont="1">
      <alignment vertical="center"/>
    </xf>
    <xf numFmtId="1" fontId="4" fillId="3" borderId="0" xfId="0" applyNumberFormat="1" applyFont="1" applyFill="1">
      <alignment vertical="center"/>
    </xf>
    <xf numFmtId="0" fontId="11" fillId="0" borderId="0" xfId="0" applyFont="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49" fontId="30" fillId="0" borderId="0" xfId="0" applyNumberFormat="1" applyFont="1" applyProtection="1">
      <alignment vertical="center"/>
      <protection locked="0"/>
    </xf>
    <xf numFmtId="0" fontId="30" fillId="0" borderId="0" xfId="0" applyFont="1" applyProtection="1">
      <alignment vertical="center"/>
      <protection locked="0"/>
    </xf>
    <xf numFmtId="0" fontId="14" fillId="0" borderId="0" xfId="0" applyFont="1">
      <alignment vertical="center"/>
    </xf>
    <xf numFmtId="0" fontId="9" fillId="0" borderId="0" xfId="0" applyFont="1" applyAlignment="1">
      <alignment horizontal="left" vertical="center"/>
    </xf>
    <xf numFmtId="0" fontId="4" fillId="0" borderId="0" xfId="0" applyFont="1" applyProtection="1">
      <alignment vertical="center"/>
      <protection locked="0"/>
    </xf>
    <xf numFmtId="0" fontId="31" fillId="0" borderId="0" xfId="0" applyFont="1">
      <alignment vertical="center"/>
    </xf>
    <xf numFmtId="0" fontId="32" fillId="0" borderId="0" xfId="0" applyFont="1" applyAlignment="1">
      <alignment horizontal="center" vertical="center"/>
    </xf>
    <xf numFmtId="0" fontId="32" fillId="0" borderId="0" xfId="0" applyFont="1">
      <alignment vertical="center"/>
    </xf>
    <xf numFmtId="184" fontId="32" fillId="0" borderId="0" xfId="0" applyNumberFormat="1" applyFont="1">
      <alignment vertical="center"/>
    </xf>
    <xf numFmtId="0" fontId="33" fillId="0" borderId="0" xfId="0" applyFont="1">
      <alignment vertical="center"/>
    </xf>
    <xf numFmtId="178" fontId="32" fillId="0" borderId="0" xfId="0" applyNumberFormat="1" applyFont="1">
      <alignment vertical="center"/>
    </xf>
    <xf numFmtId="185" fontId="32" fillId="0" borderId="0" xfId="0" applyNumberFormat="1" applyFont="1">
      <alignment vertical="center"/>
    </xf>
    <xf numFmtId="184" fontId="32" fillId="6" borderId="0" xfId="0" applyNumberFormat="1" applyFont="1" applyFill="1">
      <alignment vertical="center"/>
    </xf>
    <xf numFmtId="0" fontId="32" fillId="6" borderId="0" xfId="0" applyFont="1" applyFill="1">
      <alignment vertical="center"/>
    </xf>
    <xf numFmtId="0" fontId="32" fillId="6" borderId="0" xfId="0" applyFont="1" applyFill="1" applyAlignment="1">
      <alignment horizontal="center" vertical="center"/>
    </xf>
    <xf numFmtId="178" fontId="32" fillId="6" borderId="0" xfId="0" applyNumberFormat="1" applyFont="1" applyFill="1">
      <alignment vertical="center"/>
    </xf>
    <xf numFmtId="185" fontId="32" fillId="6" borderId="0" xfId="0" applyNumberFormat="1" applyFont="1" applyFill="1">
      <alignment vertical="center"/>
    </xf>
    <xf numFmtId="178" fontId="32" fillId="7" borderId="10" xfId="0" applyNumberFormat="1" applyFont="1" applyFill="1" applyBorder="1">
      <alignment vertical="center"/>
    </xf>
    <xf numFmtId="0" fontId="31" fillId="0" borderId="13" xfId="0" applyFont="1" applyBorder="1" applyAlignment="1">
      <alignment vertical="top" wrapText="1"/>
    </xf>
    <xf numFmtId="0" fontId="35" fillId="0" borderId="13" xfId="0" applyFont="1" applyBorder="1" applyAlignment="1">
      <alignment vertical="top" wrapText="1"/>
    </xf>
    <xf numFmtId="0" fontId="32" fillId="0" borderId="13" xfId="0" applyFont="1" applyBorder="1" applyAlignment="1">
      <alignment horizontal="center" vertical="top" wrapText="1"/>
    </xf>
    <xf numFmtId="0" fontId="32" fillId="0" borderId="13" xfId="0" applyFont="1" applyBorder="1" applyAlignment="1">
      <alignment vertical="top" wrapText="1"/>
    </xf>
    <xf numFmtId="0" fontId="36" fillId="0" borderId="13" xfId="0" applyFont="1" applyBorder="1" applyAlignment="1">
      <alignment vertical="top" wrapText="1"/>
    </xf>
    <xf numFmtId="184" fontId="32" fillId="0" borderId="13" xfId="0" applyNumberFormat="1" applyFont="1" applyBorder="1" applyAlignment="1">
      <alignment vertical="top" wrapText="1"/>
    </xf>
    <xf numFmtId="0" fontId="32" fillId="0" borderId="1" xfId="0" applyFont="1" applyBorder="1" applyAlignment="1">
      <alignment vertical="top" wrapText="1"/>
    </xf>
    <xf numFmtId="0" fontId="32" fillId="0" borderId="2" xfId="0" applyFont="1" applyBorder="1" applyAlignment="1">
      <alignment horizontal="center" vertical="top" wrapText="1"/>
    </xf>
    <xf numFmtId="0" fontId="32" fillId="0" borderId="2" xfId="0" applyFont="1" applyBorder="1" applyAlignment="1">
      <alignment vertical="top" wrapText="1"/>
    </xf>
    <xf numFmtId="0" fontId="32" fillId="0" borderId="3" xfId="0" applyFont="1" applyBorder="1" applyAlignment="1">
      <alignment horizontal="center" vertical="top" wrapText="1"/>
    </xf>
    <xf numFmtId="0" fontId="32" fillId="0" borderId="1" xfId="0" applyFont="1" applyBorder="1" applyAlignment="1">
      <alignment horizontal="center" vertical="top" wrapText="1"/>
    </xf>
    <xf numFmtId="0" fontId="32" fillId="0" borderId="3" xfId="0" applyFont="1" applyBorder="1" applyAlignment="1">
      <alignment vertical="top"/>
    </xf>
    <xf numFmtId="178" fontId="32" fillId="8" borderId="0" xfId="0" applyNumberFormat="1" applyFont="1" applyFill="1" applyAlignment="1">
      <alignment vertical="top"/>
    </xf>
    <xf numFmtId="178" fontId="32" fillId="8" borderId="0" xfId="0" applyNumberFormat="1" applyFont="1" applyFill="1" applyAlignment="1">
      <alignment vertical="top" wrapText="1"/>
    </xf>
    <xf numFmtId="178" fontId="32" fillId="9" borderId="0" xfId="0" applyNumberFormat="1" applyFont="1" applyFill="1" applyAlignment="1">
      <alignment vertical="top" wrapText="1"/>
    </xf>
    <xf numFmtId="184" fontId="32" fillId="0" borderId="6" xfId="0" applyNumberFormat="1" applyFont="1" applyBorder="1" applyAlignment="1">
      <alignment vertical="top" wrapText="1"/>
    </xf>
    <xf numFmtId="184" fontId="32" fillId="0" borderId="6" xfId="0" applyNumberFormat="1" applyFont="1" applyBorder="1" applyAlignment="1">
      <alignment vertical="top"/>
    </xf>
    <xf numFmtId="185" fontId="32" fillId="0" borderId="7" xfId="0" applyNumberFormat="1" applyFont="1" applyBorder="1" applyAlignment="1">
      <alignment vertical="top"/>
    </xf>
    <xf numFmtId="0" fontId="32" fillId="0" borderId="6" xfId="0" applyFont="1" applyBorder="1" applyAlignment="1">
      <alignment vertical="top" wrapText="1"/>
    </xf>
    <xf numFmtId="0" fontId="32" fillId="0" borderId="7" xfId="0" applyFont="1" applyBorder="1" applyAlignment="1">
      <alignment vertical="top" wrapText="1"/>
    </xf>
    <xf numFmtId="0" fontId="32" fillId="0" borderId="7" xfId="0" applyFont="1" applyBorder="1" applyAlignment="1">
      <alignment horizontal="center" vertical="top" wrapText="1"/>
    </xf>
    <xf numFmtId="0" fontId="32" fillId="0" borderId="6" xfId="0" applyFont="1" applyBorder="1" applyAlignment="1">
      <alignment vertical="top"/>
    </xf>
    <xf numFmtId="184" fontId="32" fillId="0" borderId="5" xfId="0" applyNumberFormat="1" applyFont="1" applyBorder="1" applyAlignment="1">
      <alignment vertical="top" wrapText="1"/>
    </xf>
    <xf numFmtId="0" fontId="32" fillId="0" borderId="5" xfId="0" applyFont="1" applyBorder="1" applyAlignment="1">
      <alignment vertical="top" wrapText="1"/>
    </xf>
    <xf numFmtId="0" fontId="32" fillId="0" borderId="0" xfId="0" applyFont="1" applyAlignment="1">
      <alignment vertical="top" wrapText="1"/>
    </xf>
    <xf numFmtId="178" fontId="32" fillId="8" borderId="0" xfId="0" applyNumberFormat="1" applyFont="1" applyFill="1" applyAlignment="1">
      <alignment horizontal="center" vertical="top" wrapText="1"/>
    </xf>
    <xf numFmtId="178" fontId="32" fillId="9" borderId="1" xfId="0" applyNumberFormat="1" applyFont="1" applyFill="1" applyBorder="1" applyAlignment="1">
      <alignment vertical="top" wrapText="1"/>
    </xf>
    <xf numFmtId="178" fontId="32" fillId="9" borderId="2" xfId="0" applyNumberFormat="1" applyFont="1" applyFill="1" applyBorder="1" applyAlignment="1">
      <alignment vertical="top" wrapText="1"/>
    </xf>
    <xf numFmtId="184" fontId="32" fillId="0" borderId="5" xfId="0" applyNumberFormat="1" applyFont="1" applyBorder="1" applyAlignment="1">
      <alignment vertical="top"/>
    </xf>
    <xf numFmtId="185" fontId="32" fillId="0" borderId="5" xfId="0" applyNumberFormat="1" applyFont="1" applyBorder="1" applyAlignment="1">
      <alignment vertical="top"/>
    </xf>
    <xf numFmtId="0" fontId="37" fillId="0" borderId="29" xfId="0" applyFont="1" applyBorder="1">
      <alignment vertical="center"/>
    </xf>
    <xf numFmtId="0" fontId="35" fillId="0" borderId="29" xfId="0" applyFont="1" applyBorder="1">
      <alignment vertical="center"/>
    </xf>
    <xf numFmtId="0" fontId="32" fillId="0" borderId="29" xfId="0" applyFont="1" applyBorder="1" applyAlignment="1">
      <alignment horizontal="center" vertical="center"/>
    </xf>
    <xf numFmtId="0" fontId="32" fillId="0" borderId="29" xfId="0" applyFont="1" applyBorder="1">
      <alignment vertical="center"/>
    </xf>
    <xf numFmtId="184" fontId="32" fillId="0" borderId="29" xfId="0" applyNumberFormat="1" applyFont="1" applyBorder="1">
      <alignment vertical="center"/>
    </xf>
    <xf numFmtId="0" fontId="32" fillId="0" borderId="13" xfId="0" applyFont="1" applyBorder="1">
      <alignment vertical="center"/>
    </xf>
    <xf numFmtId="0" fontId="32" fillId="0" borderId="13" xfId="0" applyFont="1" applyBorder="1" applyAlignment="1">
      <alignment horizontal="center" vertical="center"/>
    </xf>
    <xf numFmtId="0" fontId="32" fillId="0" borderId="1" xfId="0" applyFont="1" applyBorder="1">
      <alignment vertical="center"/>
    </xf>
    <xf numFmtId="178" fontId="32" fillId="0" borderId="13" xfId="0" applyNumberFormat="1" applyFont="1" applyBorder="1">
      <alignment vertical="center"/>
    </xf>
    <xf numFmtId="178" fontId="32" fillId="4" borderId="1" xfId="0" applyNumberFormat="1" applyFont="1" applyFill="1" applyBorder="1">
      <alignment vertical="center"/>
    </xf>
    <xf numFmtId="178" fontId="32" fillId="4" borderId="3" xfId="0" applyNumberFormat="1" applyFont="1" applyFill="1" applyBorder="1">
      <alignment vertical="center"/>
    </xf>
    <xf numFmtId="178" fontId="32" fillId="2" borderId="1" xfId="0" applyNumberFormat="1" applyFont="1" applyFill="1" applyBorder="1">
      <alignment vertical="center"/>
    </xf>
    <xf numFmtId="178" fontId="32" fillId="2" borderId="2" xfId="0" applyNumberFormat="1" applyFont="1" applyFill="1" applyBorder="1">
      <alignment vertical="center"/>
    </xf>
    <xf numFmtId="178" fontId="32" fillId="2" borderId="3" xfId="0" applyNumberFormat="1" applyFont="1" applyFill="1" applyBorder="1">
      <alignment vertical="center"/>
    </xf>
    <xf numFmtId="178" fontId="32" fillId="10" borderId="1" xfId="0" applyNumberFormat="1" applyFont="1" applyFill="1" applyBorder="1">
      <alignment vertical="center"/>
    </xf>
    <xf numFmtId="178" fontId="32" fillId="10" borderId="2" xfId="0" applyNumberFormat="1" applyFont="1" applyFill="1" applyBorder="1">
      <alignment vertical="center"/>
    </xf>
    <xf numFmtId="178" fontId="32" fillId="10" borderId="3" xfId="0" applyNumberFormat="1" applyFont="1" applyFill="1" applyBorder="1">
      <alignment vertical="center"/>
    </xf>
    <xf numFmtId="178" fontId="38" fillId="6" borderId="3" xfId="0" applyNumberFormat="1" applyFont="1" applyFill="1" applyBorder="1">
      <alignment vertical="center"/>
    </xf>
    <xf numFmtId="178" fontId="32" fillId="7" borderId="1" xfId="0" applyNumberFormat="1" applyFont="1" applyFill="1" applyBorder="1">
      <alignment vertical="center"/>
    </xf>
    <xf numFmtId="178" fontId="32" fillId="7" borderId="2" xfId="0" applyNumberFormat="1" applyFont="1" applyFill="1" applyBorder="1">
      <alignment vertical="center"/>
    </xf>
    <xf numFmtId="178" fontId="32" fillId="7" borderId="3" xfId="0" applyNumberFormat="1" applyFont="1" applyFill="1" applyBorder="1">
      <alignment vertical="center"/>
    </xf>
    <xf numFmtId="178" fontId="32" fillId="11" borderId="1" xfId="0" applyNumberFormat="1" applyFont="1" applyFill="1" applyBorder="1">
      <alignment vertical="center"/>
    </xf>
    <xf numFmtId="178" fontId="32" fillId="11" borderId="2" xfId="0" applyNumberFormat="1" applyFont="1" applyFill="1" applyBorder="1">
      <alignment vertical="center"/>
    </xf>
    <xf numFmtId="178" fontId="32" fillId="11" borderId="3" xfId="0" applyNumberFormat="1" applyFont="1" applyFill="1" applyBorder="1">
      <alignment vertical="center"/>
    </xf>
    <xf numFmtId="178" fontId="32" fillId="3" borderId="1" xfId="0" applyNumberFormat="1" applyFont="1" applyFill="1" applyBorder="1">
      <alignment vertical="center"/>
    </xf>
    <xf numFmtId="178" fontId="32" fillId="3" borderId="2" xfId="0" applyNumberFormat="1" applyFont="1" applyFill="1" applyBorder="1">
      <alignment vertical="center"/>
    </xf>
    <xf numFmtId="178" fontId="32" fillId="3" borderId="3" xfId="0" applyNumberFormat="1" applyFont="1" applyFill="1" applyBorder="1">
      <alignment vertical="center"/>
    </xf>
    <xf numFmtId="178" fontId="32" fillId="4" borderId="2" xfId="0" applyNumberFormat="1" applyFont="1" applyFill="1" applyBorder="1" applyAlignment="1">
      <alignment vertical="center" wrapText="1"/>
    </xf>
    <xf numFmtId="178" fontId="32" fillId="4" borderId="3" xfId="0" applyNumberFormat="1" applyFont="1" applyFill="1" applyBorder="1" applyAlignment="1">
      <alignment vertical="center" wrapText="1"/>
    </xf>
    <xf numFmtId="178" fontId="32" fillId="9" borderId="0" xfId="0" applyNumberFormat="1" applyFont="1" applyFill="1" applyAlignment="1">
      <alignment vertical="center" wrapText="1"/>
    </xf>
    <xf numFmtId="184" fontId="32" fillId="0" borderId="8" xfId="0" applyNumberFormat="1" applyFont="1" applyBorder="1" applyAlignment="1">
      <alignment vertical="top"/>
    </xf>
    <xf numFmtId="185" fontId="32" fillId="0" borderId="4" xfId="0" applyNumberFormat="1" applyFont="1" applyBorder="1" applyAlignment="1">
      <alignment vertical="top"/>
    </xf>
    <xf numFmtId="0" fontId="32" fillId="0" borderId="8" xfId="0" applyFont="1" applyBorder="1">
      <alignment vertical="center"/>
    </xf>
    <xf numFmtId="0" fontId="32" fillId="0" borderId="4" xfId="0" applyFont="1" applyBorder="1">
      <alignment vertical="center"/>
    </xf>
    <xf numFmtId="0" fontId="32" fillId="0" borderId="4" xfId="0" applyFont="1" applyBorder="1" applyAlignment="1">
      <alignment horizontal="center" vertical="center"/>
    </xf>
    <xf numFmtId="186" fontId="32" fillId="0" borderId="29" xfId="0" applyNumberFormat="1" applyFont="1" applyBorder="1">
      <alignment vertical="center"/>
    </xf>
    <xf numFmtId="184" fontId="32" fillId="0" borderId="8" xfId="0" applyNumberFormat="1" applyFont="1" applyBorder="1" applyAlignment="1">
      <alignment vertical="top" wrapText="1"/>
    </xf>
    <xf numFmtId="0" fontId="32" fillId="0" borderId="4" xfId="0" applyFont="1" applyBorder="1" applyAlignment="1">
      <alignment vertical="top" wrapText="1"/>
    </xf>
    <xf numFmtId="178" fontId="32" fillId="4" borderId="2" xfId="0" applyNumberFormat="1" applyFont="1" applyFill="1" applyBorder="1">
      <alignment vertical="center"/>
    </xf>
    <xf numFmtId="178" fontId="38" fillId="6" borderId="1" xfId="0" applyNumberFormat="1" applyFont="1" applyFill="1" applyBorder="1">
      <alignment vertical="center"/>
    </xf>
    <xf numFmtId="178" fontId="32" fillId="8" borderId="13" xfId="0" applyNumberFormat="1" applyFont="1" applyFill="1" applyBorder="1" applyAlignment="1">
      <alignment vertical="center" wrapText="1"/>
    </xf>
    <xf numFmtId="178" fontId="32" fillId="4" borderId="1" xfId="0" applyNumberFormat="1" applyFont="1" applyFill="1" applyBorder="1" applyAlignment="1">
      <alignment vertical="center" wrapText="1"/>
    </xf>
    <xf numFmtId="178" fontId="32" fillId="3" borderId="5" xfId="0" applyNumberFormat="1" applyFont="1" applyFill="1" applyBorder="1">
      <alignment vertical="center"/>
    </xf>
    <xf numFmtId="178" fontId="32" fillId="4" borderId="13" xfId="0" applyNumberFormat="1" applyFont="1" applyFill="1" applyBorder="1" applyAlignment="1">
      <alignment vertical="center" wrapText="1"/>
    </xf>
    <xf numFmtId="0" fontId="32" fillId="0" borderId="9" xfId="0" applyFont="1" applyBorder="1" applyAlignment="1">
      <alignment vertical="top"/>
    </xf>
    <xf numFmtId="184" fontId="32" fillId="0" borderId="10" xfId="0" applyNumberFormat="1" applyFont="1" applyBorder="1" applyAlignment="1">
      <alignment vertical="top"/>
    </xf>
    <xf numFmtId="185" fontId="32" fillId="0" borderId="10" xfId="0" applyNumberFormat="1" applyFont="1" applyBorder="1" applyAlignment="1"/>
    <xf numFmtId="185" fontId="32" fillId="0" borderId="11" xfId="0" applyNumberFormat="1" applyFont="1" applyBorder="1" applyAlignment="1"/>
    <xf numFmtId="0" fontId="37" fillId="5" borderId="14" xfId="0" applyFont="1" applyFill="1" applyBorder="1" applyAlignment="1">
      <alignment vertical="center" wrapText="1"/>
    </xf>
    <xf numFmtId="0" fontId="35" fillId="0" borderId="29" xfId="0" applyFont="1" applyBorder="1" applyAlignment="1">
      <alignment vertical="center" wrapText="1"/>
    </xf>
    <xf numFmtId="0" fontId="33" fillId="0" borderId="29" xfId="0" applyFont="1" applyBorder="1" applyAlignment="1">
      <alignment horizontal="center" vertical="center" wrapText="1"/>
    </xf>
    <xf numFmtId="0" fontId="32" fillId="5" borderId="29" xfId="0" applyFont="1" applyFill="1" applyBorder="1" applyAlignment="1">
      <alignment horizontal="center" vertical="center" wrapText="1"/>
    </xf>
    <xf numFmtId="0" fontId="38" fillId="0" borderId="29" xfId="0" applyFont="1" applyBorder="1" applyAlignment="1">
      <alignment vertical="center" wrapText="1"/>
    </xf>
    <xf numFmtId="184" fontId="32" fillId="0" borderId="29" xfId="0" applyNumberFormat="1" applyFont="1" applyBorder="1" applyAlignment="1">
      <alignment vertical="center" wrapText="1"/>
    </xf>
    <xf numFmtId="0" fontId="32" fillId="0" borderId="29" xfId="0" applyFont="1" applyBorder="1" applyAlignment="1">
      <alignment vertical="center" wrapText="1"/>
    </xf>
    <xf numFmtId="0" fontId="32" fillId="0" borderId="29" xfId="0" applyFont="1" applyBorder="1" applyAlignment="1">
      <alignment horizontal="center" vertical="center" wrapText="1"/>
    </xf>
    <xf numFmtId="178" fontId="32" fillId="0" borderId="29" xfId="0" applyNumberFormat="1" applyFont="1" applyBorder="1" applyAlignment="1">
      <alignment vertical="center" wrapText="1"/>
    </xf>
    <xf numFmtId="178" fontId="32" fillId="0" borderId="13" xfId="0" applyNumberFormat="1" applyFont="1" applyBorder="1" applyAlignment="1">
      <alignment vertical="center" wrapText="1"/>
    </xf>
    <xf numFmtId="178" fontId="32" fillId="5" borderId="13" xfId="0" applyNumberFormat="1" applyFont="1" applyFill="1" applyBorder="1" applyAlignment="1">
      <alignment vertical="center" wrapText="1"/>
    </xf>
    <xf numFmtId="178" fontId="32" fillId="5" borderId="29" xfId="0" applyNumberFormat="1" applyFont="1" applyFill="1" applyBorder="1" applyAlignment="1">
      <alignment vertical="center" wrapText="1"/>
    </xf>
    <xf numFmtId="178" fontId="41" fillId="0" borderId="29" xfId="0" applyNumberFormat="1" applyFont="1" applyBorder="1" applyAlignment="1">
      <alignment vertical="center" wrapText="1"/>
    </xf>
    <xf numFmtId="178" fontId="32" fillId="4" borderId="29" xfId="0" applyNumberFormat="1" applyFont="1" applyFill="1" applyBorder="1" applyAlignment="1">
      <alignment vertical="center" wrapText="1"/>
    </xf>
    <xf numFmtId="178" fontId="42" fillId="0" borderId="13" xfId="0" applyNumberFormat="1" applyFont="1" applyBorder="1" applyAlignment="1">
      <alignment vertical="center" wrapText="1"/>
    </xf>
    <xf numFmtId="178" fontId="32" fillId="0" borderId="14" xfId="0" applyNumberFormat="1" applyFont="1" applyBorder="1" applyAlignment="1">
      <alignment vertical="center" wrapText="1"/>
    </xf>
    <xf numFmtId="178" fontId="44" fillId="8" borderId="0" xfId="0" applyNumberFormat="1" applyFont="1" applyFill="1" applyAlignment="1">
      <alignment vertical="center" wrapText="1"/>
    </xf>
    <xf numFmtId="178" fontId="44" fillId="12" borderId="0" xfId="0" applyNumberFormat="1" applyFont="1" applyFill="1" applyAlignment="1">
      <alignment vertical="center" wrapText="1"/>
    </xf>
    <xf numFmtId="178" fontId="32" fillId="9" borderId="13" xfId="0" applyNumberFormat="1" applyFont="1" applyFill="1" applyBorder="1" applyAlignment="1">
      <alignment vertical="center" wrapText="1"/>
    </xf>
    <xf numFmtId="184" fontId="32" fillId="0" borderId="13" xfId="0" applyNumberFormat="1" applyFont="1" applyBorder="1">
      <alignment vertical="center"/>
    </xf>
    <xf numFmtId="185" fontId="32" fillId="4" borderId="13" xfId="0" applyNumberFormat="1" applyFont="1" applyFill="1" applyBorder="1">
      <alignment vertical="center"/>
    </xf>
    <xf numFmtId="0" fontId="32" fillId="0" borderId="13" xfId="0" applyFont="1" applyBorder="1" applyAlignment="1">
      <alignment vertical="center" wrapText="1"/>
    </xf>
    <xf numFmtId="0" fontId="32" fillId="0" borderId="13" xfId="0" applyFont="1" applyBorder="1" applyAlignment="1">
      <alignment horizontal="center" vertical="center" wrapText="1"/>
    </xf>
    <xf numFmtId="184" fontId="32" fillId="0" borderId="13" xfId="0" applyNumberFormat="1" applyFont="1" applyBorder="1" applyAlignment="1">
      <alignment vertical="center" wrapText="1"/>
    </xf>
    <xf numFmtId="0" fontId="32" fillId="0" borderId="0" xfId="0" applyFont="1" applyAlignment="1">
      <alignment vertical="center" wrapText="1"/>
    </xf>
    <xf numFmtId="178" fontId="32" fillId="4" borderId="12" xfId="0" applyNumberFormat="1" applyFont="1" applyFill="1" applyBorder="1" applyAlignment="1">
      <alignment vertical="center" wrapText="1"/>
    </xf>
    <xf numFmtId="178" fontId="32" fillId="4" borderId="14" xfId="0" applyNumberFormat="1" applyFont="1" applyFill="1" applyBorder="1" applyAlignment="1">
      <alignment vertical="center" wrapText="1"/>
    </xf>
    <xf numFmtId="178" fontId="45" fillId="0" borderId="29" xfId="0" applyNumberFormat="1" applyFont="1" applyBorder="1" applyAlignment="1">
      <alignment vertical="center" wrapText="1"/>
    </xf>
    <xf numFmtId="178" fontId="32" fillId="8" borderId="14" xfId="0" applyNumberFormat="1" applyFont="1" applyFill="1" applyBorder="1" applyAlignment="1">
      <alignment vertical="center" wrapText="1"/>
    </xf>
    <xf numFmtId="178" fontId="32" fillId="0" borderId="0" xfId="0" applyNumberFormat="1" applyFont="1" applyAlignment="1">
      <alignment vertical="center" wrapText="1"/>
    </xf>
    <xf numFmtId="178" fontId="44" fillId="8" borderId="9" xfId="0" applyNumberFormat="1" applyFont="1" applyFill="1" applyBorder="1" applyAlignment="1">
      <alignment vertical="center" wrapText="1"/>
    </xf>
    <xf numFmtId="178" fontId="44" fillId="8" borderId="10" xfId="0" applyNumberFormat="1" applyFont="1" applyFill="1" applyBorder="1" applyAlignment="1">
      <alignment vertical="center" wrapText="1"/>
    </xf>
    <xf numFmtId="178" fontId="44" fillId="12" borderId="10" xfId="0" applyNumberFormat="1" applyFont="1" applyFill="1" applyBorder="1" applyAlignment="1">
      <alignment vertical="center" wrapText="1"/>
    </xf>
    <xf numFmtId="178" fontId="32" fillId="0" borderId="12" xfId="0" applyNumberFormat="1" applyFont="1" applyBorder="1" applyAlignment="1">
      <alignment vertical="center" wrapText="1"/>
    </xf>
    <xf numFmtId="0" fontId="32" fillId="0" borderId="12" xfId="0" applyFont="1" applyBorder="1" applyAlignment="1">
      <alignment vertical="center" wrapText="1"/>
    </xf>
    <xf numFmtId="184" fontId="32" fillId="0" borderId="12" xfId="0" applyNumberFormat="1" applyFont="1" applyBorder="1" applyAlignment="1">
      <alignment vertical="center" wrapText="1"/>
    </xf>
    <xf numFmtId="185" fontId="32" fillId="4" borderId="12" xfId="0" applyNumberFormat="1" applyFont="1" applyFill="1" applyBorder="1" applyAlignment="1">
      <alignment vertical="center" wrapText="1"/>
    </xf>
    <xf numFmtId="0" fontId="37" fillId="5" borderId="12" xfId="0" applyFont="1" applyFill="1" applyBorder="1">
      <alignment vertical="center"/>
    </xf>
    <xf numFmtId="0" fontId="35"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4" fontId="0" fillId="0" borderId="12" xfId="0" applyNumberFormat="1" applyBorder="1">
      <alignment vertical="center"/>
    </xf>
    <xf numFmtId="178" fontId="0" fillId="0" borderId="12" xfId="0" applyNumberFormat="1" applyBorder="1">
      <alignment vertical="center"/>
    </xf>
    <xf numFmtId="178" fontId="0" fillId="4" borderId="12" xfId="0" applyNumberFormat="1" applyFill="1" applyBorder="1">
      <alignment vertical="center"/>
    </xf>
    <xf numFmtId="178" fontId="0" fillId="5" borderId="12" xfId="0" applyNumberFormat="1" applyFill="1" applyBorder="1">
      <alignment vertical="center"/>
    </xf>
    <xf numFmtId="178" fontId="35" fillId="4" borderId="12" xfId="0" applyNumberFormat="1" applyFont="1" applyFill="1" applyBorder="1">
      <alignment vertical="center"/>
    </xf>
    <xf numFmtId="187" fontId="0" fillId="0" borderId="12" xfId="0" applyNumberFormat="1" applyBorder="1">
      <alignment vertical="center"/>
    </xf>
    <xf numFmtId="185" fontId="0" fillId="4" borderId="12" xfId="0" applyNumberFormat="1" applyFill="1" applyBorder="1">
      <alignment vertical="center"/>
    </xf>
    <xf numFmtId="183" fontId="0" fillId="0" borderId="12" xfId="0" applyNumberFormat="1" applyBorder="1">
      <alignment vertical="center"/>
    </xf>
    <xf numFmtId="0" fontId="32" fillId="13" borderId="0" xfId="0" applyFont="1" applyFill="1">
      <alignment vertical="center"/>
    </xf>
    <xf numFmtId="0" fontId="37" fillId="14" borderId="12" xfId="0" applyFont="1" applyFill="1" applyBorder="1">
      <alignment vertical="center"/>
    </xf>
    <xf numFmtId="0" fontId="35"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4" fontId="0" fillId="14" borderId="12" xfId="0" applyNumberFormat="1" applyFill="1" applyBorder="1">
      <alignment vertical="center"/>
    </xf>
    <xf numFmtId="178" fontId="0" fillId="14" borderId="12" xfId="0" applyNumberFormat="1" applyFill="1" applyBorder="1">
      <alignment vertical="center"/>
    </xf>
    <xf numFmtId="178" fontId="35" fillId="14" borderId="12" xfId="0" applyNumberFormat="1" applyFont="1" applyFill="1" applyBorder="1">
      <alignment vertical="center"/>
    </xf>
    <xf numFmtId="187" fontId="0" fillId="14" borderId="12" xfId="0" applyNumberFormat="1" applyFill="1" applyBorder="1">
      <alignment vertical="center"/>
    </xf>
    <xf numFmtId="185"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7" fillId="0" borderId="12" xfId="0" applyFont="1" applyBorder="1">
      <alignment vertical="center"/>
    </xf>
    <xf numFmtId="178" fontId="32" fillId="13" borderId="0" xfId="0" applyNumberFormat="1" applyFont="1" applyFill="1">
      <alignment vertical="center"/>
    </xf>
    <xf numFmtId="0" fontId="35" fillId="13" borderId="0" xfId="0" applyFont="1" applyFill="1">
      <alignment vertical="center"/>
    </xf>
    <xf numFmtId="178" fontId="32" fillId="13" borderId="0" xfId="0" applyNumberFormat="1" applyFont="1" applyFill="1" applyAlignment="1">
      <alignment horizontal="center" vertical="center"/>
    </xf>
    <xf numFmtId="184" fontId="32" fillId="13" borderId="0" xfId="0" applyNumberFormat="1" applyFont="1" applyFill="1">
      <alignment vertical="center"/>
    </xf>
    <xf numFmtId="0" fontId="32" fillId="13" borderId="0" xfId="0" applyFont="1" applyFill="1" applyAlignment="1">
      <alignment horizontal="center" vertical="center"/>
    </xf>
    <xf numFmtId="0" fontId="0" fillId="5" borderId="12" xfId="0" applyFill="1" applyBorder="1">
      <alignment vertical="center"/>
    </xf>
    <xf numFmtId="0" fontId="0" fillId="5" borderId="12" xfId="0" applyFill="1" applyBorder="1" applyAlignment="1">
      <alignment horizontal="center" vertical="center"/>
    </xf>
    <xf numFmtId="184" fontId="0" fillId="14" borderId="1" xfId="0" applyNumberFormat="1" applyFill="1" applyBorder="1">
      <alignment vertical="center"/>
    </xf>
    <xf numFmtId="184" fontId="0" fillId="14" borderId="2" xfId="0" applyNumberFormat="1" applyFill="1" applyBorder="1">
      <alignment vertical="center"/>
    </xf>
    <xf numFmtId="184" fontId="0" fillId="14" borderId="3" xfId="0" applyNumberFormat="1" applyFill="1" applyBorder="1">
      <alignment vertical="center"/>
    </xf>
    <xf numFmtId="184" fontId="0" fillId="5" borderId="1" xfId="0" applyNumberFormat="1" applyFill="1" applyBorder="1">
      <alignment vertical="center"/>
    </xf>
    <xf numFmtId="184" fontId="0" fillId="5" borderId="2" xfId="0" applyNumberFormat="1" applyFill="1" applyBorder="1">
      <alignment vertical="center"/>
    </xf>
    <xf numFmtId="179" fontId="0" fillId="5" borderId="1" xfId="0" applyNumberFormat="1" applyFill="1" applyBorder="1">
      <alignment vertical="center"/>
    </xf>
    <xf numFmtId="0" fontId="0" fillId="5" borderId="2" xfId="0" applyFill="1" applyBorder="1">
      <alignment vertical="center"/>
    </xf>
    <xf numFmtId="0" fontId="0" fillId="5" borderId="3" xfId="0" applyFill="1" applyBorder="1">
      <alignment vertical="center"/>
    </xf>
    <xf numFmtId="184" fontId="32" fillId="0" borderId="0" xfId="0" applyNumberFormat="1" applyFont="1" applyAlignment="1">
      <alignment horizontal="center" vertical="top" wrapText="1"/>
    </xf>
    <xf numFmtId="184" fontId="32" fillId="0" borderId="9" xfId="0" applyNumberFormat="1" applyFont="1" applyBorder="1" applyAlignment="1">
      <alignment vertical="top" wrapText="1"/>
    </xf>
    <xf numFmtId="184" fontId="32" fillId="0" borderId="10" xfId="0" applyNumberFormat="1" applyFont="1" applyBorder="1" applyAlignment="1">
      <alignment vertical="top" wrapText="1"/>
    </xf>
    <xf numFmtId="38" fontId="0" fillId="5" borderId="12" xfId="1" applyFont="1" applyFill="1" applyBorder="1">
      <alignment vertical="center"/>
    </xf>
    <xf numFmtId="188" fontId="48" fillId="5" borderId="12" xfId="0" applyNumberFormat="1" applyFont="1" applyFill="1" applyBorder="1">
      <alignment vertical="center"/>
    </xf>
    <xf numFmtId="183" fontId="0" fillId="4" borderId="12" xfId="0" applyNumberFormat="1" applyFill="1" applyBorder="1" applyAlignment="1">
      <alignment horizontal="right" vertical="center"/>
    </xf>
    <xf numFmtId="178" fontId="0" fillId="4" borderId="12" xfId="0" applyNumberFormat="1" applyFill="1" applyBorder="1" applyAlignment="1">
      <alignment horizontal="right" vertical="center"/>
    </xf>
    <xf numFmtId="178" fontId="49" fillId="0" borderId="0" xfId="0" applyNumberFormat="1" applyFont="1">
      <alignment vertical="center"/>
    </xf>
    <xf numFmtId="0" fontId="54" fillId="0" borderId="0" xfId="2" applyFont="1" applyAlignment="1">
      <alignment vertical="center"/>
    </xf>
    <xf numFmtId="49" fontId="54" fillId="0" borderId="34" xfId="2" applyNumberFormat="1" applyFont="1" applyBorder="1" applyAlignment="1">
      <alignment horizontal="center" vertical="center"/>
    </xf>
    <xf numFmtId="189" fontId="35" fillId="0" borderId="35" xfId="2" applyNumberFormat="1" applyFont="1" applyBorder="1" applyAlignment="1">
      <alignment vertical="center"/>
    </xf>
    <xf numFmtId="0" fontId="54" fillId="0" borderId="35" xfId="2" applyFont="1" applyBorder="1" applyAlignment="1">
      <alignment vertical="center"/>
    </xf>
    <xf numFmtId="189" fontId="35" fillId="0" borderId="38" xfId="2" applyNumberFormat="1" applyFont="1" applyBorder="1" applyAlignment="1">
      <alignment vertical="center"/>
    </xf>
    <xf numFmtId="38" fontId="54" fillId="0" borderId="39" xfId="3" applyFont="1" applyFill="1" applyBorder="1" applyAlignment="1">
      <alignment vertical="center"/>
    </xf>
    <xf numFmtId="0" fontId="54" fillId="0" borderId="0" xfId="2" applyFont="1" applyAlignment="1">
      <alignment horizontal="center" vertical="center"/>
    </xf>
    <xf numFmtId="189" fontId="54" fillId="0" borderId="0" xfId="2" applyNumberFormat="1" applyFont="1" applyAlignment="1">
      <alignment vertical="center"/>
    </xf>
    <xf numFmtId="38" fontId="54" fillId="0" borderId="0" xfId="3" applyFont="1" applyAlignment="1">
      <alignment vertical="center"/>
    </xf>
    <xf numFmtId="0" fontId="35" fillId="5" borderId="35" xfId="2" applyFont="1" applyFill="1" applyBorder="1" applyAlignment="1">
      <alignment horizontal="center" vertical="center"/>
    </xf>
    <xf numFmtId="0" fontId="35" fillId="5" borderId="35" xfId="2" applyFont="1" applyFill="1" applyBorder="1" applyAlignment="1">
      <alignment vertical="center"/>
    </xf>
    <xf numFmtId="0" fontId="35" fillId="0" borderId="36" xfId="2" applyFont="1" applyBorder="1" applyAlignment="1">
      <alignment horizontal="center" vertical="center"/>
    </xf>
    <xf numFmtId="0" fontId="35" fillId="0" borderId="36" xfId="2" applyFont="1" applyBorder="1" applyAlignment="1">
      <alignment vertical="center"/>
    </xf>
    <xf numFmtId="0" fontId="35" fillId="0" borderId="42" xfId="2" applyFont="1" applyBorder="1" applyAlignment="1">
      <alignment horizontal="center" vertical="center"/>
    </xf>
    <xf numFmtId="0" fontId="35" fillId="0" borderId="38" xfId="2" applyFont="1" applyBorder="1" applyAlignment="1">
      <alignment vertical="center"/>
    </xf>
    <xf numFmtId="0" fontId="35" fillId="0" borderId="47" xfId="2" applyFont="1" applyBorder="1" applyAlignment="1">
      <alignment vertical="center"/>
    </xf>
    <xf numFmtId="0" fontId="35" fillId="0" borderId="46" xfId="2" applyFont="1" applyBorder="1" applyAlignment="1">
      <alignment vertical="center"/>
    </xf>
    <xf numFmtId="188" fontId="35" fillId="5" borderId="35" xfId="2" applyNumberFormat="1" applyFont="1" applyFill="1" applyBorder="1" applyAlignment="1">
      <alignment vertical="center"/>
    </xf>
    <xf numFmtId="0" fontId="35" fillId="5" borderId="38" xfId="2" applyFont="1" applyFill="1" applyBorder="1" applyAlignment="1">
      <alignment vertical="center"/>
    </xf>
    <xf numFmtId="0" fontId="35" fillId="5" borderId="47" xfId="2" applyFont="1" applyFill="1" applyBorder="1" applyAlignment="1">
      <alignment vertical="center"/>
    </xf>
    <xf numFmtId="0" fontId="35" fillId="5" borderId="46" xfId="2" applyFont="1" applyFill="1" applyBorder="1" applyAlignment="1">
      <alignment vertical="center"/>
    </xf>
    <xf numFmtId="190" fontId="54" fillId="5" borderId="35" xfId="2" applyNumberFormat="1" applyFont="1" applyFill="1" applyBorder="1" applyAlignment="1">
      <alignment vertical="center"/>
    </xf>
    <xf numFmtId="0" fontId="35" fillId="0" borderId="50" xfId="2" applyFont="1" applyBorder="1" applyAlignment="1">
      <alignment horizontal="center" vertical="center"/>
    </xf>
    <xf numFmtId="0" fontId="35" fillId="0" borderId="49" xfId="2" applyFont="1" applyBorder="1" applyAlignment="1">
      <alignment horizontal="center" vertical="center"/>
    </xf>
    <xf numFmtId="38" fontId="0" fillId="4" borderId="12" xfId="1" applyFont="1" applyFill="1" applyBorder="1">
      <alignment vertical="center"/>
    </xf>
    <xf numFmtId="178" fontId="0" fillId="5" borderId="12" xfId="0" applyNumberFormat="1" applyFill="1" applyBorder="1" applyAlignment="1">
      <alignment vertical="center" wrapText="1"/>
    </xf>
    <xf numFmtId="0" fontId="32" fillId="0" borderId="10" xfId="0" applyFont="1" applyBorder="1">
      <alignment vertical="center"/>
    </xf>
    <xf numFmtId="0" fontId="17" fillId="0" borderId="0" xfId="0" applyFont="1">
      <alignment vertical="center"/>
    </xf>
    <xf numFmtId="0" fontId="32" fillId="0" borderId="5" xfId="0" applyFont="1" applyBorder="1" applyAlignment="1">
      <alignment horizontal="left" vertical="top" wrapText="1"/>
    </xf>
    <xf numFmtId="0" fontId="32" fillId="0" borderId="13" xfId="0" applyFont="1" applyBorder="1" applyAlignment="1">
      <alignment horizontal="left" vertical="top" wrapText="1"/>
    </xf>
    <xf numFmtId="0" fontId="32" fillId="0" borderId="14" xfId="0" applyFont="1" applyBorder="1">
      <alignment vertical="center"/>
    </xf>
    <xf numFmtId="180" fontId="4" fillId="3" borderId="0" xfId="0" applyNumberFormat="1" applyFont="1" applyFill="1">
      <alignment vertical="center"/>
    </xf>
    <xf numFmtId="0" fontId="4" fillId="0" borderId="29" xfId="0" applyFont="1" applyBorder="1" applyAlignment="1">
      <alignment vertical="center" shrinkToFit="1"/>
    </xf>
    <xf numFmtId="1" fontId="4" fillId="0" borderId="0" xfId="0" applyNumberFormat="1" applyFont="1" applyAlignment="1">
      <alignment horizontal="center" vertical="center"/>
    </xf>
    <xf numFmtId="0" fontId="4" fillId="0" borderId="9" xfId="0" applyFont="1" applyBorder="1" applyAlignment="1">
      <alignment vertical="center" shrinkToFit="1"/>
    </xf>
    <xf numFmtId="178" fontId="53" fillId="0" borderId="13" xfId="0" applyNumberFormat="1" applyFont="1" applyBorder="1" applyAlignment="1">
      <alignment vertical="center" wrapText="1"/>
    </xf>
    <xf numFmtId="178" fontId="39" fillId="0" borderId="13" xfId="0" applyNumberFormat="1" applyFont="1" applyBorder="1" applyAlignment="1">
      <alignment vertical="center" wrapText="1"/>
    </xf>
    <xf numFmtId="0" fontId="56" fillId="0" borderId="0" xfId="0" applyFont="1">
      <alignment vertical="center"/>
    </xf>
    <xf numFmtId="0" fontId="12" fillId="0" borderId="0" xfId="0" applyFont="1" applyAlignment="1">
      <alignment horizontal="right" vertical="center"/>
    </xf>
    <xf numFmtId="49" fontId="12" fillId="0" borderId="0" xfId="0" applyNumberFormat="1" applyFont="1">
      <alignment vertical="center"/>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3" fillId="0" borderId="5" xfId="0" applyFont="1" applyBorder="1" applyAlignment="1" applyProtection="1">
      <alignment horizontal="left" vertical="center"/>
      <protection locked="0"/>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49" fontId="20" fillId="0" borderId="2" xfId="0" applyNumberFormat="1" applyFont="1" applyBorder="1" applyAlignment="1" applyProtection="1">
      <alignment horizontal="center" vertical="center"/>
      <protection locked="0"/>
    </xf>
    <xf numFmtId="49" fontId="20" fillId="0" borderId="3" xfId="0" applyNumberFormat="1" applyFont="1" applyBorder="1" applyAlignment="1" applyProtection="1">
      <alignment horizontal="center" vertical="center"/>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183" fontId="4" fillId="2" borderId="12" xfId="0" applyNumberFormat="1" applyFont="1" applyFill="1" applyBorder="1" applyAlignment="1">
      <alignment horizontal="center" vertical="center"/>
    </xf>
    <xf numFmtId="0" fontId="4" fillId="0" borderId="2" xfId="0" applyFont="1" applyBorder="1" applyAlignment="1">
      <alignment horizontal="center" vertical="center"/>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4" fillId="0" borderId="11" xfId="0" applyFont="1" applyBorder="1" applyAlignment="1">
      <alignment horizontal="center" vertical="center" shrinkToFit="1"/>
    </xf>
    <xf numFmtId="1" fontId="4" fillId="2" borderId="12" xfId="0" applyNumberFormat="1" applyFont="1" applyFill="1" applyBorder="1" applyAlignment="1">
      <alignment horizontal="center" vertical="center"/>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181" fontId="4" fillId="0" borderId="12"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7" fillId="0" borderId="0" xfId="0" applyFont="1" applyAlignment="1">
      <alignment horizontal="left" vertical="center"/>
    </xf>
    <xf numFmtId="183" fontId="4" fillId="2" borderId="12" xfId="0" applyNumberFormat="1" applyFont="1" applyFill="1" applyBorder="1" applyAlignment="1">
      <alignment horizontal="right" vertical="center"/>
    </xf>
    <xf numFmtId="0" fontId="10" fillId="0" borderId="0" xfId="0" applyFont="1" applyAlignment="1">
      <alignment horizontal="left" vertical="top" wrapText="1"/>
    </xf>
    <xf numFmtId="0" fontId="3" fillId="0" borderId="0" xfId="0" applyFont="1" applyAlignment="1">
      <alignment horizontal="left" vertical="top" wrapTex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 fontId="4" fillId="2" borderId="1"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177" fontId="4" fillId="0" borderId="2" xfId="0" applyNumberFormat="1" applyFont="1" applyBorder="1" applyAlignment="1" applyProtection="1">
      <alignment horizontal="center" vertical="center"/>
      <protection locked="0"/>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13" fillId="0" borderId="0" xfId="0" applyFont="1" applyAlignment="1">
      <alignment horizontal="left" vertical="center" shrinkToFit="1"/>
    </xf>
    <xf numFmtId="0" fontId="13" fillId="0" borderId="0" xfId="0" applyFont="1" applyAlignment="1">
      <alignment horizontal="left" vertical="center" wrapText="1"/>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8" fillId="0" borderId="12"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12" xfId="0" applyFont="1" applyBorder="1" applyAlignment="1" applyProtection="1">
      <alignment horizontal="center" vertical="center" shrinkToFit="1"/>
      <protection locked="0"/>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Alignment="1" applyProtection="1">
      <alignment horizontal="center" vertical="center"/>
      <protection locked="0"/>
    </xf>
    <xf numFmtId="179" fontId="4" fillId="0" borderId="0" xfId="0" applyNumberFormat="1" applyFont="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82" fontId="4" fillId="0" borderId="0" xfId="0" applyNumberFormat="1" applyFont="1" applyAlignment="1" applyProtection="1">
      <alignment horizontal="right" vertical="center"/>
      <protection locked="0"/>
    </xf>
    <xf numFmtId="182" fontId="4" fillId="0" borderId="12" xfId="0" applyNumberFormat="1" applyFont="1" applyBorder="1" applyAlignment="1" applyProtection="1">
      <alignment horizontal="right" vertical="center"/>
      <protection locked="0"/>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3" fillId="0" borderId="0" xfId="0" applyFont="1" applyAlignment="1">
      <alignment horizontal="left" vertical="center"/>
    </xf>
    <xf numFmtId="0" fontId="4" fillId="0" borderId="12" xfId="0" applyFont="1" applyBorder="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Border="1" applyAlignment="1" applyProtection="1">
      <alignment horizontal="right" vertical="center"/>
      <protection locked="0"/>
    </xf>
    <xf numFmtId="0" fontId="9" fillId="0" borderId="0" xfId="0" applyFont="1" applyAlignment="1">
      <alignment horizontal="center" vertical="center"/>
    </xf>
    <xf numFmtId="181" fontId="4" fillId="0" borderId="4"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3" xfId="0" applyFont="1" applyBorder="1" applyAlignment="1">
      <alignment horizontal="center" vertical="center" wrapText="1"/>
    </xf>
    <xf numFmtId="0" fontId="58" fillId="0" borderId="0" xfId="0" applyFont="1" applyAlignment="1">
      <alignment horizontal="left" vertical="center" wrapText="1"/>
    </xf>
    <xf numFmtId="0" fontId="4" fillId="0" borderId="12" xfId="0" applyFont="1" applyBorder="1" applyAlignment="1">
      <alignment horizontal="left" vertical="center"/>
    </xf>
    <xf numFmtId="0" fontId="15" fillId="0" borderId="0" xfId="0" applyFont="1" applyAlignment="1">
      <alignment horizontal="left" vertical="top"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180" fontId="4" fillId="2" borderId="12" xfId="0" applyNumberFormat="1" applyFont="1" applyFill="1" applyBorder="1" applyAlignment="1">
      <alignment horizontal="center" vertical="center"/>
    </xf>
    <xf numFmtId="0" fontId="3" fillId="0" borderId="0" xfId="0" applyFont="1" applyAlignment="1">
      <alignment horizontal="left" vertical="center" wrapText="1"/>
    </xf>
    <xf numFmtId="0" fontId="55" fillId="0" borderId="0" xfId="0" applyFont="1" applyAlignment="1">
      <alignment horizontal="left"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23" fillId="0" borderId="0" xfId="0" applyFont="1" applyAlignment="1">
      <alignment horizontal="left" vertical="center"/>
    </xf>
    <xf numFmtId="0" fontId="30" fillId="0" borderId="0" xfId="0" applyFont="1" applyAlignment="1" applyProtection="1">
      <alignment horizontal="center" vertical="center"/>
      <protection locked="0"/>
    </xf>
    <xf numFmtId="0" fontId="23" fillId="0" borderId="5"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3" fillId="0" borderId="0" xfId="0" applyFont="1" applyAlignment="1">
      <alignment horizontal="left"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176" fontId="23" fillId="0" borderId="2" xfId="0" applyNumberFormat="1" applyFont="1" applyBorder="1" applyAlignment="1">
      <alignment horizontal="right" vertical="center"/>
    </xf>
    <xf numFmtId="49" fontId="23" fillId="0" borderId="0" xfId="0" applyNumberFormat="1" applyFont="1" applyAlignment="1">
      <alignment horizontal="left" vertical="center" wrapText="1"/>
    </xf>
    <xf numFmtId="0" fontId="23" fillId="0" borderId="0" xfId="0" applyFont="1" applyAlignment="1">
      <alignment horizontal="center" vertical="center"/>
    </xf>
    <xf numFmtId="178" fontId="33" fillId="6" borderId="2" xfId="0" applyNumberFormat="1" applyFont="1" applyFill="1" applyBorder="1" applyAlignment="1">
      <alignment horizontal="center" vertical="center"/>
    </xf>
    <xf numFmtId="178" fontId="33" fillId="6" borderId="3" xfId="0" applyNumberFormat="1" applyFont="1" applyFill="1" applyBorder="1" applyAlignment="1">
      <alignment horizontal="center" vertical="center"/>
    </xf>
    <xf numFmtId="178" fontId="33" fillId="6" borderId="1" xfId="0" applyNumberFormat="1" applyFont="1" applyFill="1" applyBorder="1" applyAlignment="1">
      <alignment horizontal="center" vertical="center"/>
    </xf>
    <xf numFmtId="184" fontId="32" fillId="0" borderId="1" xfId="0" applyNumberFormat="1" applyFont="1" applyBorder="1" applyAlignment="1">
      <alignment horizontal="center" vertical="center"/>
    </xf>
    <xf numFmtId="184" fontId="32" fillId="0" borderId="2" xfId="0" applyNumberFormat="1" applyFont="1" applyBorder="1" applyAlignment="1">
      <alignment horizontal="center" vertical="center"/>
    </xf>
    <xf numFmtId="184" fontId="32" fillId="0" borderId="3" xfId="0" applyNumberFormat="1" applyFont="1" applyBorder="1" applyAlignment="1">
      <alignment horizontal="center" vertical="center"/>
    </xf>
    <xf numFmtId="178" fontId="32" fillId="4" borderId="0" xfId="0" applyNumberFormat="1" applyFont="1" applyFill="1" applyAlignment="1">
      <alignment horizontal="center" vertical="top" wrapText="1"/>
    </xf>
    <xf numFmtId="0" fontId="32" fillId="0" borderId="6" xfId="0" applyFont="1" applyBorder="1" applyAlignment="1">
      <alignment horizontal="left" vertical="top"/>
    </xf>
    <xf numFmtId="0" fontId="32" fillId="0" borderId="5" xfId="0" applyFont="1" applyBorder="1" applyAlignment="1">
      <alignment horizontal="left" vertical="top"/>
    </xf>
    <xf numFmtId="0" fontId="32" fillId="0" borderId="7" xfId="0" applyFont="1" applyBorder="1" applyAlignment="1">
      <alignment horizontal="left" vertical="top"/>
    </xf>
    <xf numFmtId="38" fontId="35" fillId="0" borderId="33" xfId="3" applyFont="1" applyFill="1" applyBorder="1" applyAlignment="1">
      <alignment horizontal="center" vertical="center"/>
    </xf>
    <xf numFmtId="38" fontId="35" fillId="0" borderId="37" xfId="3" applyFont="1" applyFill="1" applyBorder="1" applyAlignment="1">
      <alignment horizontal="center" vertical="center"/>
    </xf>
    <xf numFmtId="0" fontId="35" fillId="0" borderId="40" xfId="2" applyFont="1" applyBorder="1" applyAlignment="1">
      <alignment horizontal="center" vertical="center"/>
    </xf>
    <xf numFmtId="0" fontId="35" fillId="0" borderId="41" xfId="2" applyFont="1" applyBorder="1" applyAlignment="1">
      <alignment horizontal="center" vertical="center"/>
    </xf>
    <xf numFmtId="0" fontId="35" fillId="0" borderId="42" xfId="2" applyFont="1" applyBorder="1" applyAlignment="1">
      <alignment horizontal="center" vertical="center"/>
    </xf>
    <xf numFmtId="0" fontId="35" fillId="0" borderId="43" xfId="2" applyFont="1" applyBorder="1" applyAlignment="1">
      <alignment horizontal="center" vertical="center"/>
    </xf>
    <xf numFmtId="0" fontId="35" fillId="0" borderId="44" xfId="2" applyFont="1" applyBorder="1" applyAlignment="1">
      <alignment horizontal="center" vertical="center"/>
    </xf>
    <xf numFmtId="0" fontId="35" fillId="0" borderId="45" xfId="2" applyFont="1" applyBorder="1" applyAlignment="1">
      <alignment horizontal="center" vertical="center"/>
    </xf>
    <xf numFmtId="0" fontId="35" fillId="0" borderId="48" xfId="2" applyFont="1" applyBorder="1" applyAlignment="1">
      <alignment horizontal="center" vertical="center"/>
    </xf>
    <xf numFmtId="0" fontId="35" fillId="0" borderId="50" xfId="2" applyFont="1" applyBorder="1" applyAlignment="1">
      <alignment horizontal="center" vertical="center"/>
    </xf>
    <xf numFmtId="0" fontId="35" fillId="0" borderId="49" xfId="2" applyFont="1" applyBorder="1" applyAlignment="1">
      <alignment horizontal="center" vertical="center"/>
    </xf>
    <xf numFmtId="0" fontId="35" fillId="0" borderId="36" xfId="2" applyFont="1" applyBorder="1" applyAlignment="1">
      <alignment horizontal="center" vertical="center"/>
    </xf>
    <xf numFmtId="0" fontId="53" fillId="0" borderId="31" xfId="2" applyFont="1" applyBorder="1" applyAlignment="1">
      <alignment horizontal="center" vertical="center" wrapText="1"/>
    </xf>
    <xf numFmtId="0" fontId="53" fillId="0" borderId="35" xfId="2" applyFont="1" applyBorder="1" applyAlignment="1">
      <alignment horizontal="center" vertical="center"/>
    </xf>
    <xf numFmtId="0" fontId="53" fillId="0" borderId="31" xfId="2" applyFont="1" applyBorder="1" applyAlignment="1">
      <alignment horizontal="center" vertical="center" wrapText="1" shrinkToFit="1"/>
    </xf>
    <xf numFmtId="0" fontId="53" fillId="0" borderId="35" xfId="2" applyFont="1" applyBorder="1" applyAlignment="1">
      <alignment horizontal="center" vertical="center" wrapText="1" shrinkToFit="1"/>
    </xf>
    <xf numFmtId="0" fontId="53" fillId="0" borderId="35" xfId="2" applyFont="1" applyBorder="1" applyAlignment="1">
      <alignment horizontal="center" vertical="center" wrapText="1"/>
    </xf>
    <xf numFmtId="189" fontId="53" fillId="0" borderId="32" xfId="2" applyNumberFormat="1" applyFont="1" applyBorder="1" applyAlignment="1">
      <alignment horizontal="center" vertical="center" wrapText="1"/>
    </xf>
    <xf numFmtId="189" fontId="53" fillId="0" borderId="36" xfId="2" applyNumberFormat="1" applyFont="1" applyBorder="1" applyAlignment="1">
      <alignment horizontal="center" vertical="center" wrapText="1"/>
    </xf>
    <xf numFmtId="0" fontId="51" fillId="0" borderId="30" xfId="2" applyFont="1" applyBorder="1" applyAlignment="1">
      <alignment horizontal="center" vertical="center" wrapText="1" shrinkToFit="1"/>
    </xf>
    <xf numFmtId="0" fontId="53" fillId="0" borderId="34" xfId="2" applyFont="1" applyBorder="1" applyAlignment="1">
      <alignment horizontal="center" vertical="center" wrapText="1" shrinkToFit="1"/>
    </xf>
    <xf numFmtId="0" fontId="35" fillId="0" borderId="31" xfId="2" applyFont="1" applyBorder="1" applyAlignment="1">
      <alignment horizontal="center" vertical="center"/>
    </xf>
    <xf numFmtId="0" fontId="35" fillId="0" borderId="35" xfId="2" applyFont="1" applyBorder="1" applyAlignment="1">
      <alignment horizontal="center"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9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0000FF"/>
      <color rgb="FFFFFFCC"/>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75"/>
  <sheetViews>
    <sheetView showGridLines="0" tabSelected="1" view="pageBreakPreview" zoomScaleNormal="100" zoomScaleSheetLayoutView="100" workbookViewId="0">
      <selection activeCell="C8" sqref="C8:D8"/>
    </sheetView>
  </sheetViews>
  <sheetFormatPr defaultColWidth="3.109375" defaultRowHeight="13.2" x14ac:dyDescent="0.2"/>
  <cols>
    <col min="1" max="1" width="4.21875" style="1" customWidth="1"/>
    <col min="2" max="2" width="3.6640625" style="1" customWidth="1"/>
    <col min="3"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77734375" style="1" customWidth="1"/>
    <col min="28" max="28" width="6.109375" style="3" bestFit="1" customWidth="1"/>
    <col min="29" max="31" width="3.109375" style="3"/>
    <col min="32" max="34" width="3.44140625" style="3" bestFit="1" customWidth="1"/>
    <col min="35" max="35" width="4.77734375" style="3" bestFit="1" customWidth="1"/>
    <col min="36" max="36" width="4" style="3" bestFit="1" customWidth="1"/>
    <col min="37" max="39" width="3.109375" style="3"/>
    <col min="40" max="41" width="3.44140625" style="3" bestFit="1" customWidth="1"/>
    <col min="42" max="55" width="3.109375" style="3"/>
    <col min="56" max="58" width="3.109375" style="1"/>
    <col min="59" max="59" width="7.21875" style="1" customWidth="1"/>
    <col min="60" max="16384" width="3.109375" style="1"/>
  </cols>
  <sheetData>
    <row r="1" spans="1:60" ht="13.5" customHeight="1" x14ac:dyDescent="0.2">
      <c r="A1" s="1" t="s">
        <v>154</v>
      </c>
      <c r="K1" s="2"/>
      <c r="L1" s="2"/>
      <c r="M1" s="2"/>
      <c r="N1" s="2"/>
      <c r="O1" s="2"/>
      <c r="P1" s="2"/>
      <c r="Q1" s="2"/>
      <c r="R1" s="2"/>
      <c r="Z1" s="47"/>
      <c r="AA1" s="328" t="s">
        <v>505</v>
      </c>
      <c r="AC1" s="4" t="s">
        <v>79</v>
      </c>
      <c r="BG1" s="1" t="s">
        <v>122</v>
      </c>
      <c r="BH1" s="1" t="s">
        <v>139</v>
      </c>
    </row>
    <row r="2" spans="1:60" ht="6" customHeight="1" x14ac:dyDescent="0.2">
      <c r="K2" s="2"/>
      <c r="L2" s="2"/>
      <c r="M2" s="2"/>
      <c r="N2" s="2"/>
      <c r="O2" s="2"/>
      <c r="P2" s="2"/>
      <c r="Q2" s="2"/>
      <c r="R2" s="2"/>
      <c r="AC2" s="4" t="s">
        <v>177</v>
      </c>
      <c r="BG2" s="1" t="s">
        <v>123</v>
      </c>
      <c r="BH2" s="1" t="s">
        <v>140</v>
      </c>
    </row>
    <row r="3" spans="1:60" ht="15.6" customHeight="1" x14ac:dyDescent="0.2">
      <c r="A3" s="412" t="s">
        <v>467</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C3" s="4" t="s">
        <v>76</v>
      </c>
      <c r="BG3" s="1" t="s">
        <v>124</v>
      </c>
      <c r="BH3" s="1" t="s">
        <v>141</v>
      </c>
    </row>
    <row r="4" spans="1:60" ht="15" customHeight="1" x14ac:dyDescent="0.2">
      <c r="A4" s="412" t="s">
        <v>466</v>
      </c>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C4" s="4" t="s">
        <v>76</v>
      </c>
      <c r="BG4" s="1" t="s">
        <v>478</v>
      </c>
      <c r="BH4" s="1" t="s">
        <v>479</v>
      </c>
    </row>
    <row r="5" spans="1:60" x14ac:dyDescent="0.2">
      <c r="A5" s="401" t="s">
        <v>468</v>
      </c>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BG5" s="1" t="s">
        <v>125</v>
      </c>
      <c r="BH5" s="1" t="s">
        <v>139</v>
      </c>
    </row>
    <row r="6" spans="1:60" x14ac:dyDescent="0.2">
      <c r="A6" s="401"/>
      <c r="B6" s="401"/>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BG6" s="1" t="s">
        <v>126</v>
      </c>
      <c r="BH6" s="1" t="s">
        <v>139</v>
      </c>
    </row>
    <row r="7" spans="1:60" ht="6" customHeight="1" x14ac:dyDescent="0.2">
      <c r="BG7" s="1" t="s">
        <v>127</v>
      </c>
      <c r="BH7" s="1" t="s">
        <v>139</v>
      </c>
    </row>
    <row r="8" spans="1:60" x14ac:dyDescent="0.2">
      <c r="C8" s="469" t="s">
        <v>237</v>
      </c>
      <c r="D8" s="469"/>
      <c r="E8" s="468"/>
      <c r="F8" s="468"/>
      <c r="G8" s="1" t="s">
        <v>8</v>
      </c>
      <c r="H8" s="459"/>
      <c r="I8" s="459"/>
      <c r="J8" s="1" t="s">
        <v>27</v>
      </c>
      <c r="K8" s="459"/>
      <c r="L8" s="459"/>
      <c r="M8" s="1" t="s">
        <v>7</v>
      </c>
      <c r="AB8" s="4" t="str">
        <f>IF(OR(C8="",H8="",K8=""),"←リストから選択してください（和暦年月日）","")</f>
        <v>←リストから選択してください（和暦年月日）</v>
      </c>
      <c r="BG8" s="1" t="s">
        <v>142</v>
      </c>
      <c r="BH8" s="1" t="s">
        <v>139</v>
      </c>
    </row>
    <row r="9" spans="1:60" ht="3" customHeight="1" x14ac:dyDescent="0.2">
      <c r="BG9" s="1" t="s">
        <v>128</v>
      </c>
      <c r="BH9" s="1" t="s">
        <v>141</v>
      </c>
    </row>
    <row r="10" spans="1:60" x14ac:dyDescent="0.2">
      <c r="K10" s="5" t="s">
        <v>26</v>
      </c>
      <c r="L10" s="6" t="s">
        <v>12</v>
      </c>
      <c r="M10" s="7"/>
      <c r="N10" s="6" t="s">
        <v>10</v>
      </c>
      <c r="O10" s="387"/>
      <c r="P10" s="387"/>
      <c r="Q10" s="387"/>
      <c r="R10" s="387"/>
      <c r="S10" s="387"/>
      <c r="T10" s="387"/>
      <c r="U10" s="387"/>
      <c r="V10" s="387"/>
      <c r="W10" s="387"/>
      <c r="X10" s="387"/>
      <c r="Y10" s="387"/>
      <c r="Z10" s="388"/>
      <c r="AB10" s="4" t="str">
        <f>IF(O10="","←直接郵便番号を記入してください","")</f>
        <v>←直接郵便番号を記入してください</v>
      </c>
      <c r="BG10" s="1" t="s">
        <v>129</v>
      </c>
      <c r="BH10" s="1" t="s">
        <v>141</v>
      </c>
    </row>
    <row r="11" spans="1:60" ht="23.1" customHeight="1" x14ac:dyDescent="0.2">
      <c r="L11" s="8"/>
      <c r="M11" s="9"/>
      <c r="N11" s="463"/>
      <c r="O11" s="464"/>
      <c r="P11" s="464"/>
      <c r="Q11" s="464"/>
      <c r="R11" s="464"/>
      <c r="S11" s="464"/>
      <c r="T11" s="464"/>
      <c r="U11" s="464"/>
      <c r="V11" s="464"/>
      <c r="W11" s="464"/>
      <c r="X11" s="464"/>
      <c r="Y11" s="464"/>
      <c r="Z11" s="465"/>
      <c r="AB11" s="4" t="str">
        <f>IF(N11="","←直接住所を記入してください","")</f>
        <v>←直接住所を記入してください</v>
      </c>
      <c r="BG11" s="1" t="s">
        <v>130</v>
      </c>
      <c r="BH11" s="1" t="s">
        <v>141</v>
      </c>
    </row>
    <row r="12" spans="1:60" x14ac:dyDescent="0.2">
      <c r="L12" s="10" t="s">
        <v>6</v>
      </c>
      <c r="M12" s="11"/>
      <c r="N12" s="383"/>
      <c r="O12" s="384"/>
      <c r="P12" s="384"/>
      <c r="Q12" s="384"/>
      <c r="R12" s="384"/>
      <c r="S12" s="384"/>
      <c r="T12" s="384"/>
      <c r="U12" s="384"/>
      <c r="V12" s="384"/>
      <c r="W12" s="384"/>
      <c r="X12" s="384"/>
      <c r="Y12" s="384"/>
      <c r="Z12" s="385"/>
      <c r="AB12" s="4" t="str">
        <f>IF(N12="","←直接建築主の氏名を記入してください","")</f>
        <v>←直接建築主の氏名を記入してください</v>
      </c>
      <c r="BG12" s="1" t="s">
        <v>131</v>
      </c>
      <c r="BH12" s="1" t="s">
        <v>141</v>
      </c>
    </row>
    <row r="13" spans="1:60" x14ac:dyDescent="0.2">
      <c r="L13" s="10" t="s">
        <v>9</v>
      </c>
      <c r="M13" s="11"/>
      <c r="N13" s="460"/>
      <c r="O13" s="461"/>
      <c r="P13" s="461"/>
      <c r="Q13" s="461"/>
      <c r="R13" s="461"/>
      <c r="S13" s="461"/>
      <c r="T13" s="461"/>
      <c r="U13" s="461"/>
      <c r="V13" s="461"/>
      <c r="W13" s="461"/>
      <c r="X13" s="461"/>
      <c r="Y13" s="461"/>
      <c r="Z13" s="462"/>
      <c r="AB13" s="4" t="str">
        <f>IF(N13="","←直接電話番号を記入してください","")</f>
        <v>←直接電話番号を記入してください</v>
      </c>
      <c r="BG13" s="1" t="s">
        <v>132</v>
      </c>
      <c r="BH13" s="1" t="s">
        <v>140</v>
      </c>
    </row>
    <row r="14" spans="1:60" x14ac:dyDescent="0.2">
      <c r="A14" s="1" t="s">
        <v>48</v>
      </c>
      <c r="BG14" s="1" t="s">
        <v>133</v>
      </c>
      <c r="BH14" s="1" t="s">
        <v>140</v>
      </c>
    </row>
    <row r="15" spans="1:60" x14ac:dyDescent="0.2">
      <c r="A15" s="1" t="s">
        <v>47</v>
      </c>
      <c r="AA15" s="12"/>
      <c r="BG15" s="1" t="s">
        <v>134</v>
      </c>
      <c r="BH15" s="1" t="s">
        <v>140</v>
      </c>
    </row>
    <row r="16" spans="1:60" ht="26.25" customHeight="1" x14ac:dyDescent="0.2">
      <c r="A16" s="401" t="s">
        <v>196</v>
      </c>
      <c r="B16" s="401"/>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BG16" s="1" t="s">
        <v>135</v>
      </c>
      <c r="BH16" s="1" t="s">
        <v>140</v>
      </c>
    </row>
    <row r="17" spans="1:60" ht="3" customHeight="1" x14ac:dyDescent="0.2">
      <c r="AA17" s="12"/>
      <c r="BG17" s="1" t="s">
        <v>136</v>
      </c>
      <c r="BH17" s="1" t="s">
        <v>140</v>
      </c>
    </row>
    <row r="18" spans="1:60" x14ac:dyDescent="0.2">
      <c r="A18" s="1" t="s">
        <v>37</v>
      </c>
      <c r="BG18" s="1" t="s">
        <v>137</v>
      </c>
      <c r="BH18" s="1" t="s">
        <v>140</v>
      </c>
    </row>
    <row r="19" spans="1:60" ht="5.4" customHeight="1" x14ac:dyDescent="0.2">
      <c r="AA19" s="12"/>
      <c r="BG19" s="1" t="s">
        <v>138</v>
      </c>
      <c r="BH19" s="1" t="s">
        <v>140</v>
      </c>
    </row>
    <row r="20" spans="1:60" ht="13.5" customHeight="1" x14ac:dyDescent="0.2">
      <c r="B20" s="93"/>
      <c r="C20" s="401" t="s">
        <v>159</v>
      </c>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row>
    <row r="21" spans="1:60" x14ac:dyDescent="0.2">
      <c r="B21" s="36"/>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row>
    <row r="22" spans="1:60" ht="3.6" customHeight="1" x14ac:dyDescent="0.2">
      <c r="AA22" s="12"/>
    </row>
    <row r="23" spans="1:60" x14ac:dyDescent="0.2">
      <c r="B23" s="93"/>
      <c r="C23" s="1" t="s">
        <v>146</v>
      </c>
    </row>
    <row r="24" spans="1:60" x14ac:dyDescent="0.2">
      <c r="C24" s="13" t="s">
        <v>88</v>
      </c>
    </row>
    <row r="25" spans="1:60" x14ac:dyDescent="0.2">
      <c r="C25" s="14" t="s">
        <v>87</v>
      </c>
      <c r="D25" s="13"/>
    </row>
    <row r="26" spans="1:60" x14ac:dyDescent="0.2">
      <c r="C26" s="13" t="s">
        <v>89</v>
      </c>
    </row>
    <row r="27" spans="1:60" x14ac:dyDescent="0.2">
      <c r="C27" s="13" t="s">
        <v>86</v>
      </c>
    </row>
    <row r="28" spans="1:60" x14ac:dyDescent="0.2">
      <c r="D28" s="403" t="s">
        <v>1</v>
      </c>
      <c r="E28" s="404"/>
      <c r="F28" s="404"/>
      <c r="G28" s="404"/>
      <c r="H28" s="405"/>
      <c r="I28" s="389" t="s">
        <v>114</v>
      </c>
      <c r="J28" s="360"/>
      <c r="K28" s="360"/>
      <c r="L28" s="390"/>
      <c r="M28" s="397"/>
      <c r="N28" s="398"/>
      <c r="O28" s="398"/>
      <c r="P28" s="398"/>
      <c r="Q28" s="398"/>
      <c r="R28" s="398"/>
      <c r="S28" s="398"/>
      <c r="T28" s="398"/>
      <c r="U28" s="398"/>
      <c r="V28" s="398"/>
      <c r="W28" s="398"/>
      <c r="X28" s="399"/>
      <c r="AB28" s="4" t="str">
        <f>IF(M28="","←リストから選択してください（市町村名）","")</f>
        <v>←リストから選択してください（市町村名）</v>
      </c>
      <c r="BG28" s="1" t="str">
        <f>IF(M28="","",VLOOKUP(M28,BG1:BH19,2,FALSE))</f>
        <v/>
      </c>
    </row>
    <row r="29" spans="1:60" x14ac:dyDescent="0.2">
      <c r="D29" s="409"/>
      <c r="E29" s="410"/>
      <c r="F29" s="410"/>
      <c r="G29" s="410"/>
      <c r="H29" s="411"/>
      <c r="I29" s="383"/>
      <c r="J29" s="384"/>
      <c r="K29" s="384"/>
      <c r="L29" s="384"/>
      <c r="M29" s="384"/>
      <c r="N29" s="384"/>
      <c r="O29" s="384"/>
      <c r="P29" s="384"/>
      <c r="Q29" s="384"/>
      <c r="R29" s="384"/>
      <c r="S29" s="384"/>
      <c r="T29" s="384"/>
      <c r="U29" s="384"/>
      <c r="V29" s="384"/>
      <c r="W29" s="384"/>
      <c r="X29" s="385"/>
      <c r="AB29" s="4" t="str">
        <f>IF(I29="","←市町村名より後の所在地を直接記入してください","")</f>
        <v>←市町村名より後の所在地を直接記入してください</v>
      </c>
    </row>
    <row r="30" spans="1:60" x14ac:dyDescent="0.2">
      <c r="D30" s="389" t="s">
        <v>470</v>
      </c>
      <c r="E30" s="360"/>
      <c r="F30" s="360"/>
      <c r="G30" s="360"/>
      <c r="H30" s="390"/>
      <c r="I30" s="383"/>
      <c r="J30" s="384"/>
      <c r="K30" s="384"/>
      <c r="L30" s="384"/>
      <c r="M30" s="384"/>
      <c r="N30" s="384"/>
      <c r="O30" s="384"/>
      <c r="P30" s="384"/>
      <c r="Q30" s="384"/>
      <c r="R30" s="384"/>
      <c r="S30" s="384"/>
      <c r="T30" s="384"/>
      <c r="U30" s="384"/>
      <c r="V30" s="384"/>
      <c r="W30" s="384"/>
      <c r="X30" s="385"/>
      <c r="AB30" s="4" t="str">
        <f>IF(I30="","←住居表示がある場合のみ入力してください","")</f>
        <v>←住居表示がある場合のみ入力してください</v>
      </c>
    </row>
    <row r="31" spans="1:60" x14ac:dyDescent="0.2">
      <c r="D31" s="403" t="s">
        <v>29</v>
      </c>
      <c r="E31" s="404"/>
      <c r="F31" s="404"/>
      <c r="G31" s="404"/>
      <c r="H31" s="405"/>
      <c r="I31" s="397"/>
      <c r="J31" s="398"/>
      <c r="K31" s="398"/>
      <c r="L31" s="398"/>
      <c r="M31" s="398"/>
      <c r="N31" s="398"/>
      <c r="O31" s="389" t="s">
        <v>118</v>
      </c>
      <c r="P31" s="360"/>
      <c r="Q31" s="360"/>
      <c r="R31" s="390"/>
      <c r="S31" s="472"/>
      <c r="T31" s="473"/>
      <c r="U31" s="473"/>
      <c r="V31" s="473"/>
      <c r="W31" s="360" t="s">
        <v>91</v>
      </c>
      <c r="X31" s="390"/>
      <c r="AB31" s="4" t="str">
        <f>IF(I31="","←リストから選択してください（専用住宅・併用住宅）","")</f>
        <v>←リストから選択してください（専用住宅・併用住宅）</v>
      </c>
    </row>
    <row r="32" spans="1:60" x14ac:dyDescent="0.2">
      <c r="D32" s="403" t="s">
        <v>151</v>
      </c>
      <c r="E32" s="404"/>
      <c r="F32" s="404"/>
      <c r="G32" s="404"/>
      <c r="H32" s="405"/>
      <c r="I32" s="482"/>
      <c r="J32" s="482"/>
      <c r="K32" s="482"/>
      <c r="L32" s="441" t="s">
        <v>155</v>
      </c>
      <c r="M32" s="476" t="s">
        <v>80</v>
      </c>
      <c r="N32" s="477"/>
      <c r="O32" s="477"/>
      <c r="P32" s="477"/>
      <c r="Q32" s="478"/>
      <c r="R32" s="457" t="s">
        <v>81</v>
      </c>
      <c r="S32" s="457"/>
      <c r="T32" s="457"/>
      <c r="U32" s="457"/>
      <c r="V32" s="455"/>
      <c r="W32" s="455"/>
      <c r="X32" s="15" t="s">
        <v>155</v>
      </c>
      <c r="AB32" s="16" t="str">
        <f>IF(I32="","←延床面積を入力してください。",IF(AND(I31="併用住宅",V32=""),"←面積を入力してください。",""))</f>
        <v>←延床面積を入力してください。</v>
      </c>
    </row>
    <row r="33" spans="2:28" x14ac:dyDescent="0.2">
      <c r="D33" s="409"/>
      <c r="E33" s="410"/>
      <c r="F33" s="410"/>
      <c r="G33" s="410"/>
      <c r="H33" s="411"/>
      <c r="I33" s="483"/>
      <c r="J33" s="483"/>
      <c r="K33" s="483"/>
      <c r="L33" s="442"/>
      <c r="M33" s="479"/>
      <c r="N33" s="480"/>
      <c r="O33" s="480"/>
      <c r="P33" s="480"/>
      <c r="Q33" s="481"/>
      <c r="R33" s="458" t="s">
        <v>82</v>
      </c>
      <c r="S33" s="458"/>
      <c r="T33" s="458"/>
      <c r="U33" s="458"/>
      <c r="V33" s="456"/>
      <c r="W33" s="456"/>
      <c r="X33" s="18" t="s">
        <v>155</v>
      </c>
      <c r="AB33" s="16" t="str">
        <f>IF(AND(I31="併用住宅",V33=""),"←面積を入力してください。","")</f>
        <v/>
      </c>
    </row>
    <row r="34" spans="2:28" x14ac:dyDescent="0.2">
      <c r="D34" s="403" t="s">
        <v>35</v>
      </c>
      <c r="E34" s="404"/>
      <c r="F34" s="404"/>
      <c r="G34" s="404"/>
      <c r="H34" s="405"/>
      <c r="I34" s="470"/>
      <c r="J34" s="471"/>
      <c r="K34" s="471"/>
      <c r="L34" s="471"/>
      <c r="M34" s="471"/>
      <c r="N34" s="471"/>
      <c r="O34" s="19" t="s">
        <v>34</v>
      </c>
      <c r="P34" s="19"/>
      <c r="Q34" s="19"/>
      <c r="R34" s="39"/>
      <c r="S34" s="445" t="s">
        <v>119</v>
      </c>
      <c r="T34" s="445"/>
      <c r="U34" s="445"/>
      <c r="V34" s="446"/>
      <c r="W34" s="446"/>
      <c r="X34" s="20" t="s">
        <v>120</v>
      </c>
      <c r="AB34" s="4" t="str">
        <f>IF(I34="","←直接記入してください",IF(V34="","←階数を選択してください。",""))</f>
        <v>←直接記入してください</v>
      </c>
    </row>
    <row r="35" spans="2:28" x14ac:dyDescent="0.2">
      <c r="D35" s="8"/>
      <c r="E35" s="17"/>
      <c r="F35" s="17"/>
      <c r="G35" s="17"/>
      <c r="H35" s="9"/>
      <c r="I35" s="466" t="s">
        <v>90</v>
      </c>
      <c r="J35" s="467"/>
      <c r="K35" s="467"/>
      <c r="L35" s="94"/>
      <c r="M35" s="17" t="s">
        <v>30</v>
      </c>
      <c r="N35" s="17"/>
      <c r="O35" s="21" t="s">
        <v>32</v>
      </c>
      <c r="P35" s="17"/>
      <c r="Q35" s="94"/>
      <c r="R35" s="17" t="s">
        <v>30</v>
      </c>
      <c r="S35" s="17"/>
      <c r="T35" s="21" t="s">
        <v>33</v>
      </c>
      <c r="U35" s="17"/>
      <c r="V35" s="94"/>
      <c r="W35" s="17" t="s">
        <v>62</v>
      </c>
      <c r="X35" s="9"/>
      <c r="AB35" s="4" t="str">
        <f>IF(OR(L35="",Q35="",V35=""),"←直接記入してください","")</f>
        <v>←直接記入してください</v>
      </c>
    </row>
    <row r="36" spans="2:28" x14ac:dyDescent="0.2">
      <c r="D36" s="435" t="s">
        <v>31</v>
      </c>
      <c r="E36" s="435"/>
      <c r="F36" s="435"/>
      <c r="G36" s="435"/>
      <c r="H36" s="435"/>
      <c r="I36" s="454"/>
      <c r="J36" s="454"/>
      <c r="K36" s="454"/>
      <c r="L36" s="454"/>
      <c r="M36" s="454"/>
      <c r="N36" s="454"/>
      <c r="O36" s="454"/>
      <c r="P36" s="454"/>
      <c r="Q36" s="454"/>
      <c r="R36" s="454"/>
      <c r="S36" s="454"/>
      <c r="T36" s="454"/>
      <c r="U36" s="454"/>
      <c r="V36" s="454"/>
      <c r="W36" s="454"/>
      <c r="X36" s="454"/>
      <c r="AB36" s="4" t="str">
        <f>IF(I36="","←リストから選択してください（在来軸組工法、伝統構法、その他）","")</f>
        <v>←リストから選択してください（在来軸組工法、伝統構法、その他）</v>
      </c>
    </row>
    <row r="37" spans="2:28" x14ac:dyDescent="0.2">
      <c r="D37" s="403" t="s">
        <v>2</v>
      </c>
      <c r="E37" s="404"/>
      <c r="F37" s="404"/>
      <c r="G37" s="404"/>
      <c r="H37" s="405"/>
      <c r="I37" s="443" t="s">
        <v>152</v>
      </c>
      <c r="J37" s="444"/>
      <c r="K37" s="444"/>
      <c r="L37" s="444"/>
      <c r="M37" s="444"/>
      <c r="N37" s="484"/>
      <c r="O37" s="484"/>
      <c r="P37" s="484"/>
      <c r="Q37" s="484"/>
      <c r="R37" s="38" t="s">
        <v>8</v>
      </c>
      <c r="S37" s="440"/>
      <c r="T37" s="440"/>
      <c r="U37" s="38" t="s">
        <v>27</v>
      </c>
      <c r="V37" s="440"/>
      <c r="W37" s="440"/>
      <c r="X37" s="7" t="s">
        <v>7</v>
      </c>
      <c r="AB37" s="4" t="str">
        <f>IF(OR(N37="",S37="",V37=""),"←リストから選択してください（和暦年月日）","")</f>
        <v>←リストから選択してください（和暦年月日）</v>
      </c>
    </row>
    <row r="38" spans="2:28" x14ac:dyDescent="0.2">
      <c r="D38" s="409"/>
      <c r="E38" s="410"/>
      <c r="F38" s="410"/>
      <c r="G38" s="410"/>
      <c r="H38" s="411"/>
      <c r="I38" s="356" t="s">
        <v>153</v>
      </c>
      <c r="J38" s="357"/>
      <c r="K38" s="357"/>
      <c r="L38" s="357"/>
      <c r="M38" s="357"/>
      <c r="N38" s="447"/>
      <c r="O38" s="447"/>
      <c r="P38" s="447"/>
      <c r="Q38" s="447"/>
      <c r="R38" s="17" t="s">
        <v>8</v>
      </c>
      <c r="S38" s="358"/>
      <c r="T38" s="358"/>
      <c r="U38" s="17" t="s">
        <v>27</v>
      </c>
      <c r="V38" s="358"/>
      <c r="W38" s="358"/>
      <c r="X38" s="9" t="s">
        <v>7</v>
      </c>
      <c r="AB38" s="4" t="str">
        <f>IF(OR(N38="",S38="",V38=""),"←リストから選択してください（和暦年月日）","")</f>
        <v>←リストから選択してください（和暦年月日）</v>
      </c>
    </row>
    <row r="39" spans="2:28" ht="5.4" customHeight="1" x14ac:dyDescent="0.2">
      <c r="AA39" s="12"/>
    </row>
    <row r="40" spans="2:28" x14ac:dyDescent="0.2">
      <c r="B40" s="93"/>
      <c r="C40" s="1" t="s">
        <v>145</v>
      </c>
    </row>
    <row r="41" spans="2:28" x14ac:dyDescent="0.2">
      <c r="D41" s="389" t="s">
        <v>3</v>
      </c>
      <c r="E41" s="360"/>
      <c r="F41" s="360"/>
      <c r="G41" s="360"/>
      <c r="H41" s="390"/>
      <c r="I41" s="386"/>
      <c r="J41" s="387"/>
      <c r="K41" s="387"/>
      <c r="L41" s="387"/>
      <c r="M41" s="387"/>
      <c r="N41" s="387"/>
      <c r="O41" s="387"/>
      <c r="P41" s="387"/>
      <c r="Q41" s="387"/>
      <c r="R41" s="387"/>
      <c r="S41" s="387"/>
      <c r="T41" s="387"/>
      <c r="U41" s="387"/>
      <c r="V41" s="387"/>
      <c r="W41" s="387"/>
      <c r="X41" s="388"/>
      <c r="AB41" s="4" t="str">
        <f>IF(I41="","←直接記入してください","")</f>
        <v>←直接記入してください</v>
      </c>
    </row>
    <row r="42" spans="2:28" x14ac:dyDescent="0.2">
      <c r="D42" s="389" t="s">
        <v>4</v>
      </c>
      <c r="E42" s="360"/>
      <c r="F42" s="360"/>
      <c r="G42" s="360"/>
      <c r="H42" s="390"/>
      <c r="I42" s="383"/>
      <c r="J42" s="384"/>
      <c r="K42" s="384"/>
      <c r="L42" s="384"/>
      <c r="M42" s="384"/>
      <c r="N42" s="384"/>
      <c r="O42" s="384"/>
      <c r="P42" s="384"/>
      <c r="Q42" s="384"/>
      <c r="R42" s="384"/>
      <c r="S42" s="384"/>
      <c r="T42" s="384"/>
      <c r="U42" s="384"/>
      <c r="V42" s="384"/>
      <c r="W42" s="384"/>
      <c r="X42" s="385"/>
      <c r="AB42" s="4" t="str">
        <f>IF(I42="","←直接記入してください","")</f>
        <v>←直接記入してください</v>
      </c>
    </row>
    <row r="43" spans="2:28" x14ac:dyDescent="0.2">
      <c r="D43" s="389" t="s">
        <v>28</v>
      </c>
      <c r="E43" s="360"/>
      <c r="F43" s="360"/>
      <c r="G43" s="360"/>
      <c r="H43" s="390"/>
      <c r="I43" s="507"/>
      <c r="J43" s="508"/>
      <c r="K43" s="508"/>
      <c r="L43" s="508"/>
      <c r="M43" s="508"/>
      <c r="N43" s="508"/>
      <c r="O43" s="508"/>
      <c r="P43" s="508"/>
      <c r="Q43" s="508"/>
      <c r="R43" s="508"/>
      <c r="S43" s="508"/>
      <c r="T43" s="508"/>
      <c r="U43" s="508"/>
      <c r="V43" s="508"/>
      <c r="W43" s="508"/>
      <c r="X43" s="509"/>
      <c r="AB43" s="4" t="str">
        <f>IF(I43="","←直接記入してください(0857-00-000等）","")</f>
        <v>←直接記入してください(0857-00-000等）</v>
      </c>
    </row>
    <row r="44" spans="2:28" ht="3.6" customHeight="1" x14ac:dyDescent="0.2"/>
    <row r="45" spans="2:28" x14ac:dyDescent="0.2">
      <c r="B45" s="93"/>
      <c r="C45" s="1" t="s">
        <v>144</v>
      </c>
    </row>
    <row r="46" spans="2:28" x14ac:dyDescent="0.2">
      <c r="D46" s="389" t="s">
        <v>36</v>
      </c>
      <c r="E46" s="360"/>
      <c r="F46" s="360"/>
      <c r="G46" s="360"/>
      <c r="H46" s="390"/>
      <c r="I46" s="397"/>
      <c r="J46" s="398"/>
      <c r="K46" s="398"/>
      <c r="L46" s="398"/>
      <c r="M46" s="398"/>
      <c r="N46" s="399"/>
      <c r="Y46" s="22"/>
      <c r="AB46" s="4" t="str">
        <f>IF(I46="","←リストから選択してください（要・不要）","")</f>
        <v>←リストから選択してください（要・不要）</v>
      </c>
    </row>
    <row r="47" spans="2:28" x14ac:dyDescent="0.2">
      <c r="D47" s="424" t="s">
        <v>208</v>
      </c>
      <c r="E47" s="425"/>
      <c r="F47" s="425"/>
      <c r="G47" s="425"/>
      <c r="H47" s="425"/>
      <c r="I47" s="425"/>
      <c r="J47" s="425"/>
      <c r="K47" s="425"/>
      <c r="L47" s="425"/>
      <c r="M47" s="425"/>
      <c r="N47" s="426"/>
      <c r="O47" s="495"/>
      <c r="P47" s="495"/>
      <c r="Q47" s="495"/>
      <c r="R47" s="97" t="s">
        <v>8</v>
      </c>
      <c r="S47" s="421"/>
      <c r="T47" s="421"/>
      <c r="U47" s="97" t="s">
        <v>27</v>
      </c>
      <c r="V47" s="421"/>
      <c r="W47" s="421"/>
      <c r="X47" s="11" t="s">
        <v>7</v>
      </c>
      <c r="Y47" s="22"/>
      <c r="AB47" s="4" t="str">
        <f>IF(OR(O47="",S47="",V47=""),"←リストから選択してください（和暦年月日）","")</f>
        <v>←リストから選択してください（和暦年月日）</v>
      </c>
    </row>
    <row r="48" spans="2:28" ht="11.4" customHeight="1" x14ac:dyDescent="0.2">
      <c r="D48" s="23" t="str">
        <f>IF(I46="要","添付書類として、各階平面図、配置図を提出してください。",IF(I46="不要","添付書類として、各階平面図、配置図を提出してください。",""))</f>
        <v/>
      </c>
    </row>
    <row r="49" spans="2:28" ht="4.5" customHeight="1" x14ac:dyDescent="0.2">
      <c r="E49" s="13"/>
    </row>
    <row r="50" spans="2:28" x14ac:dyDescent="0.2">
      <c r="B50" s="93"/>
      <c r="C50" s="1" t="s">
        <v>143</v>
      </c>
    </row>
    <row r="51" spans="2:28" ht="3.6" customHeight="1" x14ac:dyDescent="0.2"/>
    <row r="52" spans="2:28" x14ac:dyDescent="0.2">
      <c r="B52" s="93"/>
      <c r="C52" s="1" t="s">
        <v>226</v>
      </c>
      <c r="R52" s="1" t="s">
        <v>240</v>
      </c>
      <c r="U52" s="397"/>
      <c r="V52" s="398"/>
      <c r="W52" s="398"/>
      <c r="X52" s="398"/>
      <c r="Y52" s="398"/>
      <c r="Z52" s="399"/>
      <c r="AB52" s="4" t="str">
        <f>IF(U52="","←NE-STの場合には性能区分を選択してください","")</f>
        <v>←NE-STの場合には性能区分を選択してください</v>
      </c>
    </row>
    <row r="53" spans="2:28" ht="14.4" hidden="1" customHeight="1" x14ac:dyDescent="0.2">
      <c r="AB53" s="4"/>
    </row>
    <row r="54" spans="2:28" x14ac:dyDescent="0.2">
      <c r="C54" s="22"/>
      <c r="D54" s="23" t="str">
        <f>IF(B52="✔","別途、NE-STの設計適合申請が必要です。※申請が無い場合、NE-STの補助金が受けられません。","")</f>
        <v/>
      </c>
      <c r="AB54" s="4"/>
    </row>
    <row r="55" spans="2:28" x14ac:dyDescent="0.2">
      <c r="B55" s="93"/>
      <c r="C55" s="1" t="s">
        <v>241</v>
      </c>
      <c r="R55" s="1" t="s">
        <v>243</v>
      </c>
      <c r="U55" s="397"/>
      <c r="V55" s="398"/>
      <c r="W55" s="398"/>
      <c r="X55" s="398"/>
      <c r="Y55" s="398"/>
      <c r="Z55" s="399"/>
      <c r="AB55" s="4" t="str">
        <f>IF(U55="","←再生可能エネルギー発電設備を設置する場合には設備を選択してください","")</f>
        <v>←再生可能エネルギー発電設備を設置する場合には設備を選択してください</v>
      </c>
    </row>
    <row r="56" spans="2:28" ht="15.9" hidden="1" customHeight="1" x14ac:dyDescent="0.2">
      <c r="AB56" s="4"/>
    </row>
    <row r="57" spans="2:28" ht="4.5" customHeight="1" x14ac:dyDescent="0.2">
      <c r="AB57" s="4"/>
    </row>
    <row r="58" spans="2:28" x14ac:dyDescent="0.2">
      <c r="B58" s="93"/>
      <c r="C58" s="1" t="s">
        <v>242</v>
      </c>
      <c r="R58" s="1" t="s">
        <v>244</v>
      </c>
      <c r="U58" s="510"/>
      <c r="V58" s="511"/>
      <c r="W58" s="511"/>
      <c r="X58" s="511"/>
      <c r="Y58" s="511"/>
      <c r="Z58" s="512"/>
      <c r="AB58" s="3" t="s">
        <v>496</v>
      </c>
    </row>
    <row r="59" spans="2:28" ht="10.5" hidden="1" customHeight="1" x14ac:dyDescent="0.2">
      <c r="AB59" s="4"/>
    </row>
    <row r="60" spans="2:28" ht="12.75" customHeight="1" x14ac:dyDescent="0.2">
      <c r="D60" s="23" t="str">
        <f>IF(B52="✔","実績報告の際にBELS認証が必要となります。","")</f>
        <v/>
      </c>
      <c r="AB60" s="4"/>
    </row>
    <row r="61" spans="2:28" x14ac:dyDescent="0.2">
      <c r="B61" s="93"/>
      <c r="C61" s="1" t="s">
        <v>245</v>
      </c>
      <c r="U61" s="110"/>
      <c r="V61" s="110"/>
      <c r="W61" s="110"/>
      <c r="X61" s="110"/>
      <c r="Y61" s="110"/>
      <c r="Z61" s="110"/>
    </row>
    <row r="62" spans="2:28" ht="12" customHeight="1" x14ac:dyDescent="0.2">
      <c r="D62" s="13" t="s">
        <v>246</v>
      </c>
    </row>
    <row r="63" spans="2:28" ht="12" customHeight="1" x14ac:dyDescent="0.2">
      <c r="D63" s="23" t="str">
        <f>IF(B61="✔","※建築基準法の壁量計算を行う場合には太陽光発電設備等を「あり」として計算してください。","")</f>
        <v/>
      </c>
    </row>
    <row r="64" spans="2:28" x14ac:dyDescent="0.2">
      <c r="B64" s="93"/>
      <c r="C64" s="1" t="s">
        <v>457</v>
      </c>
      <c r="AB64" s="321">
        <f>T237</f>
        <v>0</v>
      </c>
    </row>
    <row r="65" spans="2:26" ht="5.4" customHeight="1" x14ac:dyDescent="0.2"/>
    <row r="66" spans="2:26" ht="13.5" customHeight="1" x14ac:dyDescent="0.2">
      <c r="B66" s="93"/>
      <c r="C66" s="98" t="s">
        <v>514</v>
      </c>
      <c r="D66" s="23"/>
    </row>
    <row r="67" spans="2:26" ht="3.6" customHeight="1" x14ac:dyDescent="0.2">
      <c r="D67" s="23"/>
    </row>
    <row r="68" spans="2:26" ht="13.5" customHeight="1" x14ac:dyDescent="0.2">
      <c r="B68" s="93"/>
      <c r="C68" s="1" t="s">
        <v>515</v>
      </c>
      <c r="D68" s="23"/>
    </row>
    <row r="69" spans="2:26" ht="3.6" customHeight="1" x14ac:dyDescent="0.2">
      <c r="D69" s="23"/>
    </row>
    <row r="70" spans="2:26" ht="13.5" customHeight="1" x14ac:dyDescent="0.2">
      <c r="B70" s="93"/>
      <c r="C70" s="98" t="s">
        <v>516</v>
      </c>
      <c r="D70" s="23"/>
    </row>
    <row r="71" spans="2:26" ht="3.9" customHeight="1" x14ac:dyDescent="0.2">
      <c r="D71" s="23"/>
    </row>
    <row r="72" spans="2:26" ht="13.5" customHeight="1" x14ac:dyDescent="0.2">
      <c r="B72" s="93"/>
      <c r="C72" s="1" t="s">
        <v>497</v>
      </c>
      <c r="D72" s="23"/>
    </row>
    <row r="73" spans="2:26" ht="3.9" customHeight="1" x14ac:dyDescent="0.2">
      <c r="D73" s="23"/>
    </row>
    <row r="74" spans="2:26" ht="13.5" customHeight="1" x14ac:dyDescent="0.2">
      <c r="C74" s="93"/>
      <c r="D74" s="1" t="s">
        <v>477</v>
      </c>
    </row>
    <row r="75" spans="2:26" ht="12.75" customHeight="1" x14ac:dyDescent="0.2">
      <c r="C75" s="23"/>
      <c r="D75" s="23" t="str">
        <f>IF(B72="✔",(IF(C74="✔","","地域型グリーン化事業に県産材の材料代を含めている場合、住まいる支援事業は利用できません")),"")</f>
        <v/>
      </c>
    </row>
    <row r="76" spans="2:26" x14ac:dyDescent="0.2">
      <c r="B76" s="93"/>
      <c r="C76" s="98" t="s">
        <v>513</v>
      </c>
      <c r="D76" s="109"/>
      <c r="E76" s="104"/>
      <c r="F76" s="104"/>
      <c r="G76" s="104"/>
      <c r="H76" s="104"/>
      <c r="I76" s="25"/>
      <c r="J76" s="25"/>
      <c r="K76" s="25"/>
      <c r="L76" s="25"/>
      <c r="M76" s="25"/>
      <c r="N76" s="25"/>
      <c r="O76" s="25"/>
      <c r="P76" s="25"/>
      <c r="Q76" s="25"/>
      <c r="R76" s="25"/>
      <c r="S76" s="25"/>
      <c r="T76" s="25"/>
      <c r="U76" s="25"/>
      <c r="V76" s="25"/>
      <c r="W76" s="25"/>
      <c r="X76" s="25"/>
      <c r="Y76" s="22"/>
    </row>
    <row r="77" spans="2:26" ht="14.25" customHeight="1" x14ac:dyDescent="0.2">
      <c r="C77" s="22" t="str">
        <f>IF(B76="","","　併用する補助金の名称を以下に記載してください。")</f>
        <v/>
      </c>
      <c r="D77" s="104"/>
      <c r="E77" s="104"/>
      <c r="F77" s="104"/>
      <c r="G77" s="104"/>
      <c r="H77" s="104"/>
      <c r="I77" s="25"/>
      <c r="J77" s="25"/>
      <c r="K77" s="25"/>
      <c r="L77" s="25"/>
      <c r="M77" s="25"/>
      <c r="N77" s="25"/>
      <c r="O77" s="25"/>
      <c r="P77" s="25"/>
      <c r="Q77" s="25"/>
      <c r="R77" s="25"/>
      <c r="S77" s="25"/>
      <c r="T77" s="25"/>
      <c r="U77" s="25"/>
      <c r="V77" s="25"/>
      <c r="W77" s="25"/>
      <c r="X77" s="25"/>
      <c r="Y77" s="22"/>
    </row>
    <row r="78" spans="2:26" ht="13.5" customHeight="1" x14ac:dyDescent="0.2">
      <c r="D78" s="391" t="s">
        <v>239</v>
      </c>
      <c r="E78" s="392"/>
      <c r="F78" s="392"/>
      <c r="G78" s="392"/>
      <c r="H78" s="392"/>
      <c r="I78" s="392"/>
      <c r="J78" s="392"/>
      <c r="K78" s="392"/>
      <c r="L78" s="392"/>
      <c r="M78" s="392"/>
      <c r="N78" s="392"/>
      <c r="O78" s="393"/>
      <c r="P78" s="389" t="s">
        <v>5</v>
      </c>
      <c r="Q78" s="360"/>
      <c r="R78" s="360"/>
      <c r="S78" s="360"/>
      <c r="T78" s="390"/>
      <c r="U78" s="389" t="s">
        <v>22</v>
      </c>
      <c r="V78" s="360"/>
      <c r="W78" s="360"/>
      <c r="X78" s="360"/>
      <c r="Y78" s="360"/>
      <c r="Z78" s="390"/>
    </row>
    <row r="79" spans="2:26" x14ac:dyDescent="0.2">
      <c r="D79" s="394"/>
      <c r="E79" s="395"/>
      <c r="F79" s="395"/>
      <c r="G79" s="395"/>
      <c r="H79" s="395"/>
      <c r="I79" s="395"/>
      <c r="J79" s="395"/>
      <c r="K79" s="395"/>
      <c r="L79" s="395"/>
      <c r="M79" s="395"/>
      <c r="N79" s="395"/>
      <c r="O79" s="396"/>
      <c r="P79" s="397"/>
      <c r="Q79" s="398"/>
      <c r="R79" s="398"/>
      <c r="S79" s="398"/>
      <c r="T79" s="399"/>
      <c r="U79" s="397"/>
      <c r="V79" s="398"/>
      <c r="W79" s="398"/>
      <c r="X79" s="398"/>
      <c r="Y79" s="398"/>
      <c r="Z79" s="399"/>
    </row>
    <row r="80" spans="2:26" x14ac:dyDescent="0.2">
      <c r="D80" s="394"/>
      <c r="E80" s="395"/>
      <c r="F80" s="395"/>
      <c r="G80" s="395"/>
      <c r="H80" s="395"/>
      <c r="I80" s="395"/>
      <c r="J80" s="395"/>
      <c r="K80" s="395"/>
      <c r="L80" s="395"/>
      <c r="M80" s="395"/>
      <c r="N80" s="395"/>
      <c r="O80" s="396"/>
      <c r="P80" s="397"/>
      <c r="Q80" s="398"/>
      <c r="R80" s="398"/>
      <c r="S80" s="398"/>
      <c r="T80" s="399"/>
      <c r="U80" s="397"/>
      <c r="V80" s="398"/>
      <c r="W80" s="398"/>
      <c r="X80" s="398"/>
      <c r="Y80" s="398"/>
      <c r="Z80" s="399"/>
    </row>
    <row r="81" spans="1:28" x14ac:dyDescent="0.2">
      <c r="D81" s="394"/>
      <c r="E81" s="395"/>
      <c r="F81" s="395"/>
      <c r="G81" s="395"/>
      <c r="H81" s="395"/>
      <c r="I81" s="395"/>
      <c r="J81" s="395"/>
      <c r="K81" s="395"/>
      <c r="L81" s="395"/>
      <c r="M81" s="395"/>
      <c r="N81" s="395"/>
      <c r="O81" s="396"/>
      <c r="P81" s="397"/>
      <c r="Q81" s="398"/>
      <c r="R81" s="398"/>
      <c r="S81" s="398"/>
      <c r="T81" s="399"/>
      <c r="U81" s="397"/>
      <c r="V81" s="398"/>
      <c r="W81" s="398"/>
      <c r="X81" s="398"/>
      <c r="Y81" s="398"/>
      <c r="Z81" s="399"/>
    </row>
    <row r="82" spans="1:28" x14ac:dyDescent="0.2">
      <c r="D82" s="394"/>
      <c r="E82" s="395"/>
      <c r="F82" s="395"/>
      <c r="G82" s="395"/>
      <c r="H82" s="395"/>
      <c r="I82" s="395"/>
      <c r="J82" s="395"/>
      <c r="K82" s="395"/>
      <c r="L82" s="395"/>
      <c r="M82" s="395"/>
      <c r="N82" s="395"/>
      <c r="O82" s="396"/>
      <c r="P82" s="397"/>
      <c r="Q82" s="398"/>
      <c r="R82" s="398"/>
      <c r="S82" s="398"/>
      <c r="T82" s="399"/>
      <c r="U82" s="397"/>
      <c r="V82" s="398"/>
      <c r="W82" s="398"/>
      <c r="X82" s="398"/>
      <c r="Y82" s="398"/>
      <c r="Z82" s="399"/>
    </row>
    <row r="83" spans="1:28" x14ac:dyDescent="0.2">
      <c r="D83" s="394"/>
      <c r="E83" s="395"/>
      <c r="F83" s="395"/>
      <c r="G83" s="395"/>
      <c r="H83" s="395"/>
      <c r="I83" s="395"/>
      <c r="J83" s="395"/>
      <c r="K83" s="395"/>
      <c r="L83" s="395"/>
      <c r="M83" s="395"/>
      <c r="N83" s="395"/>
      <c r="O83" s="396"/>
      <c r="P83" s="397"/>
      <c r="Q83" s="398"/>
      <c r="R83" s="398"/>
      <c r="S83" s="398"/>
      <c r="T83" s="399"/>
      <c r="U83" s="397"/>
      <c r="V83" s="398"/>
      <c r="W83" s="398"/>
      <c r="X83" s="398"/>
      <c r="Y83" s="398"/>
      <c r="Z83" s="399"/>
    </row>
    <row r="84" spans="1:28" ht="6.75" customHeight="1" x14ac:dyDescent="0.2">
      <c r="D84" s="104"/>
      <c r="E84" s="104"/>
      <c r="F84" s="104"/>
      <c r="G84" s="104"/>
      <c r="H84" s="104"/>
      <c r="I84" s="105"/>
      <c r="J84" s="105"/>
      <c r="K84" s="105"/>
      <c r="L84" s="105"/>
      <c r="M84" s="105"/>
      <c r="N84" s="105"/>
      <c r="O84" s="105"/>
      <c r="P84" s="105"/>
      <c r="Q84" s="105"/>
      <c r="R84" s="105"/>
      <c r="S84" s="105"/>
      <c r="T84" s="105"/>
      <c r="U84" s="105"/>
      <c r="V84" s="105"/>
      <c r="W84" s="105"/>
      <c r="X84" s="105"/>
      <c r="Y84" s="22"/>
    </row>
    <row r="85" spans="1:28" x14ac:dyDescent="0.2">
      <c r="B85" s="93"/>
      <c r="C85" s="1" t="s">
        <v>224</v>
      </c>
    </row>
    <row r="86" spans="1:28" ht="2.1" customHeight="1" x14ac:dyDescent="0.2">
      <c r="D86" s="496"/>
      <c r="E86" s="496"/>
      <c r="F86" s="496"/>
      <c r="G86" s="496"/>
      <c r="H86" s="496"/>
      <c r="I86" s="402"/>
      <c r="J86" s="402"/>
      <c r="K86" s="402"/>
      <c r="L86" s="402"/>
      <c r="M86" s="402"/>
      <c r="N86" s="402"/>
      <c r="O86" s="402"/>
      <c r="P86" s="402"/>
      <c r="Q86" s="402"/>
      <c r="R86" s="402"/>
      <c r="S86" s="402"/>
      <c r="T86" s="402"/>
      <c r="U86" s="402"/>
      <c r="V86" s="402"/>
      <c r="W86" s="402"/>
      <c r="X86" s="402"/>
      <c r="Y86" s="22" t="str">
        <f>IF(AND($I$36="その他",I86=""),"←工法を直接入力してください","")</f>
        <v/>
      </c>
    </row>
    <row r="87" spans="1:28" hidden="1" x14ac:dyDescent="0.2">
      <c r="B87" s="93"/>
      <c r="C87" s="1" t="s">
        <v>220</v>
      </c>
      <c r="E87" s="13"/>
      <c r="P87" s="24"/>
    </row>
    <row r="88" spans="1:28" x14ac:dyDescent="0.2">
      <c r="D88" s="99" t="str">
        <f>IF(B87="","",IF(B87="✔","＜実績報告時の提出書類&gt;変更後の各階平面図、配置図",""))</f>
        <v/>
      </c>
      <c r="E88" s="13"/>
      <c r="P88" s="24"/>
      <c r="AA88" s="5" t="s">
        <v>78</v>
      </c>
    </row>
    <row r="89" spans="1:28" x14ac:dyDescent="0.2">
      <c r="A89" s="1" t="s">
        <v>41</v>
      </c>
      <c r="AA89" s="5"/>
      <c r="AB89" s="4" t="s">
        <v>469</v>
      </c>
    </row>
    <row r="90" spans="1:28" x14ac:dyDescent="0.2">
      <c r="B90" s="93"/>
      <c r="C90" s="1" t="s">
        <v>156</v>
      </c>
    </row>
    <row r="91" spans="1:28" ht="7.5" customHeight="1" x14ac:dyDescent="0.2"/>
    <row r="92" spans="1:28" x14ac:dyDescent="0.2">
      <c r="B92" s="93"/>
      <c r="C92" s="1" t="s">
        <v>115</v>
      </c>
    </row>
    <row r="93" spans="1:28" x14ac:dyDescent="0.2">
      <c r="D93" s="389" t="s">
        <v>92</v>
      </c>
      <c r="E93" s="360"/>
      <c r="F93" s="360"/>
      <c r="G93" s="360"/>
      <c r="H93" s="390"/>
      <c r="I93" s="397"/>
      <c r="J93" s="398"/>
      <c r="K93" s="398"/>
      <c r="L93" s="398"/>
      <c r="M93" s="398"/>
      <c r="N93" s="398"/>
      <c r="O93" s="398"/>
      <c r="P93" s="398"/>
      <c r="Q93" s="398"/>
      <c r="R93" s="398"/>
      <c r="S93" s="398"/>
      <c r="T93" s="398"/>
      <c r="U93" s="398"/>
      <c r="V93" s="398"/>
      <c r="W93" s="398"/>
      <c r="X93" s="399"/>
      <c r="AB93" s="4" t="str">
        <f>IF(AND(B92="✔",I93=""),"←直接入力してください","")</f>
        <v/>
      </c>
    </row>
    <row r="94" spans="1:28" x14ac:dyDescent="0.2">
      <c r="B94" s="13"/>
      <c r="C94" s="13"/>
      <c r="D94" s="40" t="s">
        <v>180</v>
      </c>
      <c r="E94" s="12"/>
      <c r="F94" s="12"/>
      <c r="G94" s="12"/>
      <c r="H94" s="12"/>
      <c r="I94" s="12"/>
      <c r="J94" s="12"/>
      <c r="K94" s="12"/>
      <c r="L94" s="12"/>
      <c r="M94" s="12"/>
      <c r="N94" s="12"/>
      <c r="O94" s="12"/>
      <c r="P94" s="12"/>
      <c r="Q94" s="12"/>
      <c r="R94" s="37"/>
      <c r="S94" s="37"/>
      <c r="T94" s="37"/>
      <c r="U94" s="37"/>
      <c r="V94" s="37"/>
      <c r="W94" s="37"/>
      <c r="X94" s="37"/>
      <c r="Y94" s="37"/>
      <c r="AB94" s="4"/>
    </row>
    <row r="95" spans="1:28" x14ac:dyDescent="0.2">
      <c r="B95" s="108" t="s">
        <v>488</v>
      </c>
      <c r="C95" s="13"/>
      <c r="D95" s="13"/>
      <c r="E95" s="13"/>
      <c r="F95" s="51"/>
      <c r="G95" s="13"/>
      <c r="H95" s="13"/>
      <c r="I95" s="13"/>
      <c r="J95" s="13"/>
      <c r="L95" s="13"/>
      <c r="M95" s="13"/>
      <c r="N95" s="13"/>
      <c r="O95" s="13"/>
      <c r="P95" s="13"/>
      <c r="Q95" s="13"/>
    </row>
    <row r="96" spans="1:28" x14ac:dyDescent="0.2">
      <c r="B96" s="93"/>
      <c r="C96" s="1" t="s">
        <v>116</v>
      </c>
    </row>
    <row r="97" spans="1:39" x14ac:dyDescent="0.2">
      <c r="B97" s="485" t="str">
        <f>IF(AND(B92="✔",B96="✔"),"「プレカットを行う場合は、県内のプレカット工場で加工すること。」と「プレカットを一切使用しない。」のどちらかを✔してください。","")</f>
        <v/>
      </c>
      <c r="C97" s="485"/>
      <c r="D97" s="485"/>
      <c r="E97" s="485"/>
      <c r="F97" s="485"/>
      <c r="G97" s="485"/>
      <c r="H97" s="485"/>
      <c r="I97" s="485"/>
      <c r="J97" s="485"/>
      <c r="K97" s="485"/>
      <c r="L97" s="485"/>
      <c r="M97" s="485"/>
      <c r="N97" s="485"/>
      <c r="O97" s="485"/>
      <c r="P97" s="485"/>
      <c r="Q97" s="485"/>
      <c r="R97" s="485"/>
      <c r="S97" s="485"/>
      <c r="T97" s="485"/>
      <c r="U97" s="485"/>
      <c r="V97" s="485"/>
      <c r="W97" s="485"/>
      <c r="X97" s="485"/>
      <c r="Y97" s="485"/>
      <c r="Z97" s="485"/>
      <c r="AA97" s="485"/>
      <c r="AB97" s="3" t="str">
        <f>IF(B97="","","×")</f>
        <v/>
      </c>
    </row>
    <row r="98" spans="1:39" x14ac:dyDescent="0.2">
      <c r="B98" s="485"/>
      <c r="C98" s="485"/>
      <c r="D98" s="485"/>
      <c r="E98" s="485"/>
      <c r="F98" s="485"/>
      <c r="G98" s="485"/>
      <c r="H98" s="485"/>
      <c r="I98" s="485"/>
      <c r="J98" s="485"/>
      <c r="K98" s="485"/>
      <c r="L98" s="485"/>
      <c r="M98" s="485"/>
      <c r="N98" s="485"/>
      <c r="O98" s="485"/>
      <c r="P98" s="485"/>
      <c r="Q98" s="485"/>
      <c r="R98" s="485"/>
      <c r="S98" s="485"/>
      <c r="T98" s="485"/>
      <c r="U98" s="485"/>
      <c r="V98" s="485"/>
      <c r="W98" s="485"/>
      <c r="X98" s="485"/>
      <c r="Y98" s="485"/>
      <c r="Z98" s="485"/>
      <c r="AA98" s="485"/>
    </row>
    <row r="99" spans="1:39" x14ac:dyDescent="0.2">
      <c r="Q99" s="1" t="s">
        <v>176</v>
      </c>
      <c r="T99" s="25"/>
    </row>
    <row r="100" spans="1:39" ht="18" customHeight="1" x14ac:dyDescent="0.2">
      <c r="D100" s="389" t="s">
        <v>57</v>
      </c>
      <c r="E100" s="360"/>
      <c r="F100" s="360"/>
      <c r="G100" s="360"/>
      <c r="H100" s="360"/>
      <c r="I100" s="360"/>
      <c r="J100" s="360"/>
      <c r="K100" s="360"/>
      <c r="L100" s="360"/>
      <c r="M100" s="360"/>
      <c r="N100" s="360"/>
      <c r="O100" s="360"/>
      <c r="P100" s="390"/>
      <c r="Q100" s="389" t="s">
        <v>56</v>
      </c>
      <c r="R100" s="360"/>
      <c r="S100" s="360"/>
      <c r="T100" s="390"/>
      <c r="U100" s="515" t="str">
        <f>IF(I31="併用住宅","併用住宅の場合、住宅部分の使用量","")</f>
        <v/>
      </c>
      <c r="V100" s="515"/>
      <c r="W100" s="515"/>
      <c r="X100" s="515"/>
      <c r="Y100" s="450" t="s">
        <v>101</v>
      </c>
      <c r="Z100" s="450"/>
      <c r="AA100" s="450"/>
    </row>
    <row r="101" spans="1:39" x14ac:dyDescent="0.2">
      <c r="D101" s="492" t="s">
        <v>102</v>
      </c>
      <c r="E101" s="493"/>
      <c r="F101" s="493"/>
      <c r="G101" s="493"/>
      <c r="H101" s="493"/>
      <c r="I101" s="493"/>
      <c r="J101" s="493"/>
      <c r="K101" s="493"/>
      <c r="L101" s="493"/>
      <c r="M101" s="493"/>
      <c r="N101" s="493"/>
      <c r="O101" s="493"/>
      <c r="P101" s="494"/>
      <c r="Q101" s="416"/>
      <c r="R101" s="417"/>
      <c r="S101" s="417"/>
      <c r="T101" s="418"/>
      <c r="U101" s="515"/>
      <c r="V101" s="515"/>
      <c r="W101" s="515"/>
      <c r="X101" s="515"/>
      <c r="Y101" s="503"/>
      <c r="Z101" s="503"/>
      <c r="AA101" s="503"/>
      <c r="AE101" s="1"/>
      <c r="AF101" s="1"/>
      <c r="AG101" s="1"/>
      <c r="AH101" s="26"/>
      <c r="AI101" s="27"/>
      <c r="AJ101" s="27"/>
      <c r="AK101" s="27"/>
      <c r="AL101" s="27"/>
      <c r="AM101" s="27"/>
    </row>
    <row r="102" spans="1:39" x14ac:dyDescent="0.2">
      <c r="D102" s="28"/>
      <c r="E102" s="498" t="s">
        <v>150</v>
      </c>
      <c r="F102" s="499"/>
      <c r="G102" s="499"/>
      <c r="H102" s="499"/>
      <c r="I102" s="499"/>
      <c r="J102" s="499"/>
      <c r="K102" s="499"/>
      <c r="L102" s="499"/>
      <c r="M102" s="499"/>
      <c r="N102" s="499"/>
      <c r="O102" s="499"/>
      <c r="P102" s="500"/>
      <c r="Q102" s="380"/>
      <c r="R102" s="380"/>
      <c r="S102" s="380"/>
      <c r="T102" s="380"/>
      <c r="U102" s="381"/>
      <c r="V102" s="382"/>
      <c r="W102" s="382"/>
      <c r="X102" s="497"/>
      <c r="Y102" s="419" t="str">
        <f>IF(OR(I31="",Q101=""),"",(IF(I31="専用住宅",IF(Q102&gt;=10,15,Q102),IF(I31="併用住宅",IF(U102&gt;=10,15,U102)))))</f>
        <v/>
      </c>
      <c r="Z102" s="420"/>
      <c r="AA102" s="29" t="s">
        <v>0</v>
      </c>
      <c r="AB102" s="321" t="str">
        <f t="shared" ref="AB102" si="0">Y102</f>
        <v/>
      </c>
      <c r="AE102" s="1"/>
      <c r="AF102" s="1"/>
      <c r="AG102" s="1"/>
      <c r="AH102" s="26"/>
      <c r="AI102" s="27"/>
      <c r="AJ102" s="27"/>
      <c r="AK102" s="27"/>
      <c r="AL102" s="27"/>
      <c r="AM102" s="27"/>
    </row>
    <row r="103" spans="1:39" x14ac:dyDescent="0.2">
      <c r="D103" s="28"/>
      <c r="E103" s="30"/>
      <c r="F103" s="492" t="s">
        <v>481</v>
      </c>
      <c r="G103" s="501"/>
      <c r="H103" s="501"/>
      <c r="I103" s="501"/>
      <c r="J103" s="501"/>
      <c r="K103" s="501"/>
      <c r="L103" s="501"/>
      <c r="M103" s="501"/>
      <c r="N103" s="501"/>
      <c r="O103" s="501"/>
      <c r="P103" s="502"/>
      <c r="Q103" s="380"/>
      <c r="R103" s="380"/>
      <c r="S103" s="380"/>
      <c r="T103" s="380"/>
      <c r="U103" s="381"/>
      <c r="V103" s="382"/>
      <c r="W103" s="382"/>
      <c r="X103" s="497"/>
      <c r="Y103" s="419" t="str">
        <f>IF(I31="","",IF(I31="専用住宅",IF(Q103&gt;=25,25,Q103),IF(I31="併用住宅",IF(U103&gt;=25,25,U103))))</f>
        <v/>
      </c>
      <c r="Z103" s="420"/>
      <c r="AA103" s="29" t="s">
        <v>0</v>
      </c>
      <c r="AB103" s="321" t="str">
        <f>Y103</f>
        <v/>
      </c>
      <c r="AE103" s="1"/>
      <c r="AF103" s="1"/>
      <c r="AG103" s="1"/>
      <c r="AH103" s="26"/>
      <c r="AI103" s="27"/>
      <c r="AJ103" s="27"/>
      <c r="AK103" s="27"/>
      <c r="AL103" s="27"/>
      <c r="AM103" s="27"/>
    </row>
    <row r="104" spans="1:39" x14ac:dyDescent="0.2">
      <c r="D104" s="28"/>
      <c r="E104" s="30"/>
      <c r="F104" s="322"/>
      <c r="G104" s="364" t="s">
        <v>517</v>
      </c>
      <c r="H104" s="365"/>
      <c r="I104" s="365"/>
      <c r="J104" s="365"/>
      <c r="K104" s="365"/>
      <c r="L104" s="365"/>
      <c r="M104" s="365"/>
      <c r="N104" s="365"/>
      <c r="O104" s="365"/>
      <c r="P104" s="366"/>
      <c r="Q104" s="367"/>
      <c r="R104" s="368"/>
      <c r="S104" s="368"/>
      <c r="T104" s="369"/>
      <c r="U104" s="373"/>
      <c r="V104" s="374"/>
      <c r="W104" s="374"/>
      <c r="X104" s="374"/>
      <c r="AB104" s="321" t="str">
        <f>Y107</f>
        <v/>
      </c>
      <c r="AE104" s="1"/>
      <c r="AF104" s="1"/>
      <c r="AG104" s="1"/>
      <c r="AH104" s="26"/>
      <c r="AI104" s="27"/>
      <c r="AJ104" s="27"/>
      <c r="AK104" s="27"/>
      <c r="AL104" s="27"/>
      <c r="AM104" s="27"/>
    </row>
    <row r="105" spans="1:39" x14ac:dyDescent="0.2">
      <c r="D105" s="28"/>
      <c r="E105" s="30"/>
      <c r="F105" s="322"/>
      <c r="G105" s="361" t="s">
        <v>482</v>
      </c>
      <c r="H105" s="362"/>
      <c r="I105" s="362"/>
      <c r="J105" s="362"/>
      <c r="K105" s="362"/>
      <c r="L105" s="362"/>
      <c r="M105" s="362"/>
      <c r="N105" s="362"/>
      <c r="O105" s="362"/>
      <c r="P105" s="363"/>
      <c r="Q105" s="370"/>
      <c r="R105" s="371"/>
      <c r="S105" s="371"/>
      <c r="T105" s="372"/>
      <c r="U105" s="373"/>
      <c r="V105" s="374"/>
      <c r="W105" s="374"/>
      <c r="X105" s="374"/>
      <c r="Y105" s="323"/>
      <c r="Z105" s="323"/>
      <c r="AA105" s="101"/>
      <c r="AB105" s="321"/>
      <c r="AE105" s="1"/>
      <c r="AF105" s="1"/>
      <c r="AG105" s="1"/>
      <c r="AH105" s="26" t="s">
        <v>498</v>
      </c>
      <c r="AI105" s="27">
        <f>Q104*3</f>
        <v>0</v>
      </c>
      <c r="AJ105" s="27">
        <f>U104*3</f>
        <v>0</v>
      </c>
      <c r="AK105" s="27"/>
      <c r="AL105" s="27"/>
      <c r="AM105" s="27"/>
    </row>
    <row r="106" spans="1:39" x14ac:dyDescent="0.2">
      <c r="D106" s="28"/>
      <c r="E106" s="30"/>
      <c r="F106" s="322"/>
      <c r="G106" s="364" t="s">
        <v>517</v>
      </c>
      <c r="H106" s="365"/>
      <c r="I106" s="365"/>
      <c r="J106" s="365"/>
      <c r="K106" s="365"/>
      <c r="L106" s="365"/>
      <c r="M106" s="365"/>
      <c r="N106" s="365"/>
      <c r="O106" s="365"/>
      <c r="P106" s="366"/>
      <c r="Q106" s="367"/>
      <c r="R106" s="368"/>
      <c r="S106" s="368"/>
      <c r="T106" s="369"/>
      <c r="U106" s="373"/>
      <c r="V106" s="374"/>
      <c r="W106" s="374"/>
      <c r="X106" s="374"/>
      <c r="Y106" s="323"/>
      <c r="Z106" s="323"/>
      <c r="AA106" s="101"/>
      <c r="AB106" s="321"/>
      <c r="AE106" s="1"/>
      <c r="AF106" s="1"/>
      <c r="AG106" s="1"/>
      <c r="AH106" s="26" t="s">
        <v>499</v>
      </c>
      <c r="AI106" s="27">
        <f>Q106*2</f>
        <v>0</v>
      </c>
      <c r="AJ106" s="27">
        <f>U106*2</f>
        <v>0</v>
      </c>
      <c r="AK106" s="27"/>
      <c r="AL106" s="27"/>
      <c r="AM106" s="27"/>
    </row>
    <row r="107" spans="1:39" x14ac:dyDescent="0.2">
      <c r="D107" s="28"/>
      <c r="E107" s="30"/>
      <c r="F107" s="324"/>
      <c r="G107" s="356" t="s">
        <v>483</v>
      </c>
      <c r="H107" s="357"/>
      <c r="I107" s="357"/>
      <c r="J107" s="357"/>
      <c r="K107" s="357"/>
      <c r="L107" s="357"/>
      <c r="M107" s="357"/>
      <c r="N107" s="357"/>
      <c r="O107" s="357"/>
      <c r="P107" s="375"/>
      <c r="Q107" s="370"/>
      <c r="R107" s="371"/>
      <c r="S107" s="371"/>
      <c r="T107" s="372"/>
      <c r="U107" s="373"/>
      <c r="V107" s="374"/>
      <c r="W107" s="374"/>
      <c r="X107" s="374"/>
      <c r="Y107" s="376" t="str">
        <f>IF(I31="","",IF(I31="専用住宅",IF(AI107&gt;=30,30,AI107),IF(I31="併用住宅",IF(AJ107&gt;=30,30,AJ107))))</f>
        <v/>
      </c>
      <c r="Z107" s="376"/>
      <c r="AA107" s="29" t="s">
        <v>0</v>
      </c>
      <c r="AB107" s="321"/>
      <c r="AE107" s="1"/>
      <c r="AF107" s="1"/>
      <c r="AG107" s="1"/>
      <c r="AH107" s="26"/>
      <c r="AI107" s="27">
        <f>SUM(AI105:AI106)</f>
        <v>0</v>
      </c>
      <c r="AJ107" s="27">
        <f>SUM(AJ105:AJ106)</f>
        <v>0</v>
      </c>
      <c r="AK107" s="27"/>
      <c r="AL107" s="27"/>
      <c r="AM107" s="27"/>
    </row>
    <row r="108" spans="1:39" x14ac:dyDescent="0.2">
      <c r="D108" s="28"/>
      <c r="E108" s="30"/>
      <c r="F108" s="377" t="s">
        <v>103</v>
      </c>
      <c r="G108" s="378"/>
      <c r="H108" s="378"/>
      <c r="I108" s="378"/>
      <c r="J108" s="378"/>
      <c r="K108" s="378"/>
      <c r="L108" s="378"/>
      <c r="M108" s="378"/>
      <c r="N108" s="378"/>
      <c r="O108" s="378"/>
      <c r="P108" s="379"/>
      <c r="Q108" s="380"/>
      <c r="R108" s="380"/>
      <c r="S108" s="380"/>
      <c r="T108" s="380"/>
      <c r="U108" s="381"/>
      <c r="V108" s="382"/>
      <c r="W108" s="382"/>
      <c r="X108" s="382"/>
      <c r="Y108" s="360"/>
      <c r="Z108" s="360"/>
      <c r="AA108" s="360"/>
      <c r="AE108" s="1"/>
      <c r="AF108" s="1"/>
      <c r="AG108" s="1"/>
      <c r="AH108" s="26"/>
      <c r="AI108" s="27"/>
      <c r="AJ108" s="27"/>
      <c r="AK108" s="27"/>
      <c r="AL108" s="27"/>
      <c r="AM108" s="27"/>
    </row>
    <row r="109" spans="1:39" x14ac:dyDescent="0.2">
      <c r="D109" s="8"/>
      <c r="E109" s="31"/>
      <c r="F109" s="377" t="s">
        <v>104</v>
      </c>
      <c r="G109" s="378"/>
      <c r="H109" s="378"/>
      <c r="I109" s="378"/>
      <c r="J109" s="378"/>
      <c r="K109" s="378"/>
      <c r="L109" s="378"/>
      <c r="M109" s="378"/>
      <c r="N109" s="378"/>
      <c r="O109" s="378"/>
      <c r="P109" s="379"/>
      <c r="Q109" s="475"/>
      <c r="R109" s="475"/>
      <c r="S109" s="475"/>
      <c r="T109" s="475"/>
      <c r="U109" s="474"/>
      <c r="V109" s="474"/>
      <c r="W109" s="474"/>
      <c r="X109" s="474"/>
      <c r="Y109" s="513" t="str">
        <f>IF(OR(I31="",AND(Q108="",Q109="")),"",MIN(IF(AND(I31="専用住宅",Q108&gt;=1),5,IF(AND(I31="併用住宅",U108&gt;=1),5,0))+IF(AND(I31="専用住宅",Q109&gt;=1),INT(Q109)*0.3,IF(AND(I31="併用住宅",U109&gt;=1),INT(U109)*0.3,0)),20))</f>
        <v/>
      </c>
      <c r="Z109" s="513"/>
      <c r="AA109" s="29" t="s">
        <v>0</v>
      </c>
      <c r="AB109" s="321" t="str">
        <f>Y109</f>
        <v/>
      </c>
      <c r="AE109" s="1"/>
      <c r="AF109" s="1"/>
      <c r="AG109" s="1"/>
      <c r="AH109" s="26"/>
      <c r="AI109" s="27"/>
      <c r="AJ109" s="27"/>
      <c r="AK109" s="27"/>
      <c r="AL109" s="27"/>
      <c r="AM109" s="27"/>
    </row>
    <row r="110" spans="1:39" ht="18" customHeight="1" x14ac:dyDescent="0.2">
      <c r="E110" s="13"/>
      <c r="X110" s="32" t="s">
        <v>77</v>
      </c>
      <c r="Y110" s="359" t="str">
        <f>IF(Y102="","",IF(AND(B20="✔",B23="✔",B40="✔",B45="✔",B50="✔",B90="✔",OR(B92="✔",B96="✔"),B97=""),SUM(Y102:Z109),0))</f>
        <v/>
      </c>
      <c r="Z110" s="359"/>
      <c r="AA110" s="29" t="s">
        <v>0</v>
      </c>
      <c r="AB110" s="4" t="str">
        <f>IF(AND(Y110=0),"←合計金額が算出されない場合は、前のページにチェック漏れ等がありますので御確認ください。","")</f>
        <v/>
      </c>
    </row>
    <row r="111" spans="1:39" x14ac:dyDescent="0.2">
      <c r="A111" s="14" t="s">
        <v>157</v>
      </c>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row>
    <row r="112" spans="1:39" x14ac:dyDescent="0.2">
      <c r="A112" s="14"/>
      <c r="B112" s="42" t="s">
        <v>487</v>
      </c>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row>
    <row r="113" spans="1:55" x14ac:dyDescent="0.2">
      <c r="A113" s="14" t="s">
        <v>500</v>
      </c>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55" x14ac:dyDescent="0.2">
      <c r="A114" s="14"/>
      <c r="B114" s="42" t="s">
        <v>492</v>
      </c>
      <c r="C114" s="14"/>
      <c r="D114" s="14"/>
      <c r="E114" s="14"/>
      <c r="F114" s="14"/>
      <c r="G114" s="14"/>
      <c r="H114" s="14"/>
      <c r="I114" s="14"/>
      <c r="J114" s="14"/>
      <c r="K114" s="14"/>
      <c r="L114" s="14"/>
      <c r="M114" s="14"/>
      <c r="N114" s="14"/>
    </row>
    <row r="115" spans="1:55" x14ac:dyDescent="0.2">
      <c r="A115" s="14"/>
      <c r="C115" s="14"/>
      <c r="D115" s="14"/>
      <c r="E115" s="14"/>
      <c r="F115" s="14"/>
      <c r="G115" s="14"/>
      <c r="H115" s="42" t="s">
        <v>484</v>
      </c>
      <c r="I115" s="14"/>
      <c r="J115" s="14"/>
      <c r="K115" s="14"/>
      <c r="L115" s="14"/>
      <c r="M115" s="14"/>
      <c r="N115" s="14"/>
    </row>
    <row r="116" spans="1:55" ht="12" customHeight="1" x14ac:dyDescent="0.2">
      <c r="A116" s="504" t="s">
        <v>518</v>
      </c>
      <c r="B116" s="504"/>
      <c r="C116" s="504"/>
      <c r="D116" s="504"/>
      <c r="E116" s="504"/>
      <c r="F116" s="504"/>
      <c r="G116" s="504"/>
      <c r="H116" s="504"/>
      <c r="I116" s="504"/>
      <c r="J116" s="504"/>
      <c r="K116" s="504"/>
      <c r="L116" s="504"/>
      <c r="M116" s="504"/>
      <c r="N116" s="504"/>
      <c r="O116" s="504"/>
      <c r="P116" s="504"/>
      <c r="Q116" s="504"/>
      <c r="R116" s="504"/>
      <c r="S116" s="504"/>
      <c r="T116" s="504"/>
      <c r="U116" s="504"/>
      <c r="V116" s="504"/>
      <c r="W116" s="504"/>
      <c r="X116" s="504"/>
      <c r="Y116" s="504"/>
      <c r="Z116" s="504"/>
      <c r="AA116" s="504"/>
    </row>
    <row r="117" spans="1:55" ht="12" customHeight="1" x14ac:dyDescent="0.2">
      <c r="A117" s="504"/>
      <c r="B117" s="504"/>
      <c r="C117" s="504"/>
      <c r="D117" s="504"/>
      <c r="E117" s="504"/>
      <c r="F117" s="504"/>
      <c r="G117" s="504"/>
      <c r="H117" s="504"/>
      <c r="I117" s="504"/>
      <c r="J117" s="504"/>
      <c r="K117" s="504"/>
      <c r="L117" s="504"/>
      <c r="M117" s="504"/>
      <c r="N117" s="504"/>
      <c r="O117" s="504"/>
      <c r="P117" s="504"/>
      <c r="Q117" s="504"/>
      <c r="R117" s="504"/>
      <c r="S117" s="504"/>
      <c r="T117" s="504"/>
      <c r="U117" s="504"/>
      <c r="V117" s="504"/>
      <c r="W117" s="504"/>
      <c r="X117" s="504"/>
      <c r="Y117" s="504"/>
      <c r="Z117" s="504"/>
      <c r="AA117" s="504"/>
    </row>
    <row r="118" spans="1:55" x14ac:dyDescent="0.2">
      <c r="A118" s="14"/>
      <c r="B118" s="42" t="s">
        <v>519</v>
      </c>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row>
    <row r="119" spans="1:55" x14ac:dyDescent="0.2">
      <c r="A119" s="14" t="s">
        <v>158</v>
      </c>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row>
    <row r="120" spans="1:55" x14ac:dyDescent="0.2">
      <c r="A120" s="14"/>
      <c r="B120" s="42" t="s">
        <v>121</v>
      </c>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55" x14ac:dyDescent="0.2">
      <c r="A121" s="14" t="s">
        <v>490</v>
      </c>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55" x14ac:dyDescent="0.2">
      <c r="A122" s="14"/>
      <c r="B122" s="42" t="s">
        <v>147</v>
      </c>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55" x14ac:dyDescent="0.2">
      <c r="A123" s="14"/>
      <c r="C123" s="14"/>
      <c r="D123" s="14"/>
      <c r="E123" s="14"/>
      <c r="F123" s="14"/>
      <c r="G123" s="14"/>
      <c r="H123" s="317" t="s">
        <v>493</v>
      </c>
      <c r="I123" s="14"/>
      <c r="J123" s="14"/>
      <c r="K123" s="14"/>
      <c r="L123" s="14"/>
      <c r="M123" s="14"/>
      <c r="N123" s="14"/>
      <c r="O123" s="14"/>
      <c r="P123" s="14"/>
      <c r="Q123" s="14"/>
      <c r="R123" s="14"/>
      <c r="S123" s="14"/>
      <c r="T123" s="14"/>
      <c r="U123" s="14"/>
      <c r="V123" s="14"/>
      <c r="W123" s="14"/>
      <c r="X123" s="14"/>
      <c r="Y123" s="14"/>
      <c r="Z123" s="14"/>
      <c r="AA123" s="14"/>
    </row>
    <row r="124" spans="1:55" x14ac:dyDescent="0.2">
      <c r="A124" s="14"/>
      <c r="C124" s="14"/>
      <c r="D124" s="14"/>
      <c r="E124" s="14"/>
      <c r="F124" s="14"/>
      <c r="G124" s="14"/>
      <c r="H124" s="317" t="s">
        <v>489</v>
      </c>
      <c r="I124" s="14"/>
      <c r="J124" s="14"/>
      <c r="K124" s="14"/>
      <c r="L124" s="14"/>
      <c r="M124" s="14"/>
      <c r="N124" s="14"/>
      <c r="O124" s="14"/>
      <c r="P124" s="14"/>
      <c r="Q124" s="14"/>
      <c r="R124" s="14"/>
      <c r="S124" s="14"/>
      <c r="T124" s="14"/>
      <c r="U124" s="14"/>
      <c r="V124" s="14"/>
      <c r="W124" s="14"/>
      <c r="X124" s="14"/>
      <c r="Y124" s="14"/>
      <c r="Z124" s="14"/>
      <c r="AA124" s="14"/>
    </row>
    <row r="125" spans="1:55" x14ac:dyDescent="0.2">
      <c r="A125" s="14" t="s">
        <v>491</v>
      </c>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row>
    <row r="126" spans="1:55" ht="4.5" customHeight="1" x14ac:dyDescent="0.2">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row>
    <row r="127" spans="1:55" x14ac:dyDescent="0.2">
      <c r="A127" s="1" t="s">
        <v>203</v>
      </c>
      <c r="Y127" s="450" t="s">
        <v>101</v>
      </c>
      <c r="Z127" s="450"/>
      <c r="AA127" s="450"/>
    </row>
    <row r="128" spans="1:55" ht="14.25" customHeight="1" x14ac:dyDescent="0.2">
      <c r="B128" s="1" t="s">
        <v>61</v>
      </c>
      <c r="Y128" s="503"/>
      <c r="Z128" s="503"/>
      <c r="AA128" s="503"/>
    </row>
    <row r="129" spans="1:30" x14ac:dyDescent="0.2">
      <c r="B129" s="327" t="s">
        <v>520</v>
      </c>
      <c r="Y129" s="451" t="str">
        <f>IF(AND(Y110&lt;&gt;"",Y110&gt;=15,OR(B131="✔",P131="✔")),IF(B68="✔",0,10),"")</f>
        <v/>
      </c>
      <c r="Z129" s="452"/>
      <c r="AA129" s="29" t="s">
        <v>0</v>
      </c>
      <c r="AD129" s="3" t="s">
        <v>83</v>
      </c>
    </row>
    <row r="130" spans="1:30" ht="5.0999999999999996" customHeight="1" x14ac:dyDescent="0.2"/>
    <row r="131" spans="1:30" x14ac:dyDescent="0.2">
      <c r="B131" s="93"/>
      <c r="C131" s="1" t="s">
        <v>59</v>
      </c>
      <c r="P131" s="93"/>
      <c r="Q131" s="1" t="s">
        <v>217</v>
      </c>
    </row>
    <row r="132" spans="1:30" ht="13.5" customHeight="1" x14ac:dyDescent="0.2">
      <c r="C132" s="1" t="s">
        <v>60</v>
      </c>
      <c r="Q132" s="514"/>
      <c r="R132" s="514"/>
      <c r="S132" s="514"/>
      <c r="T132" s="514"/>
      <c r="U132" s="514"/>
      <c r="V132" s="514"/>
      <c r="W132" s="514"/>
      <c r="X132" s="514"/>
      <c r="Y132" s="514"/>
      <c r="Z132" s="514"/>
      <c r="AA132" s="514"/>
    </row>
    <row r="133" spans="1:30" ht="2.25" customHeight="1" x14ac:dyDescent="0.2">
      <c r="Q133" s="514"/>
      <c r="R133" s="514"/>
      <c r="S133" s="514"/>
      <c r="T133" s="514"/>
      <c r="U133" s="514"/>
      <c r="V133" s="514"/>
      <c r="W133" s="514"/>
      <c r="X133" s="514"/>
      <c r="Y133" s="514"/>
      <c r="Z133" s="514"/>
      <c r="AA133" s="514"/>
    </row>
    <row r="134" spans="1:30" x14ac:dyDescent="0.2">
      <c r="C134" s="13" t="s">
        <v>54</v>
      </c>
      <c r="Q134" s="13" t="s">
        <v>54</v>
      </c>
    </row>
    <row r="135" spans="1:30" x14ac:dyDescent="0.2">
      <c r="C135" s="414" t="s">
        <v>58</v>
      </c>
      <c r="D135" s="415"/>
      <c r="E135" s="415"/>
      <c r="F135" s="415"/>
      <c r="G135" s="415"/>
      <c r="H135" s="415"/>
      <c r="I135" s="415"/>
      <c r="J135" s="415"/>
      <c r="K135" s="415"/>
      <c r="L135" s="415"/>
      <c r="M135" s="415"/>
      <c r="N135" s="415"/>
      <c r="O135" s="58"/>
      <c r="P135" s="58"/>
      <c r="Q135" s="414" t="s">
        <v>55</v>
      </c>
      <c r="R135" s="414"/>
      <c r="S135" s="414"/>
      <c r="T135" s="414"/>
      <c r="U135" s="414"/>
      <c r="V135" s="414"/>
      <c r="W135" s="414"/>
      <c r="X135" s="414"/>
      <c r="Y135" s="414"/>
      <c r="Z135" s="414"/>
      <c r="AA135" s="414"/>
    </row>
    <row r="136" spans="1:30" ht="1.5" customHeight="1" x14ac:dyDescent="0.2">
      <c r="C136" s="415"/>
      <c r="D136" s="415"/>
      <c r="E136" s="415"/>
      <c r="F136" s="415"/>
      <c r="G136" s="415"/>
      <c r="H136" s="415"/>
      <c r="I136" s="415"/>
      <c r="J136" s="415"/>
      <c r="K136" s="415"/>
      <c r="L136" s="415"/>
      <c r="M136" s="415"/>
      <c r="N136" s="415"/>
      <c r="O136" s="58"/>
      <c r="P136" s="58"/>
      <c r="Q136" s="414"/>
      <c r="R136" s="414"/>
      <c r="S136" s="414"/>
      <c r="T136" s="414"/>
      <c r="U136" s="414"/>
      <c r="V136" s="414"/>
      <c r="W136" s="414"/>
      <c r="X136" s="414"/>
      <c r="Y136" s="414"/>
      <c r="Z136" s="414"/>
      <c r="AA136" s="414"/>
    </row>
    <row r="137" spans="1:30" x14ac:dyDescent="0.2">
      <c r="C137" s="42" t="s">
        <v>117</v>
      </c>
      <c r="D137" s="43"/>
      <c r="E137" s="43"/>
      <c r="F137" s="43"/>
      <c r="G137" s="43"/>
      <c r="H137" s="43"/>
      <c r="I137" s="43"/>
      <c r="J137" s="43"/>
      <c r="K137" s="43"/>
      <c r="L137" s="43"/>
      <c r="M137" s="43"/>
      <c r="N137" s="43"/>
      <c r="Q137" s="42" t="s">
        <v>117</v>
      </c>
      <c r="R137" s="43"/>
      <c r="S137" s="43"/>
      <c r="T137" s="43"/>
      <c r="U137" s="43"/>
      <c r="V137" s="43"/>
      <c r="W137" s="43"/>
      <c r="X137" s="43"/>
      <c r="Y137" s="43"/>
      <c r="Z137" s="43"/>
      <c r="AA137" s="43"/>
    </row>
    <row r="138" spans="1:30" ht="26.1" customHeight="1" x14ac:dyDescent="0.2">
      <c r="C138" s="506" t="s">
        <v>209</v>
      </c>
      <c r="D138" s="506"/>
      <c r="E138" s="506"/>
      <c r="F138" s="506"/>
      <c r="G138" s="506"/>
      <c r="H138" s="506"/>
      <c r="I138" s="506"/>
      <c r="J138" s="506"/>
      <c r="K138" s="506"/>
      <c r="L138" s="506"/>
      <c r="M138" s="506"/>
      <c r="N138" s="506"/>
      <c r="Q138" s="506" t="s">
        <v>209</v>
      </c>
      <c r="R138" s="506"/>
      <c r="S138" s="506"/>
      <c r="T138" s="506"/>
      <c r="U138" s="506"/>
      <c r="V138" s="506"/>
      <c r="W138" s="506"/>
      <c r="X138" s="506"/>
      <c r="Y138" s="506"/>
      <c r="Z138" s="506"/>
      <c r="AA138" s="506"/>
    </row>
    <row r="139" spans="1:30" ht="12.6" customHeight="1" x14ac:dyDescent="0.2">
      <c r="D139" s="34"/>
      <c r="E139" s="34"/>
      <c r="F139" s="34"/>
      <c r="G139" s="34"/>
      <c r="H139" s="34"/>
      <c r="I139" s="34"/>
      <c r="J139" s="34"/>
      <c r="K139" s="34"/>
      <c r="L139" s="34"/>
      <c r="M139" s="34"/>
      <c r="N139" s="34"/>
      <c r="Q139" s="48" t="s">
        <v>221</v>
      </c>
      <c r="R139" s="35"/>
      <c r="S139" s="35"/>
      <c r="T139" s="35"/>
      <c r="U139" s="35"/>
      <c r="V139" s="35"/>
      <c r="W139" s="35"/>
      <c r="X139" s="35"/>
      <c r="Y139" s="35"/>
      <c r="Z139" s="35"/>
      <c r="AA139" s="35"/>
    </row>
    <row r="140" spans="1:30" x14ac:dyDescent="0.2">
      <c r="C140" s="415" t="s">
        <v>84</v>
      </c>
      <c r="D140" s="415"/>
      <c r="E140" s="415"/>
      <c r="F140" s="415"/>
      <c r="G140" s="415"/>
      <c r="H140" s="415"/>
      <c r="I140" s="415"/>
      <c r="J140" s="415"/>
      <c r="K140" s="415"/>
      <c r="L140" s="415"/>
      <c r="M140" s="415"/>
      <c r="N140" s="415"/>
      <c r="O140" s="415"/>
      <c r="P140" s="415"/>
      <c r="Q140" s="415"/>
      <c r="R140" s="415"/>
      <c r="S140" s="415"/>
      <c r="T140" s="415"/>
      <c r="U140" s="415"/>
      <c r="V140" s="415"/>
      <c r="W140" s="415"/>
      <c r="X140" s="415"/>
      <c r="Y140" s="415"/>
      <c r="Z140" s="415"/>
      <c r="AA140" s="35"/>
    </row>
    <row r="141" spans="1:30" ht="12" customHeight="1" x14ac:dyDescent="0.2">
      <c r="C141" s="415"/>
      <c r="D141" s="415"/>
      <c r="E141" s="415"/>
      <c r="F141" s="415"/>
      <c r="G141" s="415"/>
      <c r="H141" s="415"/>
      <c r="I141" s="415"/>
      <c r="J141" s="415"/>
      <c r="K141" s="415"/>
      <c r="L141" s="415"/>
      <c r="M141" s="415"/>
      <c r="N141" s="415"/>
      <c r="O141" s="415"/>
      <c r="P141" s="415"/>
      <c r="Q141" s="415"/>
      <c r="R141" s="415"/>
      <c r="S141" s="415"/>
      <c r="T141" s="415"/>
      <c r="U141" s="415"/>
      <c r="V141" s="415"/>
      <c r="W141" s="415"/>
      <c r="X141" s="415"/>
      <c r="Y141" s="415"/>
      <c r="Z141" s="415"/>
      <c r="AA141" s="35"/>
    </row>
    <row r="142" spans="1:30" x14ac:dyDescent="0.2">
      <c r="A142" s="1" t="s">
        <v>204</v>
      </c>
      <c r="Y142" s="450" t="s">
        <v>101</v>
      </c>
      <c r="Z142" s="450"/>
      <c r="AA142" s="450"/>
    </row>
    <row r="143" spans="1:30" ht="13.5" customHeight="1" x14ac:dyDescent="0.2">
      <c r="B143" s="98" t="s">
        <v>524</v>
      </c>
      <c r="Y143" s="450"/>
      <c r="Z143" s="450"/>
      <c r="AA143" s="450"/>
    </row>
    <row r="144" spans="1:30" x14ac:dyDescent="0.2">
      <c r="B144" s="329" t="s">
        <v>525</v>
      </c>
      <c r="Y144" s="451" t="str">
        <f>IF(AND(Y110&gt;=15,B148="✔",B150="✔",B152="✔",B154="✔"),10,IF(AND(Y110&gt;=15,B148="✔",B150="✔",B156="✔"),10,IF(AND(B150="✔",B158="✔",B148=""),10,"")))</f>
        <v/>
      </c>
      <c r="Z144" s="452"/>
      <c r="AA144" s="29" t="s">
        <v>0</v>
      </c>
    </row>
    <row r="145" spans="2:30" x14ac:dyDescent="0.2">
      <c r="B145" s="329" t="s">
        <v>526</v>
      </c>
      <c r="Y145" s="37"/>
      <c r="Z145" s="37"/>
      <c r="AA145" s="101"/>
    </row>
    <row r="146" spans="2:30" x14ac:dyDescent="0.2">
      <c r="B146" s="329" t="s">
        <v>527</v>
      </c>
      <c r="Y146" s="37"/>
      <c r="Z146" s="37"/>
      <c r="AA146" s="101"/>
    </row>
    <row r="147" spans="2:30" ht="5.0999999999999996" customHeight="1" x14ac:dyDescent="0.2"/>
    <row r="148" spans="2:30" x14ac:dyDescent="0.2">
      <c r="B148" s="93"/>
      <c r="C148" s="98" t="s">
        <v>521</v>
      </c>
      <c r="AD148" s="3" t="s">
        <v>83</v>
      </c>
    </row>
    <row r="149" spans="2:30" ht="6.9" customHeight="1" x14ac:dyDescent="0.2"/>
    <row r="150" spans="2:30" x14ac:dyDescent="0.2">
      <c r="B150" s="93"/>
      <c r="C150" s="98" t="s">
        <v>522</v>
      </c>
    </row>
    <row r="151" spans="2:30" x14ac:dyDescent="0.2">
      <c r="C151" s="13" t="s">
        <v>197</v>
      </c>
    </row>
    <row r="152" spans="2:30" x14ac:dyDescent="0.2">
      <c r="B152" s="93"/>
      <c r="C152" s="98" t="s">
        <v>523</v>
      </c>
    </row>
    <row r="153" spans="2:30" x14ac:dyDescent="0.2">
      <c r="C153" s="13" t="s">
        <v>148</v>
      </c>
    </row>
    <row r="154" spans="2:30" x14ac:dyDescent="0.2">
      <c r="B154" s="93"/>
      <c r="C154" s="1" t="s">
        <v>211</v>
      </c>
    </row>
    <row r="155" spans="2:30" ht="6.9" customHeight="1" x14ac:dyDescent="0.2"/>
    <row r="156" spans="2:30" x14ac:dyDescent="0.2">
      <c r="B156" s="93"/>
      <c r="C156" s="1" t="s">
        <v>212</v>
      </c>
    </row>
    <row r="157" spans="2:30" ht="6" customHeight="1" x14ac:dyDescent="0.2"/>
    <row r="158" spans="2:30" x14ac:dyDescent="0.2">
      <c r="B158" s="93"/>
      <c r="C158" s="1" t="s">
        <v>225</v>
      </c>
    </row>
    <row r="159" spans="2:30" x14ac:dyDescent="0.2">
      <c r="B159" s="505" t="s">
        <v>161</v>
      </c>
      <c r="C159" s="505"/>
      <c r="D159" s="505"/>
      <c r="E159" s="505"/>
      <c r="F159" s="505"/>
      <c r="G159" s="505"/>
      <c r="H159" s="435" t="s">
        <v>165</v>
      </c>
      <c r="I159" s="435"/>
      <c r="J159" s="435"/>
      <c r="K159" s="435"/>
      <c r="L159" s="435"/>
      <c r="M159" s="435"/>
      <c r="N159" s="435"/>
      <c r="O159" s="434"/>
      <c r="P159" s="434"/>
      <c r="Q159" s="434"/>
      <c r="R159" s="434"/>
      <c r="S159" s="434"/>
      <c r="T159" s="434"/>
      <c r="U159" s="434"/>
      <c r="V159" s="434"/>
      <c r="W159" s="434"/>
      <c r="X159" s="434"/>
      <c r="Y159" s="434"/>
      <c r="Z159" s="434"/>
      <c r="AB159" s="4" t="str">
        <f>IF(AND(O159="",Y144=10),"→申請者の申請時住所の小学校区を記載してください。","")</f>
        <v/>
      </c>
    </row>
    <row r="160" spans="2:30" x14ac:dyDescent="0.2">
      <c r="B160" s="505"/>
      <c r="C160" s="505"/>
      <c r="D160" s="505"/>
      <c r="E160" s="505"/>
      <c r="F160" s="505"/>
      <c r="G160" s="505"/>
      <c r="H160" s="435" t="s">
        <v>162</v>
      </c>
      <c r="I160" s="435"/>
      <c r="J160" s="435"/>
      <c r="K160" s="435"/>
      <c r="L160" s="435"/>
      <c r="M160" s="435"/>
      <c r="N160" s="435"/>
      <c r="O160" s="434"/>
      <c r="P160" s="434"/>
      <c r="Q160" s="434"/>
      <c r="R160" s="434"/>
      <c r="S160" s="434"/>
      <c r="T160" s="434"/>
      <c r="U160" s="434"/>
      <c r="V160" s="434"/>
      <c r="W160" s="434"/>
      <c r="X160" s="434"/>
      <c r="Y160" s="434"/>
      <c r="Z160" s="434"/>
      <c r="AB160" s="4" t="str">
        <f>IF(AND(O160="",Y144=10),"→申請者の住宅建設地の小学校区を記載してください。","")</f>
        <v/>
      </c>
    </row>
    <row r="161" spans="1:30" x14ac:dyDescent="0.2">
      <c r="B161" s="489" t="s">
        <v>219</v>
      </c>
      <c r="C161" s="489"/>
      <c r="D161" s="489"/>
      <c r="E161" s="489"/>
      <c r="F161" s="489"/>
      <c r="G161" s="489"/>
      <c r="H161" s="390" t="s">
        <v>163</v>
      </c>
      <c r="I161" s="435"/>
      <c r="J161" s="435"/>
      <c r="K161" s="435"/>
      <c r="L161" s="435"/>
      <c r="M161" s="435"/>
      <c r="N161" s="435"/>
      <c r="O161" s="434"/>
      <c r="P161" s="434"/>
      <c r="Q161" s="434"/>
      <c r="R161" s="434"/>
      <c r="S161" s="434"/>
      <c r="T161" s="434"/>
      <c r="U161" s="434"/>
      <c r="V161" s="434"/>
      <c r="W161" s="434"/>
      <c r="X161" s="434"/>
      <c r="Y161" s="434"/>
      <c r="Z161" s="434"/>
      <c r="AB161" s="4" t="str">
        <f>IF(AND(O161="",Y144=10),"→同居、近居対象の親族世帯の住所を記載してください。","")</f>
        <v/>
      </c>
    </row>
    <row r="162" spans="1:30" x14ac:dyDescent="0.2">
      <c r="B162" s="489"/>
      <c r="C162" s="489"/>
      <c r="D162" s="489"/>
      <c r="E162" s="489"/>
      <c r="F162" s="489"/>
      <c r="G162" s="489"/>
      <c r="H162" s="390" t="s">
        <v>164</v>
      </c>
      <c r="I162" s="435"/>
      <c r="J162" s="435"/>
      <c r="K162" s="435"/>
      <c r="L162" s="435"/>
      <c r="M162" s="435"/>
      <c r="N162" s="435"/>
      <c r="O162" s="434"/>
      <c r="P162" s="434"/>
      <c r="Q162" s="434"/>
      <c r="R162" s="434"/>
      <c r="S162" s="434"/>
      <c r="T162" s="434"/>
      <c r="U162" s="434"/>
      <c r="V162" s="434"/>
      <c r="W162" s="434"/>
      <c r="X162" s="434"/>
      <c r="Y162" s="434"/>
      <c r="Z162" s="434"/>
      <c r="AB162" s="4" t="str">
        <f>IF(AND(O162="",Y144=10),"→同居、近居対象の親族世帯の小学校区を記載してください。","")</f>
        <v/>
      </c>
    </row>
    <row r="163" spans="1:30" x14ac:dyDescent="0.2">
      <c r="B163" s="489"/>
      <c r="C163" s="489"/>
      <c r="D163" s="489"/>
      <c r="E163" s="489"/>
      <c r="F163" s="489"/>
      <c r="G163" s="489"/>
      <c r="H163" s="435" t="s">
        <v>223</v>
      </c>
      <c r="I163" s="435"/>
      <c r="J163" s="435"/>
      <c r="K163" s="435"/>
      <c r="L163" s="435"/>
      <c r="M163" s="435"/>
      <c r="N163" s="435"/>
      <c r="O163" s="434"/>
      <c r="P163" s="434"/>
      <c r="Q163" s="434"/>
      <c r="R163" s="434"/>
      <c r="S163" s="434"/>
      <c r="T163" s="434"/>
      <c r="U163" s="434"/>
      <c r="V163" s="434"/>
      <c r="W163" s="434"/>
      <c r="X163" s="434"/>
      <c r="Y163" s="434"/>
      <c r="Z163" s="434"/>
      <c r="AB163" s="4" t="str">
        <f>IF(AND(O163="",Y144=10),"→選択してください。","")</f>
        <v/>
      </c>
    </row>
    <row r="164" spans="1:30" x14ac:dyDescent="0.2">
      <c r="C164" s="40" t="s">
        <v>117</v>
      </c>
      <c r="D164" s="33"/>
      <c r="E164" s="33"/>
      <c r="F164" s="33"/>
      <c r="G164" s="33"/>
      <c r="H164" s="33"/>
      <c r="I164" s="33"/>
      <c r="J164" s="33"/>
      <c r="K164" s="33"/>
      <c r="L164" s="33"/>
      <c r="M164" s="33"/>
      <c r="N164" s="33"/>
    </row>
    <row r="165" spans="1:30" ht="13.5" customHeight="1" x14ac:dyDescent="0.2">
      <c r="C165" s="44" t="s">
        <v>93</v>
      </c>
      <c r="D165" s="35"/>
      <c r="E165" s="35"/>
      <c r="F165" s="35"/>
      <c r="G165" s="35"/>
      <c r="H165" s="35"/>
      <c r="I165" s="35"/>
      <c r="J165" s="35"/>
      <c r="K165" s="35"/>
      <c r="L165" s="35"/>
      <c r="M165" s="35"/>
      <c r="N165" s="35"/>
    </row>
    <row r="166" spans="1:30" ht="13.5" customHeight="1" x14ac:dyDescent="0.2">
      <c r="C166" s="44" t="s">
        <v>222</v>
      </c>
      <c r="D166" s="35"/>
      <c r="E166" s="35"/>
      <c r="F166" s="35"/>
      <c r="G166" s="35"/>
      <c r="H166" s="35"/>
      <c r="I166" s="35"/>
      <c r="J166" s="35"/>
      <c r="K166" s="35"/>
      <c r="L166" s="35"/>
      <c r="M166" s="35"/>
      <c r="N166" s="35"/>
    </row>
    <row r="167" spans="1:30" x14ac:dyDescent="0.2">
      <c r="AA167" s="5" t="s">
        <v>78</v>
      </c>
    </row>
    <row r="168" spans="1:30" x14ac:dyDescent="0.2">
      <c r="A168" s="98" t="s">
        <v>528</v>
      </c>
      <c r="Y168" s="450" t="s">
        <v>101</v>
      </c>
      <c r="Z168" s="450"/>
      <c r="AA168" s="450"/>
    </row>
    <row r="169" spans="1:30" ht="12.75" customHeight="1" x14ac:dyDescent="0.2">
      <c r="B169" s="422" t="s">
        <v>529</v>
      </c>
      <c r="C169" s="422"/>
      <c r="D169" s="422"/>
      <c r="E169" s="422"/>
      <c r="F169" s="422"/>
      <c r="G169" s="422"/>
      <c r="H169" s="422"/>
      <c r="I169" s="422"/>
      <c r="J169" s="422"/>
      <c r="K169" s="422"/>
      <c r="L169" s="422"/>
      <c r="M169" s="422"/>
      <c r="N169" s="422"/>
      <c r="O169" s="422"/>
      <c r="P169" s="422"/>
      <c r="Q169" s="422"/>
      <c r="R169" s="422"/>
      <c r="S169" s="422"/>
      <c r="T169" s="422"/>
      <c r="U169" s="422"/>
      <c r="V169" s="422"/>
      <c r="W169" s="422"/>
      <c r="X169" s="423"/>
      <c r="Y169" s="450"/>
      <c r="Z169" s="450"/>
      <c r="AA169" s="450"/>
    </row>
    <row r="170" spans="1:30" x14ac:dyDescent="0.2">
      <c r="B170" s="422"/>
      <c r="C170" s="422"/>
      <c r="D170" s="422"/>
      <c r="E170" s="422"/>
      <c r="F170" s="422"/>
      <c r="G170" s="422"/>
      <c r="H170" s="422"/>
      <c r="I170" s="422"/>
      <c r="J170" s="422"/>
      <c r="K170" s="422"/>
      <c r="L170" s="422"/>
      <c r="M170" s="422"/>
      <c r="N170" s="422"/>
      <c r="O170" s="422"/>
      <c r="P170" s="422"/>
      <c r="Q170" s="422"/>
      <c r="R170" s="422"/>
      <c r="S170" s="422"/>
      <c r="T170" s="422"/>
      <c r="U170" s="422"/>
      <c r="V170" s="422"/>
      <c r="W170" s="422"/>
      <c r="X170" s="423"/>
      <c r="Y170" s="451" t="str">
        <f>IF(AND(Y110&lt;&gt;"",Y110&gt;=15,B174="✔",I36&lt;&gt;"その他",SUM(F179,F184,F191,F199,F207,F217,F224)&gt;=4),20,"")</f>
        <v/>
      </c>
      <c r="Z170" s="452"/>
      <c r="AA170" s="29" t="s">
        <v>0</v>
      </c>
    </row>
    <row r="171" spans="1:30" x14ac:dyDescent="0.2">
      <c r="B171" s="36"/>
      <c r="C171" s="439" t="s">
        <v>530</v>
      </c>
      <c r="D171" s="439"/>
      <c r="E171" s="439"/>
      <c r="F171" s="439"/>
      <c r="G171" s="439"/>
      <c r="H171" s="439"/>
      <c r="I171" s="439"/>
      <c r="J171" s="439"/>
      <c r="K171" s="439"/>
      <c r="L171" s="439"/>
      <c r="M171" s="439"/>
      <c r="N171" s="439"/>
      <c r="O171" s="439"/>
      <c r="P171" s="439"/>
      <c r="Q171" s="439"/>
      <c r="R171" s="439"/>
      <c r="S171" s="439"/>
      <c r="T171" s="439"/>
      <c r="U171" s="439"/>
      <c r="V171" s="439"/>
      <c r="W171" s="439"/>
      <c r="X171" s="439"/>
      <c r="Y171" s="439"/>
      <c r="Z171" s="439"/>
      <c r="AA171" s="439"/>
    </row>
    <row r="172" spans="1:30" ht="13.5" customHeight="1" x14ac:dyDescent="0.2">
      <c r="B172" s="36"/>
      <c r="C172" s="439"/>
      <c r="D172" s="439"/>
      <c r="E172" s="439"/>
      <c r="F172" s="439"/>
      <c r="G172" s="439"/>
      <c r="H172" s="439"/>
      <c r="I172" s="439"/>
      <c r="J172" s="439"/>
      <c r="K172" s="439"/>
      <c r="L172" s="439"/>
      <c r="M172" s="439"/>
      <c r="N172" s="439"/>
      <c r="O172" s="439"/>
      <c r="P172" s="439"/>
      <c r="Q172" s="439"/>
      <c r="R172" s="439"/>
      <c r="S172" s="439"/>
      <c r="T172" s="439"/>
      <c r="U172" s="439"/>
      <c r="V172" s="439"/>
      <c r="W172" s="439"/>
      <c r="X172" s="439"/>
      <c r="Y172" s="439"/>
      <c r="Z172" s="439"/>
      <c r="AA172" s="439"/>
    </row>
    <row r="173" spans="1:30" ht="6.9" customHeight="1" x14ac:dyDescent="0.2"/>
    <row r="174" spans="1:30" x14ac:dyDescent="0.2">
      <c r="B174" s="93"/>
      <c r="C174" s="1" t="s">
        <v>25</v>
      </c>
      <c r="H174" s="1" t="s">
        <v>199</v>
      </c>
      <c r="AD174" s="3" t="s">
        <v>83</v>
      </c>
    </row>
    <row r="175" spans="1:30" x14ac:dyDescent="0.2">
      <c r="B175" s="22" t="str">
        <f>IF(AND(I36="その他",B174="✔"),"工法が異なります","")</f>
        <v/>
      </c>
      <c r="H175" s="1" t="s">
        <v>198</v>
      </c>
    </row>
    <row r="176" spans="1:30" ht="6.9" customHeight="1" x14ac:dyDescent="0.2"/>
    <row r="177" spans="2:29" ht="13.5" customHeight="1" x14ac:dyDescent="0.2">
      <c r="B177" s="93"/>
      <c r="C177" s="1" t="s">
        <v>65</v>
      </c>
      <c r="H177" s="401" t="s">
        <v>181</v>
      </c>
      <c r="I177" s="401"/>
      <c r="J177" s="401"/>
      <c r="K177" s="401"/>
      <c r="L177" s="401"/>
      <c r="M177" s="401"/>
      <c r="N177" s="401"/>
      <c r="O177" s="401"/>
      <c r="P177" s="401"/>
      <c r="Q177" s="401"/>
      <c r="R177" s="401"/>
      <c r="S177" s="401"/>
      <c r="T177" s="401"/>
      <c r="U177" s="401"/>
      <c r="V177" s="401"/>
      <c r="W177" s="401"/>
      <c r="X177" s="401"/>
      <c r="Y177" s="401"/>
      <c r="Z177" s="401"/>
      <c r="AA177" s="401"/>
      <c r="AC177" s="3">
        <f>IF(AND(B92="",B96="✔",B177="✔"),4,0)</f>
        <v>0</v>
      </c>
    </row>
    <row r="178" spans="2:29" x14ac:dyDescent="0.2">
      <c r="C178" s="1" t="s">
        <v>97</v>
      </c>
      <c r="H178" s="401"/>
      <c r="I178" s="401"/>
      <c r="J178" s="401"/>
      <c r="K178" s="401"/>
      <c r="L178" s="401"/>
      <c r="M178" s="401"/>
      <c r="N178" s="401"/>
      <c r="O178" s="401"/>
      <c r="P178" s="401"/>
      <c r="Q178" s="401"/>
      <c r="R178" s="401"/>
      <c r="S178" s="401"/>
      <c r="T178" s="401"/>
      <c r="U178" s="401"/>
      <c r="V178" s="401"/>
      <c r="W178" s="401"/>
      <c r="X178" s="401"/>
      <c r="Y178" s="401"/>
      <c r="Z178" s="401"/>
      <c r="AA178" s="401"/>
    </row>
    <row r="179" spans="2:29" x14ac:dyDescent="0.2">
      <c r="C179" s="424" t="s">
        <v>169</v>
      </c>
      <c r="D179" s="425"/>
      <c r="E179" s="426"/>
      <c r="F179" s="49" t="str">
        <f>IF(AC177=0,"",AC177)</f>
        <v/>
      </c>
      <c r="H179" s="401"/>
      <c r="I179" s="401"/>
      <c r="J179" s="401"/>
      <c r="K179" s="401"/>
      <c r="L179" s="401"/>
      <c r="M179" s="401"/>
      <c r="N179" s="401"/>
      <c r="O179" s="401"/>
      <c r="P179" s="401"/>
      <c r="Q179" s="401"/>
      <c r="R179" s="401"/>
      <c r="S179" s="401"/>
      <c r="T179" s="401"/>
      <c r="U179" s="401"/>
      <c r="V179" s="401"/>
      <c r="W179" s="401"/>
      <c r="X179" s="401"/>
      <c r="Y179" s="401"/>
      <c r="Z179" s="401"/>
      <c r="AA179" s="401"/>
    </row>
    <row r="180" spans="2:29" x14ac:dyDescent="0.2">
      <c r="C180" s="438" t="s">
        <v>186</v>
      </c>
      <c r="D180" s="438"/>
      <c r="E180" s="438"/>
      <c r="F180" s="438"/>
      <c r="G180" s="438"/>
      <c r="H180" s="438"/>
      <c r="I180" s="438"/>
      <c r="J180" s="438"/>
      <c r="K180" s="438"/>
      <c r="L180" s="438"/>
      <c r="M180" s="438"/>
      <c r="N180" s="438"/>
      <c r="O180" s="438"/>
      <c r="P180" s="438"/>
      <c r="Q180" s="438"/>
      <c r="R180" s="438"/>
      <c r="S180" s="438"/>
      <c r="T180" s="438"/>
      <c r="U180" s="438"/>
      <c r="V180" s="438"/>
      <c r="W180" s="438"/>
      <c r="X180" s="438"/>
      <c r="Y180" s="438"/>
      <c r="Z180" s="438"/>
      <c r="AA180" s="438"/>
    </row>
    <row r="181" spans="2:29" x14ac:dyDescent="0.2">
      <c r="H181" s="36"/>
      <c r="I181" s="36"/>
      <c r="J181" s="36"/>
      <c r="K181" s="36"/>
      <c r="L181" s="36"/>
      <c r="M181" s="36"/>
      <c r="N181" s="36"/>
      <c r="O181" s="36"/>
      <c r="P181" s="36"/>
      <c r="Q181" s="36"/>
      <c r="R181" s="36"/>
      <c r="S181" s="36"/>
      <c r="T181" s="36"/>
      <c r="U181" s="36"/>
      <c r="V181" s="36"/>
      <c r="W181" s="36"/>
      <c r="X181" s="36"/>
      <c r="Y181" s="36"/>
      <c r="Z181" s="36"/>
      <c r="AA181" s="36"/>
    </row>
    <row r="182" spans="2:29" x14ac:dyDescent="0.2">
      <c r="B182" s="93"/>
      <c r="C182" s="1" t="s">
        <v>66</v>
      </c>
      <c r="H182" s="1" t="s">
        <v>183</v>
      </c>
      <c r="AC182" s="3">
        <f>IF(AND(B182="✔",N186&gt;=40,OR(N185="ささら子下見板",N185="押縁下見板",N185="南京下見板")),2,0)</f>
        <v>0</v>
      </c>
    </row>
    <row r="183" spans="2:29" x14ac:dyDescent="0.2">
      <c r="C183" s="1" t="s">
        <v>98</v>
      </c>
      <c r="H183" s="402" t="s">
        <v>69</v>
      </c>
      <c r="I183" s="402"/>
      <c r="J183" s="402"/>
      <c r="K183" s="402"/>
      <c r="L183" s="402"/>
      <c r="M183" s="402"/>
      <c r="N183" s="402"/>
      <c r="O183" s="402"/>
      <c r="P183" s="402" t="s">
        <v>63</v>
      </c>
      <c r="Q183" s="402"/>
      <c r="R183" s="402"/>
      <c r="S183" s="402"/>
      <c r="T183" s="402"/>
      <c r="U183" s="402"/>
      <c r="V183" s="402"/>
      <c r="W183" s="402"/>
      <c r="X183" s="402"/>
      <c r="Y183" s="402"/>
      <c r="Z183" s="402"/>
      <c r="AA183" s="402"/>
    </row>
    <row r="184" spans="2:29" x14ac:dyDescent="0.2">
      <c r="C184" s="389" t="s">
        <v>169</v>
      </c>
      <c r="D184" s="360"/>
      <c r="E184" s="390"/>
      <c r="F184" s="49" t="str">
        <f>IF(AC182=0,"",AC182)</f>
        <v/>
      </c>
      <c r="H184" s="402" t="s">
        <v>70</v>
      </c>
      <c r="I184" s="402"/>
      <c r="J184" s="402"/>
      <c r="K184" s="402"/>
      <c r="L184" s="402"/>
      <c r="M184" s="402"/>
      <c r="N184" s="402"/>
      <c r="O184" s="402"/>
      <c r="P184" s="402" t="s">
        <v>64</v>
      </c>
      <c r="Q184" s="402"/>
      <c r="R184" s="402"/>
      <c r="S184" s="402"/>
      <c r="T184" s="402"/>
      <c r="U184" s="402"/>
      <c r="V184" s="402"/>
      <c r="W184" s="402"/>
      <c r="X184" s="402"/>
      <c r="Y184" s="402"/>
      <c r="Z184" s="402"/>
      <c r="AA184" s="402"/>
    </row>
    <row r="185" spans="2:29" x14ac:dyDescent="0.2">
      <c r="H185" s="1" t="s">
        <v>111</v>
      </c>
      <c r="N185" s="397"/>
      <c r="O185" s="398"/>
      <c r="P185" s="398"/>
      <c r="Q185" s="398"/>
      <c r="R185" s="398"/>
      <c r="S185" s="399"/>
      <c r="AB185" s="4" t="str">
        <f>IF(AND(B182="✔",N185=""),"←リストから選択してください（ささら子下見板、押縁下見板、南京下見板）","")</f>
        <v/>
      </c>
    </row>
    <row r="186" spans="2:29" x14ac:dyDescent="0.2">
      <c r="H186" s="13" t="s">
        <v>112</v>
      </c>
      <c r="N186" s="486"/>
      <c r="O186" s="456"/>
      <c r="P186" s="487"/>
      <c r="AB186" s="4" t="str">
        <f>IF(AND(B182="✔",N186=""),"←施工面積を入力してください。","")</f>
        <v/>
      </c>
    </row>
    <row r="187" spans="2:29" x14ac:dyDescent="0.2">
      <c r="C187" s="488" t="s">
        <v>187</v>
      </c>
      <c r="D187" s="488"/>
      <c r="E187" s="488"/>
      <c r="F187" s="488"/>
      <c r="G187" s="488"/>
      <c r="H187" s="488"/>
      <c r="I187" s="488"/>
      <c r="J187" s="488"/>
      <c r="K187" s="488"/>
      <c r="L187" s="488"/>
      <c r="M187" s="488"/>
      <c r="N187" s="488"/>
      <c r="O187" s="488"/>
      <c r="P187" s="488"/>
      <c r="Q187" s="488"/>
      <c r="R187" s="488"/>
      <c r="S187" s="488"/>
      <c r="T187" s="488"/>
      <c r="U187" s="488"/>
      <c r="V187" s="488"/>
      <c r="W187" s="488"/>
      <c r="X187" s="488"/>
      <c r="Y187" s="488"/>
      <c r="Z187" s="488"/>
      <c r="AA187" s="488"/>
    </row>
    <row r="188" spans="2:29" ht="8.1" customHeight="1" x14ac:dyDescent="0.2"/>
    <row r="189" spans="2:29" x14ac:dyDescent="0.2">
      <c r="B189" s="93"/>
      <c r="C189" s="1" t="s">
        <v>67</v>
      </c>
      <c r="H189" s="52" t="s">
        <v>193</v>
      </c>
      <c r="AC189" s="3">
        <f>IF(AND(B189="✔",N193&gt;=40),2,IF(AND(B189="✔",N193+N194&gt;=40),1,0))</f>
        <v>0</v>
      </c>
    </row>
    <row r="190" spans="2:29" x14ac:dyDescent="0.2">
      <c r="C190" s="1" t="s">
        <v>166</v>
      </c>
      <c r="H190" s="52" t="s">
        <v>194</v>
      </c>
    </row>
    <row r="191" spans="2:29" x14ac:dyDescent="0.2">
      <c r="C191" s="424" t="s">
        <v>169</v>
      </c>
      <c r="D191" s="425"/>
      <c r="E191" s="426"/>
      <c r="F191" s="49" t="str">
        <f>IF(AC189=0,"",AC189)</f>
        <v/>
      </c>
      <c r="H191" s="1" t="s">
        <v>195</v>
      </c>
    </row>
    <row r="192" spans="2:29" x14ac:dyDescent="0.2">
      <c r="H192" s="23" t="s">
        <v>188</v>
      </c>
      <c r="AB192" s="22" t="str">
        <f>IF(AND(N193&gt;0,R193=""),"←こて塗り仕上げの材料を選択してください。",IF(AND(R193="その他のこて塗り",V193=""),"←こて塗りの材料を記載してください。",""))</f>
        <v/>
      </c>
    </row>
    <row r="193" spans="2:29" x14ac:dyDescent="0.2">
      <c r="B193" s="13" t="s">
        <v>185</v>
      </c>
      <c r="N193" s="397"/>
      <c r="O193" s="398"/>
      <c r="P193" s="399"/>
      <c r="Q193" s="1" t="s">
        <v>168</v>
      </c>
      <c r="R193" s="453" t="s">
        <v>480</v>
      </c>
      <c r="S193" s="453"/>
      <c r="T193" s="453"/>
      <c r="U193" s="453"/>
      <c r="V193" s="406"/>
      <c r="W193" s="407"/>
      <c r="X193" s="407"/>
      <c r="Y193" s="407"/>
      <c r="Z193" s="407"/>
      <c r="AB193" s="4" t="str">
        <f>IF(AND(B189="✔",N193=""),"←こて塗り（珪藻土及びじゅらく以外）の面積を入力してください。","")</f>
        <v/>
      </c>
      <c r="AC193" s="22"/>
    </row>
    <row r="194" spans="2:29" x14ac:dyDescent="0.2">
      <c r="B194" s="13" t="s">
        <v>167</v>
      </c>
      <c r="N194" s="397"/>
      <c r="O194" s="398"/>
      <c r="P194" s="399"/>
      <c r="Q194" s="1" t="s">
        <v>168</v>
      </c>
      <c r="R194" s="453" t="s">
        <v>480</v>
      </c>
      <c r="S194" s="453"/>
      <c r="T194" s="453"/>
      <c r="U194" s="453"/>
      <c r="V194" s="406"/>
      <c r="W194" s="407"/>
      <c r="X194" s="407"/>
      <c r="Y194" s="407"/>
      <c r="Z194" s="407"/>
      <c r="AB194" s="4" t="str">
        <f>IF(AND(B189="✔",N194=""),"←こて塗り（珪藻土及びじゅらく）の面積を入力してください。","")</f>
        <v/>
      </c>
      <c r="AC194" s="22"/>
    </row>
    <row r="195" spans="2:29" x14ac:dyDescent="0.2">
      <c r="C195" s="41" t="s">
        <v>189</v>
      </c>
      <c r="AB195" s="22" t="str">
        <f>IF(AND(N194&gt;0,R194=""),"こて塗り仕上げの材料を選択してください。",IF(AND(R194="その他のこて塗り",V194=""),"←こて塗りの材料を記載してください。",""))</f>
        <v/>
      </c>
    </row>
    <row r="196" spans="2:29" ht="8.1" customHeight="1" x14ac:dyDescent="0.2"/>
    <row r="197" spans="2:29" x14ac:dyDescent="0.2">
      <c r="B197" s="93"/>
      <c r="C197" s="1" t="s">
        <v>94</v>
      </c>
      <c r="H197" s="401" t="s">
        <v>95</v>
      </c>
      <c r="I197" s="401"/>
      <c r="J197" s="401"/>
      <c r="K197" s="401"/>
      <c r="L197" s="401"/>
      <c r="M197" s="401"/>
      <c r="N197" s="401"/>
      <c r="O197" s="401"/>
      <c r="P197" s="401"/>
      <c r="Q197" s="401"/>
      <c r="R197" s="401"/>
      <c r="S197" s="401"/>
      <c r="T197" s="401"/>
      <c r="U197" s="401"/>
      <c r="V197" s="401"/>
      <c r="W197" s="401"/>
      <c r="X197" s="401"/>
      <c r="Y197" s="401"/>
      <c r="Z197" s="401"/>
      <c r="AA197" s="401"/>
      <c r="AC197" s="3">
        <f>IF(AND(B197="✔",OR(N200="和瓦",N200="平板瓦",N200="S瓦")),2,0)</f>
        <v>0</v>
      </c>
    </row>
    <row r="198" spans="2:29" x14ac:dyDescent="0.2">
      <c r="C198" s="1" t="s">
        <v>98</v>
      </c>
      <c r="H198" s="401"/>
      <c r="I198" s="401"/>
      <c r="J198" s="401"/>
      <c r="K198" s="401"/>
      <c r="L198" s="401"/>
      <c r="M198" s="401"/>
      <c r="N198" s="401"/>
      <c r="O198" s="401"/>
      <c r="P198" s="401"/>
      <c r="Q198" s="401"/>
      <c r="R198" s="401"/>
      <c r="S198" s="401"/>
      <c r="T198" s="401"/>
      <c r="U198" s="401"/>
      <c r="V198" s="401"/>
      <c r="W198" s="401"/>
      <c r="X198" s="401"/>
      <c r="Y198" s="401"/>
      <c r="Z198" s="401"/>
      <c r="AA198" s="401"/>
    </row>
    <row r="199" spans="2:29" x14ac:dyDescent="0.2">
      <c r="C199" s="424" t="s">
        <v>169</v>
      </c>
      <c r="D199" s="425"/>
      <c r="E199" s="426"/>
      <c r="F199" s="49" t="str">
        <f>IF(AC197=0,"",AC197)</f>
        <v/>
      </c>
      <c r="H199" s="22" t="s">
        <v>100</v>
      </c>
      <c r="I199" s="36"/>
      <c r="J199" s="36"/>
      <c r="K199" s="36"/>
      <c r="L199" s="36"/>
      <c r="M199" s="36"/>
      <c r="N199" s="36"/>
      <c r="O199" s="36"/>
      <c r="P199" s="36"/>
      <c r="Q199" s="36"/>
      <c r="R199" s="36"/>
      <c r="S199" s="36"/>
      <c r="T199" s="36"/>
      <c r="U199" s="36"/>
      <c r="V199" s="36"/>
      <c r="W199" s="36"/>
      <c r="X199" s="36"/>
      <c r="Y199" s="36"/>
      <c r="Z199" s="36"/>
      <c r="AA199" s="36"/>
    </row>
    <row r="200" spans="2:29" x14ac:dyDescent="0.2">
      <c r="I200" s="407" t="s">
        <v>105</v>
      </c>
      <c r="J200" s="407"/>
      <c r="K200" s="407"/>
      <c r="L200" s="407"/>
      <c r="M200" s="36"/>
      <c r="N200" s="394" t="s">
        <v>480</v>
      </c>
      <c r="O200" s="395"/>
      <c r="P200" s="396"/>
      <c r="Q200" s="36"/>
      <c r="R200" s="36"/>
      <c r="S200" s="36"/>
      <c r="T200" s="36"/>
      <c r="U200" s="36"/>
      <c r="V200" s="36"/>
      <c r="W200" s="36"/>
      <c r="X200" s="36"/>
      <c r="Y200" s="36"/>
      <c r="Z200" s="36"/>
      <c r="AA200" s="36"/>
      <c r="AB200" s="4" t="str">
        <f>IF(AND(B197="✔",N200=""),"←リストから選択してください（和瓦、平板瓦、S瓦）","")</f>
        <v/>
      </c>
    </row>
    <row r="201" spans="2:29" x14ac:dyDescent="0.2">
      <c r="C201" s="439" t="s">
        <v>210</v>
      </c>
      <c r="D201" s="439"/>
      <c r="E201" s="439"/>
      <c r="F201" s="439"/>
      <c r="G201" s="439"/>
      <c r="H201" s="439"/>
      <c r="I201" s="439"/>
      <c r="J201" s="439"/>
      <c r="K201" s="439"/>
      <c r="L201" s="439"/>
      <c r="M201" s="439"/>
      <c r="N201" s="439"/>
      <c r="O201" s="439"/>
      <c r="P201" s="439"/>
      <c r="Q201" s="439"/>
      <c r="R201" s="439"/>
      <c r="S201" s="439"/>
      <c r="T201" s="439"/>
      <c r="U201" s="439"/>
      <c r="V201" s="439"/>
      <c r="W201" s="439"/>
      <c r="X201" s="439"/>
      <c r="Y201" s="439"/>
      <c r="Z201" s="439"/>
      <c r="AA201" s="439"/>
    </row>
    <row r="202" spans="2:29" x14ac:dyDescent="0.2">
      <c r="C202" s="439"/>
      <c r="D202" s="439"/>
      <c r="E202" s="439"/>
      <c r="F202" s="439"/>
      <c r="G202" s="439"/>
      <c r="H202" s="439"/>
      <c r="I202" s="439"/>
      <c r="J202" s="439"/>
      <c r="K202" s="439"/>
      <c r="L202" s="439"/>
      <c r="M202" s="439"/>
      <c r="N202" s="439"/>
      <c r="O202" s="439"/>
      <c r="P202" s="439"/>
      <c r="Q202" s="439"/>
      <c r="R202" s="439"/>
      <c r="S202" s="439"/>
      <c r="T202" s="439"/>
      <c r="U202" s="439"/>
      <c r="V202" s="439"/>
      <c r="W202" s="439"/>
      <c r="X202" s="439"/>
      <c r="Y202" s="439"/>
      <c r="Z202" s="439"/>
      <c r="AA202" s="439"/>
    </row>
    <row r="203" spans="2:29" x14ac:dyDescent="0.2">
      <c r="C203" s="439"/>
      <c r="D203" s="439"/>
      <c r="E203" s="439"/>
      <c r="F203" s="439"/>
      <c r="G203" s="439"/>
      <c r="H203" s="439"/>
      <c r="I203" s="439"/>
      <c r="J203" s="439"/>
      <c r="K203" s="439"/>
      <c r="L203" s="439"/>
      <c r="M203" s="439"/>
      <c r="N203" s="439"/>
      <c r="O203" s="439"/>
      <c r="P203" s="439"/>
      <c r="Q203" s="439"/>
      <c r="R203" s="439"/>
      <c r="S203" s="439"/>
      <c r="T203" s="439"/>
      <c r="U203" s="439"/>
      <c r="V203" s="439"/>
      <c r="W203" s="439"/>
      <c r="X203" s="439"/>
      <c r="Y203" s="439"/>
      <c r="Z203" s="439"/>
      <c r="AA203" s="439"/>
    </row>
    <row r="204" spans="2:29" ht="6" customHeight="1" x14ac:dyDescent="0.2"/>
    <row r="205" spans="2:29" x14ac:dyDescent="0.2">
      <c r="B205" s="93"/>
      <c r="C205" s="1" t="s">
        <v>68</v>
      </c>
      <c r="H205" s="401" t="s">
        <v>184</v>
      </c>
      <c r="I205" s="401"/>
      <c r="J205" s="401"/>
      <c r="K205" s="401"/>
      <c r="L205" s="401"/>
      <c r="M205" s="401"/>
      <c r="N205" s="401"/>
      <c r="O205" s="401"/>
      <c r="P205" s="401"/>
      <c r="Q205" s="401"/>
      <c r="R205" s="401"/>
      <c r="S205" s="401"/>
      <c r="T205" s="401"/>
      <c r="U205" s="401"/>
      <c r="V205" s="401"/>
      <c r="W205" s="401"/>
      <c r="X205" s="401"/>
      <c r="Y205" s="401"/>
      <c r="Z205" s="401"/>
      <c r="AA205" s="401"/>
      <c r="AC205" s="3">
        <f>IF(AND(B205="✔",N210&gt;=10),2,IF(AND(B205="✔",N210&gt;=5),1,0))</f>
        <v>0</v>
      </c>
    </row>
    <row r="206" spans="2:29" x14ac:dyDescent="0.2">
      <c r="C206" s="1" t="s">
        <v>99</v>
      </c>
      <c r="H206" s="401"/>
      <c r="I206" s="401"/>
      <c r="J206" s="401"/>
      <c r="K206" s="401"/>
      <c r="L206" s="401"/>
      <c r="M206" s="401"/>
      <c r="N206" s="401"/>
      <c r="O206" s="401"/>
      <c r="P206" s="401"/>
      <c r="Q206" s="401"/>
      <c r="R206" s="401"/>
      <c r="S206" s="401"/>
      <c r="T206" s="401"/>
      <c r="U206" s="401"/>
      <c r="V206" s="401"/>
      <c r="W206" s="401"/>
      <c r="X206" s="401"/>
      <c r="Y206" s="401"/>
      <c r="Z206" s="401"/>
      <c r="AA206" s="401"/>
    </row>
    <row r="207" spans="2:29" x14ac:dyDescent="0.2">
      <c r="C207" s="424" t="s">
        <v>169</v>
      </c>
      <c r="D207" s="425"/>
      <c r="E207" s="426"/>
      <c r="F207" s="49" t="str">
        <f>IF(AC205=0,"",AC205)</f>
        <v/>
      </c>
      <c r="H207" s="401"/>
      <c r="I207" s="401"/>
      <c r="J207" s="401"/>
      <c r="K207" s="401"/>
      <c r="L207" s="401"/>
      <c r="M207" s="401"/>
      <c r="N207" s="401"/>
      <c r="O207" s="401"/>
      <c r="P207" s="401"/>
      <c r="Q207" s="401"/>
      <c r="R207" s="401"/>
      <c r="S207" s="401"/>
      <c r="T207" s="401"/>
      <c r="U207" s="401"/>
      <c r="V207" s="401"/>
      <c r="W207" s="401"/>
      <c r="X207" s="401"/>
      <c r="Y207" s="401"/>
      <c r="Z207" s="401"/>
      <c r="AA207" s="401"/>
    </row>
    <row r="208" spans="2:29" ht="13.5" hidden="1" customHeight="1" x14ac:dyDescent="0.2">
      <c r="H208" s="402"/>
      <c r="I208" s="402"/>
      <c r="J208" s="402"/>
      <c r="K208" s="402"/>
      <c r="L208" s="402"/>
      <c r="M208" s="402"/>
      <c r="N208" s="402"/>
      <c r="O208" s="402"/>
      <c r="P208" s="401"/>
      <c r="Q208" s="401"/>
      <c r="R208" s="401"/>
      <c r="S208" s="401"/>
      <c r="T208" s="401"/>
      <c r="U208" s="401"/>
      <c r="V208" s="401"/>
      <c r="W208" s="401"/>
      <c r="X208" s="401"/>
      <c r="Y208" s="401"/>
      <c r="Z208" s="401"/>
      <c r="AA208" s="401"/>
    </row>
    <row r="209" spans="2:29" hidden="1" x14ac:dyDescent="0.2">
      <c r="H209" s="402"/>
      <c r="I209" s="402"/>
      <c r="J209" s="402"/>
      <c r="K209" s="402"/>
      <c r="L209" s="402"/>
      <c r="M209" s="402"/>
      <c r="N209" s="402"/>
      <c r="O209" s="402"/>
      <c r="P209" s="402"/>
      <c r="Q209" s="402"/>
      <c r="R209" s="402"/>
      <c r="S209" s="402"/>
      <c r="T209" s="402"/>
      <c r="U209" s="402"/>
      <c r="V209" s="402"/>
      <c r="W209" s="402"/>
      <c r="X209" s="402"/>
      <c r="Y209" s="402"/>
      <c r="Z209" s="402"/>
      <c r="AA209" s="402"/>
    </row>
    <row r="210" spans="2:29" x14ac:dyDescent="0.2">
      <c r="G210" s="1" t="s">
        <v>106</v>
      </c>
      <c r="N210" s="397"/>
      <c r="O210" s="398"/>
      <c r="P210" s="399"/>
      <c r="Q210" s="1" t="s">
        <v>96</v>
      </c>
      <c r="AB210" s="4" t="str">
        <f>IF(AND(B205="✔",N210=""),"←見付面積を入力してください。","")</f>
        <v/>
      </c>
    </row>
    <row r="211" spans="2:29" x14ac:dyDescent="0.2">
      <c r="C211" s="439" t="s">
        <v>190</v>
      </c>
      <c r="D211" s="439"/>
      <c r="E211" s="439"/>
      <c r="F211" s="439"/>
      <c r="G211" s="439"/>
      <c r="H211" s="439"/>
      <c r="I211" s="439"/>
      <c r="J211" s="439"/>
      <c r="K211" s="439"/>
      <c r="L211" s="439"/>
      <c r="M211" s="439"/>
      <c r="N211" s="439"/>
      <c r="O211" s="439"/>
      <c r="P211" s="439"/>
      <c r="Q211" s="439"/>
      <c r="R211" s="439"/>
      <c r="S211" s="439"/>
      <c r="T211" s="439"/>
      <c r="U211" s="439"/>
      <c r="V211" s="439"/>
      <c r="W211" s="439"/>
      <c r="X211" s="439"/>
      <c r="Y211" s="439"/>
      <c r="Z211" s="439"/>
      <c r="AA211" s="439"/>
    </row>
    <row r="212" spans="2:29" x14ac:dyDescent="0.2">
      <c r="C212" s="439"/>
      <c r="D212" s="439"/>
      <c r="E212" s="439"/>
      <c r="F212" s="439"/>
      <c r="G212" s="439"/>
      <c r="H212" s="439"/>
      <c r="I212" s="439"/>
      <c r="J212" s="439"/>
      <c r="K212" s="439"/>
      <c r="L212" s="439"/>
      <c r="M212" s="439"/>
      <c r="N212" s="439"/>
      <c r="O212" s="439"/>
      <c r="P212" s="439"/>
      <c r="Q212" s="439"/>
      <c r="R212" s="439"/>
      <c r="S212" s="439"/>
      <c r="T212" s="439"/>
      <c r="U212" s="439"/>
      <c r="V212" s="439"/>
      <c r="W212" s="439"/>
      <c r="X212" s="439"/>
      <c r="Y212" s="439"/>
      <c r="Z212" s="439"/>
      <c r="AA212" s="439"/>
    </row>
    <row r="213" spans="2:29" x14ac:dyDescent="0.2">
      <c r="C213" s="439"/>
      <c r="D213" s="439"/>
      <c r="E213" s="439"/>
      <c r="F213" s="439"/>
      <c r="G213" s="439"/>
      <c r="H213" s="439"/>
      <c r="I213" s="439"/>
      <c r="J213" s="439"/>
      <c r="K213" s="439"/>
      <c r="L213" s="439"/>
      <c r="M213" s="439"/>
      <c r="N213" s="439"/>
      <c r="O213" s="439"/>
      <c r="P213" s="439"/>
      <c r="Q213" s="439"/>
      <c r="R213" s="439"/>
      <c r="S213" s="439"/>
      <c r="T213" s="439"/>
      <c r="U213" s="439"/>
      <c r="V213" s="439"/>
      <c r="W213" s="439"/>
      <c r="X213" s="439"/>
      <c r="Y213" s="439"/>
      <c r="Z213" s="439"/>
      <c r="AA213" s="439"/>
    </row>
    <row r="214" spans="2:29" ht="8.1" customHeight="1" x14ac:dyDescent="0.2">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row>
    <row r="215" spans="2:29" x14ac:dyDescent="0.2">
      <c r="B215" s="93"/>
      <c r="C215" s="1" t="s">
        <v>107</v>
      </c>
      <c r="H215" s="401" t="s">
        <v>182</v>
      </c>
      <c r="I215" s="401"/>
      <c r="J215" s="401"/>
      <c r="K215" s="401"/>
      <c r="L215" s="401"/>
      <c r="M215" s="401"/>
      <c r="N215" s="401"/>
      <c r="O215" s="401"/>
      <c r="P215" s="401"/>
      <c r="Q215" s="401"/>
      <c r="R215" s="401"/>
      <c r="S215" s="401"/>
      <c r="T215" s="401"/>
      <c r="U215" s="401"/>
      <c r="V215" s="401"/>
      <c r="W215" s="401"/>
      <c r="X215" s="401"/>
      <c r="Y215" s="401"/>
      <c r="Z215" s="401"/>
      <c r="AA215" s="401"/>
      <c r="AC215" s="3">
        <f>IF(AND(B215="✔",N217&gt;=6),1,0)</f>
        <v>0</v>
      </c>
    </row>
    <row r="216" spans="2:29" x14ac:dyDescent="0.2">
      <c r="C216" s="1" t="s">
        <v>108</v>
      </c>
      <c r="H216" s="401"/>
      <c r="I216" s="401"/>
      <c r="J216" s="401"/>
      <c r="K216" s="401"/>
      <c r="L216" s="401"/>
      <c r="M216" s="401"/>
      <c r="N216" s="401"/>
      <c r="O216" s="401"/>
      <c r="P216" s="401"/>
      <c r="Q216" s="401"/>
      <c r="R216" s="401"/>
      <c r="S216" s="401"/>
      <c r="T216" s="401"/>
      <c r="U216" s="401"/>
      <c r="V216" s="401"/>
      <c r="W216" s="401"/>
      <c r="X216" s="401"/>
      <c r="Y216" s="401"/>
      <c r="Z216" s="401"/>
      <c r="AA216" s="401"/>
    </row>
    <row r="217" spans="2:29" x14ac:dyDescent="0.2">
      <c r="C217" s="424" t="s">
        <v>169</v>
      </c>
      <c r="D217" s="425"/>
      <c r="E217" s="426"/>
      <c r="F217" s="49" t="str">
        <f>IF(AC215=0,"",AC215)</f>
        <v/>
      </c>
      <c r="I217" s="1" t="s">
        <v>109</v>
      </c>
      <c r="N217" s="397"/>
      <c r="O217" s="398"/>
      <c r="P217" s="399"/>
      <c r="Q217" s="1" t="s">
        <v>110</v>
      </c>
      <c r="AB217" s="4" t="str">
        <f>IF(AND(B215="✔",N217=""),"←畳の数量を入力してください。","")</f>
        <v/>
      </c>
    </row>
    <row r="218" spans="2:29" x14ac:dyDescent="0.2">
      <c r="C218" s="439" t="s">
        <v>191</v>
      </c>
      <c r="D218" s="439"/>
      <c r="E218" s="439"/>
      <c r="F218" s="439"/>
      <c r="G218" s="439"/>
      <c r="H218" s="439"/>
      <c r="I218" s="439"/>
      <c r="J218" s="439"/>
      <c r="K218" s="439"/>
      <c r="L218" s="439"/>
      <c r="M218" s="439"/>
      <c r="N218" s="439"/>
      <c r="O218" s="439"/>
      <c r="P218" s="439"/>
      <c r="Q218" s="439"/>
      <c r="R218" s="439"/>
      <c r="S218" s="439"/>
      <c r="T218" s="439"/>
      <c r="U218" s="439"/>
      <c r="V218" s="439"/>
      <c r="W218" s="439"/>
      <c r="X218" s="439"/>
      <c r="Y218" s="439"/>
      <c r="Z218" s="439"/>
      <c r="AA218" s="439"/>
    </row>
    <row r="219" spans="2:29" x14ac:dyDescent="0.2">
      <c r="C219" s="439"/>
      <c r="D219" s="439"/>
      <c r="E219" s="439"/>
      <c r="F219" s="439"/>
      <c r="G219" s="439"/>
      <c r="H219" s="439"/>
      <c r="I219" s="439"/>
      <c r="J219" s="439"/>
      <c r="K219" s="439"/>
      <c r="L219" s="439"/>
      <c r="M219" s="439"/>
      <c r="N219" s="439"/>
      <c r="O219" s="439"/>
      <c r="P219" s="439"/>
      <c r="Q219" s="439"/>
      <c r="R219" s="439"/>
      <c r="S219" s="439"/>
      <c r="T219" s="439"/>
      <c r="U219" s="439"/>
      <c r="V219" s="439"/>
      <c r="W219" s="439"/>
      <c r="X219" s="439"/>
      <c r="Y219" s="439"/>
      <c r="Z219" s="439"/>
      <c r="AA219" s="439"/>
    </row>
    <row r="220" spans="2:29" x14ac:dyDescent="0.2">
      <c r="C220" s="439"/>
      <c r="D220" s="439"/>
      <c r="E220" s="439"/>
      <c r="F220" s="439"/>
      <c r="G220" s="439"/>
      <c r="H220" s="439"/>
      <c r="I220" s="439"/>
      <c r="J220" s="439"/>
      <c r="K220" s="439"/>
      <c r="L220" s="439"/>
      <c r="M220" s="439"/>
      <c r="N220" s="439"/>
      <c r="O220" s="439"/>
      <c r="P220" s="439"/>
      <c r="Q220" s="439"/>
      <c r="R220" s="439"/>
      <c r="S220" s="439"/>
      <c r="T220" s="439"/>
      <c r="U220" s="439"/>
      <c r="V220" s="439"/>
      <c r="W220" s="439"/>
      <c r="X220" s="439"/>
      <c r="Y220" s="439"/>
      <c r="Z220" s="439"/>
      <c r="AA220" s="439"/>
    </row>
    <row r="222" spans="2:29" ht="13.5" customHeight="1" x14ac:dyDescent="0.2">
      <c r="B222" s="93"/>
      <c r="C222" s="436" t="s">
        <v>179</v>
      </c>
      <c r="D222" s="437"/>
      <c r="E222" s="437"/>
      <c r="F222" s="437"/>
      <c r="G222" s="437"/>
      <c r="H222" s="400" t="s">
        <v>495</v>
      </c>
      <c r="I222" s="400"/>
      <c r="J222" s="400"/>
      <c r="K222" s="400"/>
      <c r="L222" s="400"/>
      <c r="M222" s="400"/>
      <c r="N222" s="400"/>
      <c r="O222" s="400"/>
      <c r="P222" s="400"/>
      <c r="Q222" s="400"/>
      <c r="R222" s="400"/>
      <c r="S222" s="400"/>
      <c r="T222" s="400"/>
      <c r="U222" s="400"/>
      <c r="V222" s="400"/>
      <c r="W222" s="400"/>
      <c r="X222" s="400"/>
      <c r="Y222" s="400"/>
      <c r="Z222" s="400"/>
      <c r="AA222" s="400"/>
      <c r="AC222" s="3">
        <f>IF(AND(B222="✔",N228&gt;=20),2,IF(AND(B222="✔",N228&gt;=10),1,0))</f>
        <v>0</v>
      </c>
    </row>
    <row r="223" spans="2:29" ht="13.5" customHeight="1" x14ac:dyDescent="0.2">
      <c r="C223" s="1" t="s">
        <v>99</v>
      </c>
      <c r="H223" s="400"/>
      <c r="I223" s="400"/>
      <c r="J223" s="400"/>
      <c r="K223" s="400"/>
      <c r="L223" s="400"/>
      <c r="M223" s="400"/>
      <c r="N223" s="400"/>
      <c r="O223" s="400"/>
      <c r="P223" s="400"/>
      <c r="Q223" s="400"/>
      <c r="R223" s="400"/>
      <c r="S223" s="400"/>
      <c r="T223" s="400"/>
      <c r="U223" s="400"/>
      <c r="V223" s="400"/>
      <c r="W223" s="400"/>
      <c r="X223" s="400"/>
      <c r="Y223" s="400"/>
      <c r="Z223" s="400"/>
      <c r="AA223" s="400"/>
    </row>
    <row r="224" spans="2:29" x14ac:dyDescent="0.2">
      <c r="C224" s="424" t="s">
        <v>169</v>
      </c>
      <c r="D224" s="425"/>
      <c r="E224" s="426"/>
      <c r="F224" s="49" t="str">
        <f>IF(AC222=0,"",AC222)</f>
        <v/>
      </c>
      <c r="H224" s="400"/>
      <c r="I224" s="400"/>
      <c r="J224" s="400"/>
      <c r="K224" s="400"/>
      <c r="L224" s="400"/>
      <c r="M224" s="400"/>
      <c r="N224" s="400"/>
      <c r="O224" s="400"/>
      <c r="P224" s="400"/>
      <c r="Q224" s="400"/>
      <c r="R224" s="400"/>
      <c r="S224" s="400"/>
      <c r="T224" s="400"/>
      <c r="U224" s="400"/>
      <c r="V224" s="400"/>
      <c r="W224" s="400"/>
      <c r="X224" s="400"/>
      <c r="Y224" s="400"/>
      <c r="Z224" s="400"/>
      <c r="AA224" s="400"/>
    </row>
    <row r="225" spans="1:28" x14ac:dyDescent="0.2">
      <c r="D225" s="36"/>
      <c r="E225" s="36"/>
      <c r="F225" s="36"/>
      <c r="H225" s="400"/>
      <c r="I225" s="400"/>
      <c r="J225" s="400"/>
      <c r="K225" s="400"/>
      <c r="L225" s="400"/>
      <c r="M225" s="400"/>
      <c r="N225" s="400"/>
      <c r="O225" s="400"/>
      <c r="P225" s="400"/>
      <c r="Q225" s="400"/>
      <c r="R225" s="400"/>
      <c r="S225" s="400"/>
      <c r="T225" s="400"/>
      <c r="U225" s="400"/>
      <c r="V225" s="400"/>
      <c r="W225" s="400"/>
      <c r="X225" s="400"/>
      <c r="Y225" s="400"/>
      <c r="Z225" s="400"/>
      <c r="AA225" s="400"/>
    </row>
    <row r="226" spans="1:28" ht="13.5" customHeight="1" x14ac:dyDescent="0.2">
      <c r="H226" s="400"/>
      <c r="I226" s="400"/>
      <c r="J226" s="400"/>
      <c r="K226" s="400"/>
      <c r="L226" s="400"/>
      <c r="M226" s="400"/>
      <c r="N226" s="400"/>
      <c r="O226" s="400"/>
      <c r="P226" s="400"/>
      <c r="Q226" s="400"/>
      <c r="R226" s="400"/>
      <c r="S226" s="400"/>
      <c r="T226" s="400"/>
      <c r="U226" s="400"/>
      <c r="V226" s="400"/>
      <c r="W226" s="400"/>
      <c r="X226" s="400"/>
      <c r="Y226" s="400"/>
      <c r="Z226" s="400"/>
      <c r="AA226" s="400"/>
    </row>
    <row r="227" spans="1:28" x14ac:dyDescent="0.2">
      <c r="C227" s="401" t="s">
        <v>178</v>
      </c>
      <c r="D227" s="401"/>
      <c r="E227" s="401"/>
      <c r="F227" s="401"/>
      <c r="G227" s="401"/>
      <c r="H227" s="401"/>
      <c r="I227" s="401"/>
      <c r="J227" s="401"/>
      <c r="K227" s="401"/>
      <c r="L227" s="401"/>
    </row>
    <row r="228" spans="1:28" x14ac:dyDescent="0.2">
      <c r="C228" s="401"/>
      <c r="D228" s="401"/>
      <c r="E228" s="401"/>
      <c r="F228" s="401"/>
      <c r="G228" s="401"/>
      <c r="H228" s="401"/>
      <c r="I228" s="401"/>
      <c r="J228" s="401"/>
      <c r="K228" s="401"/>
      <c r="L228" s="401"/>
      <c r="N228" s="397"/>
      <c r="O228" s="398"/>
      <c r="P228" s="399"/>
      <c r="Q228" s="1" t="s">
        <v>96</v>
      </c>
      <c r="AB228" s="4" t="str">
        <f>IF(AND(B222="✔",N228=""),"←小屋組又は床組みの県産材構造現し見上げ面積を入力してください。","")</f>
        <v/>
      </c>
    </row>
    <row r="229" spans="1:28" ht="42" customHeight="1" x14ac:dyDescent="0.2">
      <c r="C229" s="439" t="s">
        <v>494</v>
      </c>
      <c r="D229" s="439"/>
      <c r="E229" s="439"/>
      <c r="F229" s="439"/>
      <c r="G229" s="439"/>
      <c r="H229" s="439"/>
      <c r="I229" s="439"/>
      <c r="J229" s="439"/>
      <c r="K229" s="439"/>
      <c r="L229" s="439"/>
      <c r="M229" s="439"/>
      <c r="N229" s="439"/>
      <c r="O229" s="439"/>
      <c r="P229" s="439"/>
      <c r="Q229" s="439"/>
      <c r="R229" s="439"/>
      <c r="S229" s="439"/>
      <c r="T229" s="439"/>
      <c r="U229" s="439"/>
      <c r="V229" s="439"/>
      <c r="W229" s="439"/>
      <c r="X229" s="439"/>
      <c r="Y229" s="439"/>
      <c r="Z229" s="439"/>
      <c r="AA229" s="439"/>
    </row>
    <row r="230" spans="1:28" x14ac:dyDescent="0.2">
      <c r="B230" s="427" t="s">
        <v>170</v>
      </c>
      <c r="C230" s="427"/>
      <c r="D230" s="427"/>
      <c r="E230" s="427"/>
      <c r="F230" s="50" t="str">
        <f>IF(SUM(F179,F184,F191,F199,F207,F217,F224)=0,"",SUM(F179,F184,F191,F199,F207,F217,F224))</f>
        <v/>
      </c>
      <c r="G230" s="46"/>
      <c r="H230" s="46"/>
      <c r="I230" s="46"/>
      <c r="J230" s="46"/>
      <c r="K230" s="46"/>
      <c r="L230" s="46"/>
      <c r="M230" s="46"/>
      <c r="N230" s="46"/>
      <c r="O230" s="46"/>
      <c r="P230" s="46"/>
      <c r="Q230" s="46"/>
      <c r="R230" s="46"/>
      <c r="S230" s="46"/>
      <c r="T230" s="46"/>
      <c r="U230" s="46"/>
      <c r="V230" s="46"/>
      <c r="W230" s="46"/>
      <c r="X230" s="46"/>
      <c r="Y230" s="46"/>
      <c r="Z230" s="46"/>
      <c r="AA230" s="46"/>
    </row>
    <row r="231" spans="1:28" x14ac:dyDescent="0.2">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5" t="s">
        <v>78</v>
      </c>
    </row>
    <row r="232" spans="1:28" x14ac:dyDescent="0.2">
      <c r="K232" s="413">
        <f>IFERROR(IF(T236="","",T236+T237),T236)</f>
        <v>0</v>
      </c>
      <c r="L232" s="413"/>
      <c r="M232" s="413"/>
      <c r="AB232" s="100">
        <f>SUM(Y102,Y103,Y107,Y109,Y129,Y144,Y170)</f>
        <v>0</v>
      </c>
    </row>
    <row r="233" spans="1:28" x14ac:dyDescent="0.2">
      <c r="C233" s="1" t="s">
        <v>202</v>
      </c>
      <c r="K233" s="413"/>
      <c r="L233" s="413"/>
      <c r="M233" s="413"/>
      <c r="N233" s="1" t="s">
        <v>71</v>
      </c>
    </row>
    <row r="235" spans="1:28" x14ac:dyDescent="0.2">
      <c r="D235" s="1" t="s">
        <v>248</v>
      </c>
    </row>
    <row r="236" spans="1:28" ht="27" customHeight="1" x14ac:dyDescent="0.2">
      <c r="D236" s="430" t="s">
        <v>249</v>
      </c>
      <c r="E236" s="431"/>
      <c r="F236" s="431"/>
      <c r="G236" s="431"/>
      <c r="H236" s="431"/>
      <c r="I236" s="431"/>
      <c r="J236" s="431"/>
      <c r="K236" s="431"/>
      <c r="L236" s="431"/>
      <c r="M236" s="431"/>
      <c r="N236" s="431"/>
      <c r="O236" s="431"/>
      <c r="P236" s="431"/>
      <c r="Q236" s="431"/>
      <c r="R236" s="431"/>
      <c r="S236" s="432"/>
      <c r="T236" s="428">
        <f>IF(Y110="",0,MIN(SUM(Y110,Y129,Y144,Y170),100))</f>
        <v>0</v>
      </c>
      <c r="U236" s="429"/>
      <c r="V236" s="429"/>
      <c r="W236" s="10" t="s">
        <v>251</v>
      </c>
      <c r="X236" s="11"/>
    </row>
    <row r="237" spans="1:28" ht="28.5" customHeight="1" x14ac:dyDescent="0.2">
      <c r="D237" s="490" t="s">
        <v>250</v>
      </c>
      <c r="E237" s="491"/>
      <c r="F237" s="491"/>
      <c r="G237" s="491"/>
      <c r="H237" s="491"/>
      <c r="I237" s="491"/>
      <c r="J237" s="491"/>
      <c r="K237" s="491"/>
      <c r="L237" s="491"/>
      <c r="M237" s="491"/>
      <c r="N237" s="491"/>
      <c r="O237" s="491"/>
      <c r="P237" s="491"/>
      <c r="Q237" s="491"/>
      <c r="R237" s="491"/>
      <c r="S237" s="491"/>
      <c r="T237" s="428">
        <f>IF(B90="",IF(B64="",0,AB237),AB237)</f>
        <v>0</v>
      </c>
      <c r="U237" s="429"/>
      <c r="V237" s="429"/>
      <c r="W237" s="10" t="s">
        <v>251</v>
      </c>
      <c r="X237" s="11"/>
      <c r="AB237" s="3" t="str">
        <f>IF(U52="","",IF(AND(B58="",B61=""),"",IF(AND(B58="✔",B61="✔"),"error",IF(B70="✔",IF(U52="T-G1",5,IF(U52="T-G2",15,IF(U52="T-G3",25,0))),(IF(U52="T-G1",10,IF(U52="T-G2",30,IF(U52="T-G3",50,0)))))))+IF(B66="",IF(B68="",IF(B70="",IF(B72="",(IF(U58="『ZEH』",50,IF(U58="Nearly ZEH（多雪地域に限る）",50,0))))))))</f>
        <v/>
      </c>
    </row>
    <row r="240" spans="1:28" x14ac:dyDescent="0.2">
      <c r="A240" s="13" t="s">
        <v>85</v>
      </c>
    </row>
    <row r="242" spans="3:3" x14ac:dyDescent="0.2">
      <c r="C242" s="1" t="s">
        <v>75</v>
      </c>
    </row>
    <row r="243" spans="3:3" x14ac:dyDescent="0.2">
      <c r="C243" s="22" t="s">
        <v>113</v>
      </c>
    </row>
    <row r="245" spans="3:3" x14ac:dyDescent="0.2">
      <c r="C245" s="1" t="s">
        <v>509</v>
      </c>
    </row>
    <row r="246" spans="3:3" x14ac:dyDescent="0.2">
      <c r="C246" s="13" t="s">
        <v>510</v>
      </c>
    </row>
    <row r="247" spans="3:3" hidden="1" x14ac:dyDescent="0.2">
      <c r="C247" s="1" t="e">
        <f>IF(#REF!="有","他に利用する補助金一覧表（様式第６号別紙）","")</f>
        <v>#REF!</v>
      </c>
    </row>
    <row r="248" spans="3:3" x14ac:dyDescent="0.2">
      <c r="C248" s="1" t="s">
        <v>218</v>
      </c>
    </row>
    <row r="258" spans="1:68" x14ac:dyDescent="0.15">
      <c r="A258" s="87" t="s">
        <v>506</v>
      </c>
      <c r="B258" s="88"/>
      <c r="C258" s="88"/>
    </row>
    <row r="259" spans="1:68" x14ac:dyDescent="0.15">
      <c r="A259" s="87"/>
      <c r="B259" s="52" t="s">
        <v>11</v>
      </c>
      <c r="C259" s="52"/>
    </row>
    <row r="260" spans="1:68" x14ac:dyDescent="0.2">
      <c r="C260" s="330" t="s">
        <v>507</v>
      </c>
      <c r="D260" s="331"/>
      <c r="E260" s="331"/>
      <c r="F260" s="331"/>
      <c r="G260" s="331"/>
      <c r="H260" s="331"/>
      <c r="I260" s="332"/>
      <c r="J260" s="91" t="s">
        <v>10</v>
      </c>
      <c r="K260" s="336"/>
      <c r="L260" s="336"/>
      <c r="M260" s="336"/>
      <c r="N260" s="337"/>
      <c r="O260" s="337"/>
      <c r="P260" s="337"/>
      <c r="Q260" s="337"/>
      <c r="R260" s="337"/>
      <c r="S260" s="337"/>
      <c r="T260" s="337"/>
      <c r="U260" s="337"/>
      <c r="V260" s="337"/>
      <c r="W260" s="337"/>
      <c r="X260" s="337"/>
      <c r="Y260" s="337"/>
      <c r="Z260" s="338"/>
    </row>
    <row r="261" spans="1:68" x14ac:dyDescent="0.2">
      <c r="C261" s="333"/>
      <c r="D261" s="334"/>
      <c r="E261" s="334"/>
      <c r="F261" s="334"/>
      <c r="G261" s="334"/>
      <c r="H261" s="334"/>
      <c r="I261" s="335"/>
      <c r="J261" s="339"/>
      <c r="K261" s="340"/>
      <c r="L261" s="340"/>
      <c r="M261" s="340"/>
      <c r="N261" s="340"/>
      <c r="O261" s="340"/>
      <c r="P261" s="340"/>
      <c r="Q261" s="340"/>
      <c r="R261" s="340"/>
      <c r="S261" s="340"/>
      <c r="T261" s="340"/>
      <c r="U261" s="340"/>
      <c r="V261" s="340"/>
      <c r="W261" s="340"/>
      <c r="X261" s="340"/>
      <c r="Y261" s="340"/>
      <c r="Z261" s="341"/>
    </row>
    <row r="262" spans="1:68" ht="27.75" customHeight="1" x14ac:dyDescent="0.2">
      <c r="C262" s="342" t="s">
        <v>508</v>
      </c>
      <c r="D262" s="343"/>
      <c r="E262" s="343"/>
      <c r="F262" s="343"/>
      <c r="G262" s="343"/>
      <c r="H262" s="343"/>
      <c r="I262" s="344"/>
      <c r="J262" s="345"/>
      <c r="K262" s="346"/>
      <c r="L262" s="346"/>
      <c r="M262" s="346"/>
      <c r="N262" s="346"/>
      <c r="O262" s="346"/>
      <c r="P262" s="346"/>
      <c r="Q262" s="346"/>
      <c r="R262" s="346"/>
      <c r="S262" s="346"/>
      <c r="T262" s="346"/>
      <c r="U262" s="346"/>
      <c r="V262" s="346"/>
      <c r="W262" s="346"/>
      <c r="X262" s="346"/>
      <c r="Y262" s="346"/>
      <c r="Z262" s="347"/>
    </row>
    <row r="263" spans="1:68" x14ac:dyDescent="0.2">
      <c r="C263" s="342" t="s">
        <v>21</v>
      </c>
      <c r="D263" s="343"/>
      <c r="E263" s="343"/>
      <c r="F263" s="343"/>
      <c r="G263" s="343"/>
      <c r="H263" s="343"/>
      <c r="I263" s="344"/>
      <c r="J263" s="348"/>
      <c r="K263" s="349"/>
      <c r="L263" s="349"/>
      <c r="M263" s="349"/>
      <c r="N263" s="350"/>
      <c r="O263" s="351" t="s">
        <v>9</v>
      </c>
      <c r="P263" s="352"/>
      <c r="Q263" s="353"/>
      <c r="R263" s="354"/>
      <c r="S263" s="354"/>
      <c r="T263" s="354"/>
      <c r="U263" s="354"/>
      <c r="V263" s="354"/>
      <c r="W263" s="354"/>
      <c r="X263" s="354"/>
      <c r="Y263" s="354"/>
      <c r="Z263" s="355"/>
    </row>
    <row r="264" spans="1:68" x14ac:dyDescent="0.2">
      <c r="BG264" s="3"/>
      <c r="BH264" s="3"/>
      <c r="BI264" s="3"/>
      <c r="BJ264" s="3"/>
      <c r="BK264" s="3"/>
      <c r="BL264" s="3"/>
      <c r="BM264" s="3"/>
      <c r="BN264" s="3"/>
      <c r="BO264" s="3"/>
      <c r="BP264" s="3"/>
    </row>
    <row r="266" spans="1:68" x14ac:dyDescent="0.2">
      <c r="A266" s="401" t="s">
        <v>474</v>
      </c>
      <c r="B266" s="401"/>
      <c r="C266" s="401"/>
      <c r="D266" s="401"/>
      <c r="E266" s="401"/>
      <c r="F266" s="401"/>
      <c r="G266" s="401"/>
      <c r="H266" s="401"/>
      <c r="I266" s="401"/>
      <c r="J266" s="401"/>
      <c r="K266" s="401"/>
      <c r="L266" s="401"/>
      <c r="M266" s="401"/>
      <c r="N266" s="401"/>
      <c r="O266" s="401"/>
      <c r="P266" s="401"/>
      <c r="Q266" s="401"/>
      <c r="R266" s="401"/>
      <c r="S266" s="401"/>
      <c r="T266" s="401"/>
      <c r="U266" s="401"/>
      <c r="V266" s="401"/>
      <c r="W266" s="401"/>
      <c r="X266" s="401"/>
      <c r="Y266" s="401"/>
      <c r="Z266" s="401"/>
      <c r="AA266" s="401"/>
    </row>
    <row r="267" spans="1:68" x14ac:dyDescent="0.2">
      <c r="A267" s="401"/>
      <c r="B267" s="401"/>
      <c r="C267" s="401"/>
      <c r="D267" s="401"/>
      <c r="E267" s="401"/>
      <c r="F267" s="401"/>
      <c r="G267" s="401"/>
      <c r="H267" s="401"/>
      <c r="I267" s="401"/>
      <c r="J267" s="401"/>
      <c r="K267" s="401"/>
      <c r="L267" s="401"/>
      <c r="M267" s="401"/>
      <c r="N267" s="401"/>
      <c r="O267" s="401"/>
      <c r="P267" s="401"/>
      <c r="Q267" s="401"/>
      <c r="R267" s="401"/>
      <c r="S267" s="401"/>
      <c r="T267" s="401"/>
      <c r="U267" s="401"/>
      <c r="V267" s="401"/>
      <c r="W267" s="401"/>
      <c r="X267" s="401"/>
      <c r="Y267" s="401"/>
      <c r="Z267" s="401"/>
      <c r="AA267" s="401"/>
    </row>
    <row r="269" spans="1:68" ht="17.25" customHeight="1" x14ac:dyDescent="0.2">
      <c r="J269" s="433" t="s">
        <v>200</v>
      </c>
      <c r="K269" s="434"/>
      <c r="L269" s="434"/>
      <c r="M269" s="434"/>
      <c r="N269" s="434"/>
      <c r="O269" s="434"/>
      <c r="P269" s="434"/>
      <c r="Q269" s="434"/>
      <c r="R269" s="434"/>
      <c r="S269" s="434"/>
      <c r="T269" s="434"/>
      <c r="U269" s="434"/>
      <c r="V269" s="434"/>
      <c r="W269" s="434"/>
      <c r="X269" s="434"/>
      <c r="Y269" s="434"/>
      <c r="Z269" s="434"/>
      <c r="AA269" s="434"/>
      <c r="AB269" s="4" t="str">
        <f>IF(P269="","←工事監理者氏名（工事監理者が不要な場合は工事施工者氏名を選択し、当該内容）を入力してください。","")</f>
        <v>←工事監理者氏名（工事監理者が不要な場合は工事施工者氏名を選択し、当該内容）を入力してください。</v>
      </c>
    </row>
    <row r="270" spans="1:68" ht="17.25" customHeight="1" x14ac:dyDescent="0.2">
      <c r="J270" s="435" t="s">
        <v>171</v>
      </c>
      <c r="K270" s="435"/>
      <c r="L270" s="435"/>
      <c r="M270" s="435"/>
      <c r="N270" s="435"/>
      <c r="O270" s="435"/>
      <c r="P270" s="434"/>
      <c r="Q270" s="434"/>
      <c r="R270" s="434"/>
      <c r="S270" s="434"/>
      <c r="T270" s="434"/>
      <c r="U270" s="434"/>
      <c r="V270" s="434"/>
      <c r="W270" s="434"/>
      <c r="X270" s="434"/>
      <c r="Y270" s="434"/>
      <c r="Z270" s="434"/>
      <c r="AA270" s="434"/>
      <c r="AB270" s="4" t="str">
        <f>IF(P270="","←建築士事務所名を入力してください。","")</f>
        <v>←建築士事務所名を入力してください。</v>
      </c>
    </row>
    <row r="271" spans="1:68" ht="17.25" customHeight="1" x14ac:dyDescent="0.2">
      <c r="J271" s="403" t="s">
        <v>172</v>
      </c>
      <c r="K271" s="404"/>
      <c r="L271" s="404"/>
      <c r="M271" s="404"/>
      <c r="N271" s="404"/>
      <c r="O271" s="405"/>
      <c r="P271" s="389" t="s">
        <v>57</v>
      </c>
      <c r="Q271" s="360"/>
      <c r="R271" s="360"/>
      <c r="S271" s="360"/>
      <c r="T271" s="398"/>
      <c r="U271" s="398"/>
      <c r="V271" s="398"/>
      <c r="W271" s="398"/>
      <c r="X271" s="398"/>
      <c r="Y271" s="398"/>
      <c r="Z271" s="398"/>
      <c r="AA271" s="399"/>
      <c r="AB271" s="4" t="str">
        <f>IF(T271="","←建築士事務所の登録区分を選択（１級、２級、木造）してください。","")</f>
        <v>←建築士事務所の登録区分を選択（１級、２級、木造）してください。</v>
      </c>
    </row>
    <row r="272" spans="1:68" ht="17.25" customHeight="1" x14ac:dyDescent="0.2">
      <c r="J272" s="406"/>
      <c r="K272" s="407"/>
      <c r="L272" s="407"/>
      <c r="M272" s="407"/>
      <c r="N272" s="407"/>
      <c r="O272" s="408"/>
      <c r="P272" s="389" t="s">
        <v>174</v>
      </c>
      <c r="Q272" s="360"/>
      <c r="R272" s="360"/>
      <c r="S272" s="360"/>
      <c r="T272" s="398"/>
      <c r="U272" s="398"/>
      <c r="V272" s="398"/>
      <c r="W272" s="398"/>
      <c r="X272" s="398"/>
      <c r="Y272" s="398"/>
      <c r="Z272" s="360" t="s">
        <v>175</v>
      </c>
      <c r="AA272" s="390"/>
      <c r="AB272" s="4" t="str">
        <f>IF(T272="","←建築士事務所の登録を受けた都道府県名入力してください。","")</f>
        <v>←建築士事務所の登録を受けた都道府県名入力してください。</v>
      </c>
    </row>
    <row r="273" spans="1:28" ht="17.25" customHeight="1" x14ac:dyDescent="0.2">
      <c r="J273" s="409"/>
      <c r="K273" s="410"/>
      <c r="L273" s="410"/>
      <c r="M273" s="410"/>
      <c r="N273" s="410"/>
      <c r="O273" s="411"/>
      <c r="P273" s="389" t="s">
        <v>173</v>
      </c>
      <c r="Q273" s="360"/>
      <c r="R273" s="360"/>
      <c r="S273" s="360"/>
      <c r="T273" s="448"/>
      <c r="U273" s="448"/>
      <c r="V273" s="448"/>
      <c r="W273" s="448"/>
      <c r="X273" s="448"/>
      <c r="Y273" s="448"/>
      <c r="Z273" s="448"/>
      <c r="AA273" s="449"/>
      <c r="AB273" s="4" t="str">
        <f>IF(T273="","←建築士事務所の登録番号を入力してください。","")</f>
        <v>←建築士事務所の登録番号を入力してください。</v>
      </c>
    </row>
    <row r="274" spans="1:28" x14ac:dyDescent="0.2">
      <c r="A274" s="1" t="s">
        <v>192</v>
      </c>
    </row>
    <row r="275" spans="1:28" ht="31.5" customHeight="1" x14ac:dyDescent="0.2">
      <c r="A275" s="401" t="s">
        <v>201</v>
      </c>
      <c r="B275" s="401"/>
      <c r="C275" s="401"/>
      <c r="D275" s="401"/>
      <c r="E275" s="401"/>
      <c r="F275" s="401"/>
      <c r="G275" s="401"/>
      <c r="H275" s="401"/>
      <c r="I275" s="401"/>
      <c r="J275" s="401"/>
      <c r="K275" s="401"/>
      <c r="L275" s="401"/>
      <c r="M275" s="401"/>
      <c r="N275" s="401"/>
      <c r="O275" s="401"/>
      <c r="P275" s="401"/>
      <c r="Q275" s="401"/>
      <c r="R275" s="401"/>
      <c r="S275" s="401"/>
      <c r="T275" s="401"/>
      <c r="U275" s="401"/>
      <c r="V275" s="401"/>
      <c r="W275" s="401"/>
      <c r="X275" s="401"/>
      <c r="Y275" s="401"/>
      <c r="Z275" s="401"/>
      <c r="AA275" s="401"/>
    </row>
  </sheetData>
  <sheetProtection algorithmName="SHA-512" hashValue="2FaFYqs4t2vvhYLaIM+xdSF1HEaHbXvX7R5pD6gYHjOn7E1J6hGEFkraoHKxQQRIVMmNQHhrKTS1/jLCD0HyDA==" saltValue="dpEgXd0vEMdrkkDKVVcMZw==" spinCount="100000" sheet="1" selectLockedCells="1"/>
  <mergeCells count="216">
    <mergeCell ref="B159:G160"/>
    <mergeCell ref="C138:N138"/>
    <mergeCell ref="Q138:AA138"/>
    <mergeCell ref="H159:N159"/>
    <mergeCell ref="O159:Z159"/>
    <mergeCell ref="U79:Z79"/>
    <mergeCell ref="D41:H41"/>
    <mergeCell ref="I43:X43"/>
    <mergeCell ref="U52:Z52"/>
    <mergeCell ref="U55:Z55"/>
    <mergeCell ref="U58:Z58"/>
    <mergeCell ref="D47:N47"/>
    <mergeCell ref="U104:X105"/>
    <mergeCell ref="O160:Z160"/>
    <mergeCell ref="H160:N160"/>
    <mergeCell ref="Y109:Z109"/>
    <mergeCell ref="Q132:AA133"/>
    <mergeCell ref="U100:X101"/>
    <mergeCell ref="Y100:AA101"/>
    <mergeCell ref="D237:S237"/>
    <mergeCell ref="Y103:Z103"/>
    <mergeCell ref="D46:H46"/>
    <mergeCell ref="D101:P101"/>
    <mergeCell ref="O47:Q47"/>
    <mergeCell ref="D86:H86"/>
    <mergeCell ref="I86:X86"/>
    <mergeCell ref="D81:O81"/>
    <mergeCell ref="G104:P104"/>
    <mergeCell ref="Q103:T103"/>
    <mergeCell ref="Q100:T100"/>
    <mergeCell ref="U103:X103"/>
    <mergeCell ref="E102:P102"/>
    <mergeCell ref="F103:P103"/>
    <mergeCell ref="U102:X102"/>
    <mergeCell ref="P81:T81"/>
    <mergeCell ref="U81:Z81"/>
    <mergeCell ref="Y144:Z144"/>
    <mergeCell ref="Y142:AA143"/>
    <mergeCell ref="C140:Z141"/>
    <mergeCell ref="Q104:T105"/>
    <mergeCell ref="Y129:Z129"/>
    <mergeCell ref="Y127:AA128"/>
    <mergeCell ref="A116:AA117"/>
    <mergeCell ref="P208:AA208"/>
    <mergeCell ref="H209:O209"/>
    <mergeCell ref="P209:AA209"/>
    <mergeCell ref="H205:AA207"/>
    <mergeCell ref="H197:AA198"/>
    <mergeCell ref="N186:P186"/>
    <mergeCell ref="N185:S185"/>
    <mergeCell ref="C187:AA187"/>
    <mergeCell ref="H161:N161"/>
    <mergeCell ref="O161:Z161"/>
    <mergeCell ref="H162:N162"/>
    <mergeCell ref="O162:Z162"/>
    <mergeCell ref="B161:G163"/>
    <mergeCell ref="H163:N163"/>
    <mergeCell ref="O163:Z163"/>
    <mergeCell ref="P184:AA184"/>
    <mergeCell ref="C201:AA203"/>
    <mergeCell ref="H208:O208"/>
    <mergeCell ref="I200:L200"/>
    <mergeCell ref="A3:AA3"/>
    <mergeCell ref="U109:X109"/>
    <mergeCell ref="Q109:T109"/>
    <mergeCell ref="F109:P109"/>
    <mergeCell ref="D93:H93"/>
    <mergeCell ref="I93:X93"/>
    <mergeCell ref="I29:X29"/>
    <mergeCell ref="D28:H29"/>
    <mergeCell ref="I28:L28"/>
    <mergeCell ref="M28:X28"/>
    <mergeCell ref="I31:N31"/>
    <mergeCell ref="M32:Q33"/>
    <mergeCell ref="D32:H33"/>
    <mergeCell ref="I32:K33"/>
    <mergeCell ref="N37:Q37"/>
    <mergeCell ref="D37:H38"/>
    <mergeCell ref="U82:Z82"/>
    <mergeCell ref="D83:O83"/>
    <mergeCell ref="P83:T83"/>
    <mergeCell ref="U83:Z83"/>
    <mergeCell ref="D80:O80"/>
    <mergeCell ref="P80:T80"/>
    <mergeCell ref="B97:AA98"/>
    <mergeCell ref="U80:Z80"/>
    <mergeCell ref="A5:AA6"/>
    <mergeCell ref="D34:H34"/>
    <mergeCell ref="D36:H36"/>
    <mergeCell ref="I36:X36"/>
    <mergeCell ref="D31:H31"/>
    <mergeCell ref="V32:W32"/>
    <mergeCell ref="V33:W33"/>
    <mergeCell ref="R32:U32"/>
    <mergeCell ref="R33:U33"/>
    <mergeCell ref="H8:I8"/>
    <mergeCell ref="K8:L8"/>
    <mergeCell ref="N12:Z12"/>
    <mergeCell ref="N13:Z13"/>
    <mergeCell ref="N11:Z11"/>
    <mergeCell ref="I35:K35"/>
    <mergeCell ref="E8:F8"/>
    <mergeCell ref="C8:D8"/>
    <mergeCell ref="O10:Z10"/>
    <mergeCell ref="O31:R31"/>
    <mergeCell ref="A16:AA16"/>
    <mergeCell ref="C20:AA21"/>
    <mergeCell ref="I34:N34"/>
    <mergeCell ref="W31:X31"/>
    <mergeCell ref="S31:V31"/>
    <mergeCell ref="S37:T37"/>
    <mergeCell ref="S38:T38"/>
    <mergeCell ref="V37:W37"/>
    <mergeCell ref="L32:L33"/>
    <mergeCell ref="I37:M37"/>
    <mergeCell ref="S34:U34"/>
    <mergeCell ref="V34:W34"/>
    <mergeCell ref="N38:Q38"/>
    <mergeCell ref="P273:S273"/>
    <mergeCell ref="T273:AA273"/>
    <mergeCell ref="C171:AA172"/>
    <mergeCell ref="Y168:AA169"/>
    <mergeCell ref="Y170:Z170"/>
    <mergeCell ref="N193:P193"/>
    <mergeCell ref="N194:P194"/>
    <mergeCell ref="N200:P200"/>
    <mergeCell ref="R193:U193"/>
    <mergeCell ref="R194:U194"/>
    <mergeCell ref="V193:Z193"/>
    <mergeCell ref="V194:Z194"/>
    <mergeCell ref="P272:S272"/>
    <mergeCell ref="C224:E224"/>
    <mergeCell ref="N210:P210"/>
    <mergeCell ref="H215:AA216"/>
    <mergeCell ref="N228:P228"/>
    <mergeCell ref="B169:X170"/>
    <mergeCell ref="C179:E179"/>
    <mergeCell ref="B230:E230"/>
    <mergeCell ref="N217:P217"/>
    <mergeCell ref="T236:V236"/>
    <mergeCell ref="T237:V237"/>
    <mergeCell ref="D236:S236"/>
    <mergeCell ref="A275:AA275"/>
    <mergeCell ref="P271:S271"/>
    <mergeCell ref="J269:O269"/>
    <mergeCell ref="P269:AA269"/>
    <mergeCell ref="J270:O270"/>
    <mergeCell ref="P270:AA270"/>
    <mergeCell ref="C222:G222"/>
    <mergeCell ref="C180:AA180"/>
    <mergeCell ref="C184:E184"/>
    <mergeCell ref="C191:E191"/>
    <mergeCell ref="C199:E199"/>
    <mergeCell ref="C207:E207"/>
    <mergeCell ref="C217:E217"/>
    <mergeCell ref="C211:AA213"/>
    <mergeCell ref="C218:AA220"/>
    <mergeCell ref="C229:AA229"/>
    <mergeCell ref="H222:AA226"/>
    <mergeCell ref="C227:L228"/>
    <mergeCell ref="T271:AA271"/>
    <mergeCell ref="P183:AA183"/>
    <mergeCell ref="J271:O273"/>
    <mergeCell ref="T272:Y272"/>
    <mergeCell ref="Z272:AA272"/>
    <mergeCell ref="A4:AA4"/>
    <mergeCell ref="D30:H30"/>
    <mergeCell ref="I30:X30"/>
    <mergeCell ref="A266:AA267"/>
    <mergeCell ref="K232:M233"/>
    <mergeCell ref="H177:AA179"/>
    <mergeCell ref="H183:O183"/>
    <mergeCell ref="H184:O184"/>
    <mergeCell ref="C135:N136"/>
    <mergeCell ref="I46:N46"/>
    <mergeCell ref="D100:P100"/>
    <mergeCell ref="Q101:T101"/>
    <mergeCell ref="Q102:T102"/>
    <mergeCell ref="Y102:Z102"/>
    <mergeCell ref="S47:T47"/>
    <mergeCell ref="V47:W47"/>
    <mergeCell ref="Q135:AA136"/>
    <mergeCell ref="I38:M38"/>
    <mergeCell ref="V38:W38"/>
    <mergeCell ref="Y110:Z110"/>
    <mergeCell ref="Y108:AA108"/>
    <mergeCell ref="G105:P105"/>
    <mergeCell ref="G106:P106"/>
    <mergeCell ref="Q106:T107"/>
    <mergeCell ref="U106:X107"/>
    <mergeCell ref="G107:P107"/>
    <mergeCell ref="Y107:Z107"/>
    <mergeCell ref="F108:P108"/>
    <mergeCell ref="Q108:T108"/>
    <mergeCell ref="U108:X108"/>
    <mergeCell ref="I42:X42"/>
    <mergeCell ref="I41:X41"/>
    <mergeCell ref="D42:H42"/>
    <mergeCell ref="D43:H43"/>
    <mergeCell ref="U78:Z78"/>
    <mergeCell ref="P78:T78"/>
    <mergeCell ref="D78:O78"/>
    <mergeCell ref="D79:O79"/>
    <mergeCell ref="P79:T79"/>
    <mergeCell ref="D82:O82"/>
    <mergeCell ref="P82:T82"/>
    <mergeCell ref="C260:I261"/>
    <mergeCell ref="K260:M260"/>
    <mergeCell ref="N260:Z260"/>
    <mergeCell ref="J261:Z261"/>
    <mergeCell ref="C262:I262"/>
    <mergeCell ref="J262:Z262"/>
    <mergeCell ref="C263:I263"/>
    <mergeCell ref="J263:N263"/>
    <mergeCell ref="O263:Q263"/>
    <mergeCell ref="R263:Z263"/>
  </mergeCells>
  <phoneticPr fontId="1"/>
  <conditionalFormatting sqref="B20">
    <cfRule type="containsBlanks" dxfId="94" priority="222">
      <formula>LEN(TRIM(B20))=0</formula>
    </cfRule>
  </conditionalFormatting>
  <conditionalFormatting sqref="B23">
    <cfRule type="containsBlanks" dxfId="93" priority="223">
      <formula>LEN(TRIM(B23))=0</formula>
    </cfRule>
  </conditionalFormatting>
  <conditionalFormatting sqref="B40">
    <cfRule type="containsBlanks" dxfId="92" priority="224">
      <formula>LEN(TRIM(B40))=0</formula>
    </cfRule>
  </conditionalFormatting>
  <conditionalFormatting sqref="B45">
    <cfRule type="containsBlanks" dxfId="91" priority="225">
      <formula>LEN(TRIM(B45))=0</formula>
    </cfRule>
  </conditionalFormatting>
  <conditionalFormatting sqref="B50">
    <cfRule type="containsBlanks" dxfId="90" priority="226">
      <formula>LEN(TRIM(B50))=0</formula>
    </cfRule>
  </conditionalFormatting>
  <conditionalFormatting sqref="B52">
    <cfRule type="containsBlanks" dxfId="89" priority="46">
      <formula>LEN(TRIM(B52))=0</formula>
    </cfRule>
  </conditionalFormatting>
  <conditionalFormatting sqref="B55">
    <cfRule type="containsBlanks" dxfId="88" priority="37">
      <formula>LEN(TRIM(B55))=0</formula>
    </cfRule>
  </conditionalFormatting>
  <conditionalFormatting sqref="B58">
    <cfRule type="containsBlanks" dxfId="87" priority="36">
      <formula>LEN(TRIM(B58))=0</formula>
    </cfRule>
  </conditionalFormatting>
  <conditionalFormatting sqref="B61">
    <cfRule type="containsBlanks" dxfId="86" priority="31">
      <formula>LEN(TRIM(B61))=0</formula>
    </cfRule>
  </conditionalFormatting>
  <conditionalFormatting sqref="B64">
    <cfRule type="containsBlanks" dxfId="85" priority="29">
      <formula>LEN(TRIM(B64))=0</formula>
    </cfRule>
  </conditionalFormatting>
  <conditionalFormatting sqref="B66">
    <cfRule type="containsBlanks" dxfId="84" priority="48">
      <formula>LEN(TRIM(B66))=0</formula>
    </cfRule>
  </conditionalFormatting>
  <conditionalFormatting sqref="B68 B70">
    <cfRule type="containsBlanks" dxfId="83" priority="38">
      <formula>LEN(TRIM(B68))=0</formula>
    </cfRule>
  </conditionalFormatting>
  <conditionalFormatting sqref="B72">
    <cfRule type="containsBlanks" dxfId="82" priority="27">
      <formula>LEN(TRIM(B72))=0</formula>
    </cfRule>
  </conditionalFormatting>
  <conditionalFormatting sqref="B76">
    <cfRule type="containsBlanks" dxfId="81" priority="1">
      <formula>LEN(TRIM(B76))=0</formula>
    </cfRule>
  </conditionalFormatting>
  <conditionalFormatting sqref="B85">
    <cfRule type="containsBlanks" dxfId="80" priority="227">
      <formula>LEN(TRIM(B85))=0</formula>
    </cfRule>
  </conditionalFormatting>
  <conditionalFormatting sqref="B87">
    <cfRule type="containsBlanks" dxfId="79" priority="50">
      <formula>LEN(TRIM(B87))=0</formula>
    </cfRule>
  </conditionalFormatting>
  <conditionalFormatting sqref="B90">
    <cfRule type="containsBlanks" dxfId="78" priority="228">
      <formula>LEN(TRIM(B90))=0</formula>
    </cfRule>
  </conditionalFormatting>
  <conditionalFormatting sqref="B92">
    <cfRule type="containsBlanks" dxfId="77" priority="229">
      <formula>LEN(TRIM(B92))=0</formula>
    </cfRule>
  </conditionalFormatting>
  <conditionalFormatting sqref="B96">
    <cfRule type="containsBlanks" dxfId="76" priority="221">
      <formula>LEN(TRIM(B96))=0</formula>
    </cfRule>
  </conditionalFormatting>
  <conditionalFormatting sqref="B131">
    <cfRule type="containsBlanks" dxfId="75" priority="197">
      <formula>LEN(TRIM(B131))=0</formula>
    </cfRule>
  </conditionalFormatting>
  <conditionalFormatting sqref="B148">
    <cfRule type="containsBlanks" dxfId="74" priority="199">
      <formula>LEN(TRIM(B148))=0</formula>
    </cfRule>
  </conditionalFormatting>
  <conditionalFormatting sqref="B150">
    <cfRule type="containsBlanks" dxfId="73" priority="200">
      <formula>LEN(TRIM(B150))=0</formula>
    </cfRule>
  </conditionalFormatting>
  <conditionalFormatting sqref="B152">
    <cfRule type="containsBlanks" dxfId="72" priority="201">
      <formula>LEN(TRIM(B152))=0</formula>
    </cfRule>
  </conditionalFormatting>
  <conditionalFormatting sqref="B154">
    <cfRule type="containsBlanks" dxfId="71" priority="202">
      <formula>LEN(TRIM(B154))=0</formula>
    </cfRule>
  </conditionalFormatting>
  <conditionalFormatting sqref="B156">
    <cfRule type="containsBlanks" dxfId="70" priority="203">
      <formula>LEN(TRIM(B156))=0</formula>
    </cfRule>
  </conditionalFormatting>
  <conditionalFormatting sqref="B158">
    <cfRule type="containsBlanks" dxfId="69" priority="47">
      <formula>LEN(TRIM(B158))=0</formula>
    </cfRule>
  </conditionalFormatting>
  <conditionalFormatting sqref="B174">
    <cfRule type="containsBlanks" dxfId="68" priority="204">
      <formula>LEN(TRIM(B174))=0</formula>
    </cfRule>
  </conditionalFormatting>
  <conditionalFormatting sqref="B177">
    <cfRule type="containsBlanks" dxfId="67" priority="205">
      <formula>LEN(TRIM(B177))=0</formula>
    </cfRule>
  </conditionalFormatting>
  <conditionalFormatting sqref="B182">
    <cfRule type="containsBlanks" dxfId="66" priority="206">
      <formula>LEN(TRIM(B182))=0</formula>
    </cfRule>
  </conditionalFormatting>
  <conditionalFormatting sqref="B189">
    <cfRule type="containsBlanks" dxfId="65" priority="207">
      <formula>LEN(TRIM(B189))=0</formula>
    </cfRule>
  </conditionalFormatting>
  <conditionalFormatting sqref="B197">
    <cfRule type="containsBlanks" dxfId="64" priority="213">
      <formula>LEN(TRIM(B197))=0</formula>
    </cfRule>
  </conditionalFormatting>
  <conditionalFormatting sqref="B205">
    <cfRule type="containsBlanks" dxfId="63" priority="219">
      <formula>LEN(TRIM(B205))=0</formula>
    </cfRule>
  </conditionalFormatting>
  <conditionalFormatting sqref="B215">
    <cfRule type="containsBlanks" dxfId="62" priority="217">
      <formula>LEN(TRIM(B215))=0</formula>
    </cfRule>
  </conditionalFormatting>
  <conditionalFormatting sqref="B222">
    <cfRule type="containsBlanks" dxfId="61" priority="211">
      <formula>LEN(TRIM(B222))=0</formula>
    </cfRule>
  </conditionalFormatting>
  <conditionalFormatting sqref="C8 E8">
    <cfRule type="containsBlanks" dxfId="60" priority="109">
      <formula>LEN(TRIM(C8))=0</formula>
    </cfRule>
  </conditionalFormatting>
  <conditionalFormatting sqref="C74">
    <cfRule type="containsBlanks" dxfId="59" priority="26">
      <formula>LEN(TRIM(C74))=0</formula>
    </cfRule>
  </conditionalFormatting>
  <conditionalFormatting sqref="D79:Z83">
    <cfRule type="cellIs" dxfId="58" priority="39" operator="equal">
      <formula>""</formula>
    </cfRule>
  </conditionalFormatting>
  <conditionalFormatting sqref="H8">
    <cfRule type="containsBlanks" dxfId="57" priority="111">
      <formula>LEN(TRIM(H8))=0</formula>
    </cfRule>
  </conditionalFormatting>
  <conditionalFormatting sqref="I34">
    <cfRule type="containsBlanks" dxfId="56" priority="54">
      <formula>LEN(TRIM(I34))=0</formula>
    </cfRule>
  </conditionalFormatting>
  <conditionalFormatting sqref="I46:N46">
    <cfRule type="containsBlanks" dxfId="55" priority="101">
      <formula>LEN(TRIM(I46))=0</formula>
    </cfRule>
  </conditionalFormatting>
  <conditionalFormatting sqref="I76:X77 I84:X84 I86:X86">
    <cfRule type="expression" dxfId="54" priority="51">
      <formula>AND($I$36="その他",#REF!="")</formula>
    </cfRule>
  </conditionalFormatting>
  <conditionalFormatting sqref="I93:X93">
    <cfRule type="containsBlanks" dxfId="53" priority="69">
      <formula>LEN(TRIM(I93))=0</formula>
    </cfRule>
  </conditionalFormatting>
  <conditionalFormatting sqref="J263:N263">
    <cfRule type="containsBlanks" dxfId="52" priority="3">
      <formula>LEN(TRIM(J263))=0</formula>
    </cfRule>
  </conditionalFormatting>
  <conditionalFormatting sqref="J261:Z262">
    <cfRule type="containsBlanks" dxfId="51" priority="4">
      <formula>LEN(TRIM(J261))=0</formula>
    </cfRule>
  </conditionalFormatting>
  <conditionalFormatting sqref="K8">
    <cfRule type="containsBlanks" dxfId="50" priority="110">
      <formula>LEN(TRIM(K8))=0</formula>
    </cfRule>
  </conditionalFormatting>
  <conditionalFormatting sqref="K260:M260">
    <cfRule type="cellIs" dxfId="49" priority="6" operator="between">
      <formula>""""""</formula>
      <formula>""""""</formula>
    </cfRule>
    <cfRule type="containsBlanks" dxfId="48" priority="5">
      <formula>LEN(TRIM(K260))=0</formula>
    </cfRule>
  </conditionalFormatting>
  <conditionalFormatting sqref="L35 Q35">
    <cfRule type="containsBlanks" dxfId="47" priority="189">
      <formula>LEN(TRIM(L35))=0</formula>
    </cfRule>
  </conditionalFormatting>
  <conditionalFormatting sqref="N186:P186">
    <cfRule type="containsBlanks" dxfId="46" priority="209">
      <formula>LEN(TRIM(N186))=0</formula>
    </cfRule>
  </conditionalFormatting>
  <conditionalFormatting sqref="N193:P194">
    <cfRule type="containsBlanks" dxfId="45" priority="210">
      <formula>LEN(TRIM(N193))=0</formula>
    </cfRule>
  </conditionalFormatting>
  <conditionalFormatting sqref="N200:P200">
    <cfRule type="containsBlanks" dxfId="44" priority="214">
      <formula>LEN(TRIM(N200))=0</formula>
    </cfRule>
  </conditionalFormatting>
  <conditionalFormatting sqref="N210:P210">
    <cfRule type="containsBlanks" dxfId="43" priority="215">
      <formula>LEN(TRIM(N210))=0</formula>
    </cfRule>
  </conditionalFormatting>
  <conditionalFormatting sqref="N217:P217">
    <cfRule type="containsBlanks" dxfId="42" priority="216">
      <formula>LEN(TRIM(N217))=0</formula>
    </cfRule>
  </conditionalFormatting>
  <conditionalFormatting sqref="N228:P228">
    <cfRule type="containsBlanks" dxfId="41" priority="218">
      <formula>LEN(TRIM(N228))=0</formula>
    </cfRule>
  </conditionalFormatting>
  <conditionalFormatting sqref="N37:Q38">
    <cfRule type="containsBlanks" dxfId="40" priority="95">
      <formula>LEN(TRIM(N37))=0</formula>
    </cfRule>
  </conditionalFormatting>
  <conditionalFormatting sqref="N185:S185">
    <cfRule type="containsBlanks" dxfId="39" priority="208">
      <formula>LEN(TRIM(N185))=0</formula>
    </cfRule>
  </conditionalFormatting>
  <conditionalFormatting sqref="O10:Z10 N11:Z13 M28 I29:I32 I36:X36 I41:X43 O47">
    <cfRule type="containsBlanks" dxfId="38" priority="195">
      <formula>LEN(TRIM(I10))=0</formula>
    </cfRule>
  </conditionalFormatting>
  <conditionalFormatting sqref="O159:Z163">
    <cfRule type="containsBlanks" dxfId="37" priority="94">
      <formula>LEN(TRIM(O159))=0</formula>
    </cfRule>
  </conditionalFormatting>
  <conditionalFormatting sqref="P78:P83">
    <cfRule type="expression" dxfId="36" priority="40">
      <formula>AND($I$36="その他",#REF!="")</formula>
    </cfRule>
  </conditionalFormatting>
  <conditionalFormatting sqref="P131">
    <cfRule type="containsBlanks" dxfId="35" priority="198">
      <formula>LEN(TRIM(P131))=0</formula>
    </cfRule>
  </conditionalFormatting>
  <conditionalFormatting sqref="P269:AA270">
    <cfRule type="containsBlanks" dxfId="34" priority="71">
      <formula>LEN(TRIM(P269))=0</formula>
    </cfRule>
  </conditionalFormatting>
  <conditionalFormatting sqref="Q101:Q104 Q106 Q108:Q109">
    <cfRule type="containsBlanks" dxfId="33" priority="25">
      <formula>LEN(TRIM(Q101))=0</formula>
    </cfRule>
  </conditionalFormatting>
  <conditionalFormatting sqref="R193:U194">
    <cfRule type="containsBlanks" dxfId="32" priority="212">
      <formula>LEN(TRIM(R193))=0</formula>
    </cfRule>
  </conditionalFormatting>
  <conditionalFormatting sqref="R263:Z263">
    <cfRule type="containsBlanks" dxfId="31" priority="2">
      <formula>LEN(TRIM(R263))=0</formula>
    </cfRule>
  </conditionalFormatting>
  <conditionalFormatting sqref="S31">
    <cfRule type="containsBlanks" dxfId="30" priority="119">
      <formula>LEN(TRIM(S31))=0</formula>
    </cfRule>
  </conditionalFormatting>
  <conditionalFormatting sqref="S37:S38 V37:V38">
    <cfRule type="containsBlanks" dxfId="29" priority="96">
      <formula>LEN(TRIM(S37))=0</formula>
    </cfRule>
  </conditionalFormatting>
  <conditionalFormatting sqref="S47 V47">
    <cfRule type="containsBlanks" dxfId="28" priority="53">
      <formula>LEN(TRIM(S47))=0</formula>
    </cfRule>
  </conditionalFormatting>
  <conditionalFormatting sqref="T271:AA271 T272 Z272 T273:AA273">
    <cfRule type="containsBlanks" dxfId="27" priority="70">
      <formula>LEN(TRIM(T271))=0</formula>
    </cfRule>
  </conditionalFormatting>
  <conditionalFormatting sqref="U78:U83">
    <cfRule type="expression" dxfId="26" priority="41">
      <formula>AND($I$36="その他",#REF!="")</formula>
    </cfRule>
  </conditionalFormatting>
  <conditionalFormatting sqref="U103">
    <cfRule type="expression" dxfId="25" priority="14">
      <formula>$I$31="併用住宅"</formula>
    </cfRule>
    <cfRule type="expression" dxfId="24" priority="15">
      <formula>AND($I$31="併用住宅",$U$103="")</formula>
    </cfRule>
  </conditionalFormatting>
  <conditionalFormatting sqref="U100:X102">
    <cfRule type="expression" dxfId="23" priority="16">
      <formula>$I$31="併用住宅"</formula>
    </cfRule>
  </conditionalFormatting>
  <conditionalFormatting sqref="U102:X102">
    <cfRule type="expression" dxfId="22" priority="17">
      <formula>AND($I$31="併用住宅",$U$102="")</formula>
    </cfRule>
  </conditionalFormatting>
  <conditionalFormatting sqref="U104:X105">
    <cfRule type="expression" dxfId="21" priority="12">
      <formula>AND($I$31="併用住宅",$U$104="")</formula>
    </cfRule>
  </conditionalFormatting>
  <conditionalFormatting sqref="U104:X107">
    <cfRule type="expression" dxfId="20" priority="8">
      <formula>$I$31="併用住宅"</formula>
    </cfRule>
  </conditionalFormatting>
  <conditionalFormatting sqref="U106:X107">
    <cfRule type="expression" dxfId="19" priority="7">
      <formula>AND($I$31="併用住宅",$U$106="")</formula>
    </cfRule>
  </conditionalFormatting>
  <conditionalFormatting sqref="U108:X108">
    <cfRule type="expression" dxfId="18" priority="22">
      <formula>$I$31="併用住宅"</formula>
    </cfRule>
    <cfRule type="expression" dxfId="17" priority="24">
      <formula>AND($I$31="併用住宅",$U$108="")</formula>
    </cfRule>
  </conditionalFormatting>
  <conditionalFormatting sqref="U109:X109">
    <cfRule type="expression" dxfId="16" priority="11">
      <formula>$I$31="併用住宅"</formula>
    </cfRule>
    <cfRule type="expression" dxfId="15" priority="10">
      <formula>AND($I$31="併用住宅",$U$109="")</formula>
    </cfRule>
  </conditionalFormatting>
  <conditionalFormatting sqref="U52:Z52">
    <cfRule type="cellIs" dxfId="14" priority="32" operator="equal">
      <formula>""</formula>
    </cfRule>
  </conditionalFormatting>
  <conditionalFormatting sqref="U55:Z55">
    <cfRule type="cellIs" dxfId="13" priority="33" operator="equal">
      <formula>""</formula>
    </cfRule>
  </conditionalFormatting>
  <conditionalFormatting sqref="U58:Z58">
    <cfRule type="cellIs" dxfId="12" priority="34" operator="equal">
      <formula>""</formula>
    </cfRule>
  </conditionalFormatting>
  <conditionalFormatting sqref="V34:V35">
    <cfRule type="containsBlanks" dxfId="11" priority="114">
      <formula>LEN(TRIM(V34))=0</formula>
    </cfRule>
  </conditionalFormatting>
  <conditionalFormatting sqref="V32:W32">
    <cfRule type="expression" dxfId="10" priority="183">
      <formula>AND($I$31="併用住宅",$V$32="")</formula>
    </cfRule>
  </conditionalFormatting>
  <conditionalFormatting sqref="V33:W33">
    <cfRule type="expression" dxfId="9" priority="182">
      <formula>AND($I$31="併用住宅",$V$33="")</formula>
    </cfRule>
  </conditionalFormatting>
  <conditionalFormatting sqref="V193:Z193">
    <cfRule type="expression" dxfId="8" priority="64">
      <formula>"$R$158=""その他のこて塗り"""</formula>
    </cfRule>
    <cfRule type="expression" dxfId="7" priority="63">
      <formula>AND($R$193="その他のこて塗り",$V$193="")</formula>
    </cfRule>
  </conditionalFormatting>
  <conditionalFormatting sqref="V194:Z194">
    <cfRule type="expression" dxfId="6" priority="62">
      <formula>AND($R$194="その他のこて塗り",$V$194="")</formula>
    </cfRule>
  </conditionalFormatting>
  <dataValidations count="33">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1:T101"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2:T102" xr:uid="{00000000-0002-0000-0000-000005000000}">
      <formula1>10</formula1>
      <formula2>Q101</formula2>
    </dataValidation>
    <dataValidation type="list" showInputMessage="1" showErrorMessage="1" sqref="N200:P200" xr:uid="{00000000-0002-0000-0000-000006000000}">
      <formula1>"　,和瓦,平板瓦,S瓦,"</formula1>
    </dataValidation>
    <dataValidation type="list" allowBlank="1" showInputMessage="1" showErrorMessage="1" sqref="N185:S185"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7:T38 S47:T47"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8:L8" xr:uid="{00000000-0002-0000-0000-00000B000000}">
      <formula1>"1,2,3,4,5,6,7,8,9,10,11,12,13,14,15,16,17,18,19,20,21,22,23,24,25,26,27,28,29,30,31, "</formula1>
    </dataValidation>
    <dataValidation type="list" allowBlank="1" showInputMessage="1" showErrorMessage="1" sqref="E8:F8 N37:Q38" xr:uid="{00000000-0002-0000-0000-00000C000000}">
      <formula1>"6,7,8,9,10,"</formula1>
    </dataValidation>
    <dataValidation type="list" allowBlank="1" showInputMessage="1" showErrorMessage="1" sqref="I46:N46" xr:uid="{00000000-0002-0000-0000-00000D000000}">
      <formula1>"要,不要,"</formula1>
    </dataValidation>
    <dataValidation type="list" allowBlank="1" showInputMessage="1" showErrorMessage="1" sqref="V37:W38 V47:W47" xr:uid="{00000000-0002-0000-0000-00000E000000}">
      <formula1>"1,2,3,4,5,6,7,8,9,10,11,12,13,14,15,16,17,18,19,20,21,22,23,24,25,26,27,28,29,30,31,"</formula1>
    </dataValidation>
    <dataValidation type="list" allowBlank="1" showInputMessage="1" showErrorMessage="1" sqref="B20 B23 B40 B45 B50 B90 B85 B92 B61 B131 P131 B148 B150 B152 B154 B158 B174 B177 B182 B189 B197 B205 B215 B222 B87 B156 B66 B52 B64 B55 B58 B96 B72 C74 B68 B70 B76" xr:uid="{00000000-0002-0000-0000-00000F000000}">
      <formula1>"✔,"</formula1>
    </dataValidation>
    <dataValidation type="list" allowBlank="1" showInputMessage="1" showErrorMessage="1" sqref="T271:AA271" xr:uid="{00000000-0002-0000-0000-000010000000}">
      <formula1>"一級建築士事務所,二級建築士事務所,木造建築士事務所"</formula1>
    </dataValidation>
    <dataValidation type="list" allowBlank="1" showInputMessage="1" showErrorMessage="1" sqref="J269:O269" xr:uid="{00000000-0002-0000-0000-000011000000}">
      <formula1>"工事監理者氏名,工事施工者氏名"</formula1>
    </dataValidation>
    <dataValidation type="whole" showInputMessage="1" showErrorMessage="1" errorTitle="エラー" error="県産材の使用材積以下の整数値（小数点以下切捨て）を入力してください。_x000a_" sqref="Q103:T105" xr:uid="{00000000-0002-0000-0000-000012000000}">
      <formula1>0</formula1>
      <formula2>Q102</formula2>
    </dataValidation>
    <dataValidation type="whole" allowBlank="1" showInputMessage="1" showErrorMessage="1" error="整数値（小数点以下切捨て）を入力してください。" sqref="Q109:T109" xr:uid="{00000000-0002-0000-0000-000013000000}">
      <formula1>0</formula1>
      <formula2>1000000</formula2>
    </dataValidation>
    <dataValidation type="whole" allowBlank="1" showInputMessage="1" showErrorMessage="1" errorTitle="エラー" error="併用住宅全体の県産内外装材、県産木塀の見付面積以下の整数値（小数点以下切捨て）を入力してください。" sqref="U109:X109" xr:uid="{00000000-0002-0000-0000-000014000000}">
      <formula1>0</formula1>
      <formula2>Q109</formula2>
    </dataValidation>
    <dataValidation type="list" showInputMessage="1" showErrorMessage="1" sqref="R193:U193" xr:uid="{00000000-0002-0000-0000-000015000000}">
      <formula1>"　,モルタル塗,漆喰塗,土壁塗,そとん壁,その他のこて塗り"</formula1>
    </dataValidation>
    <dataValidation type="list" showInputMessage="1" showErrorMessage="1" sqref="R194:U194" xr:uid="{00000000-0002-0000-0000-000016000000}">
      <formula1>"　,珪藻土塗,じゅらく塗,その他のこて塗り"</formula1>
    </dataValidation>
    <dataValidation type="list" allowBlank="1" showInputMessage="1" showErrorMessage="1" sqref="O163:Z163" xr:uid="{00000000-0002-0000-0000-000017000000}">
      <formula1>"申請者と同じ,申請者と異なる"</formula1>
    </dataValidation>
    <dataValidation type="list" allowBlank="1" showInputMessage="1" showErrorMessage="1" sqref="U52:Z52" xr:uid="{00000000-0002-0000-0000-000018000000}">
      <formula1>"T-G1,T-G2,T-G3"</formula1>
    </dataValidation>
    <dataValidation type="list" allowBlank="1" showInputMessage="1" showErrorMessage="1" sqref="U55:Z55" xr:uid="{00000000-0002-0000-0000-000019000000}">
      <formula1>"太陽光発電（自家設置）,太陽光発電（リース）,太陽光発電（PPA）,太陽熱利用設備,バイオマス利用設備,地中熱利用設備,その他"</formula1>
    </dataValidation>
    <dataValidation type="list" allowBlank="1" showInputMessage="1" showErrorMessage="1" sqref="U58:Z58" xr:uid="{00000000-0002-0000-0000-00001A000000}">
      <formula1>"『ZEH』,Nearly ZEH（多雪地域に限る）,ZEH Oriented（補助対象外）"</formula1>
    </dataValidation>
    <dataValidation type="list" allowBlank="1" showInputMessage="1" showErrorMessage="1" sqref="O47:Q47" xr:uid="{00000000-0002-0000-0000-00001B000000}">
      <formula1>"2,3,4,5,6,7,8,9,10,"</formula1>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8:X108 U102:X102" xr:uid="{00000000-0002-0000-0000-00001C000000}">
      <formula1>0</formula1>
      <formula2>MIN(Q102,U96)</formula2>
    </dataValidation>
    <dataValidation type="whole" allowBlank="1" showInputMessage="1" showErrorMessage="1" error="県産材の使用材積以下の整数値（小数点以下切捨て）を入力してください。_x000a_" sqref="Q108:T108" xr:uid="{00000000-0002-0000-0000-00001D000000}">
      <formula1>0</formula1>
      <formula2>Q102</formula2>
    </dataValidation>
    <dataValidation type="whole" showInputMessage="1" showErrorMessage="1" errorTitle="エラー" error="県産材の使用材積以下の整数値（小数点以下切捨て）を入力してください。_x000a_" sqref="Q106:T107" xr:uid="{00000000-0002-0000-0000-00001E000000}">
      <formula1>0</formula1>
      <formula2>Q103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3:X103" xr:uid="{00000000-0002-0000-0000-00001F000000}">
      <formula1>0</formula1>
      <formula2>MIN(Q103,U102)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7" xr:uid="{00000000-0002-0000-0000-000020000000}">
      <formula1>0</formula1>
      <formula2>U103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5" xr:uid="{00000000-0002-0000-0000-000021000000}">
      <formula1>0</formula1>
      <formula2>U103</formula2>
    </dataValidation>
  </dataValidations>
  <printOptions horizontalCentered="1"/>
  <pageMargins left="0.70866141732283472" right="0.70866141732283472" top="0.47244094488188981" bottom="0.35433070866141736" header="0.31496062992125984" footer="0.31496062992125984"/>
  <pageSetup paperSize="9" scale="82" orientation="portrait" verticalDpi="1200" r:id="rId1"/>
  <rowBreaks count="3" manualBreakCount="3">
    <brk id="88" max="26" man="1"/>
    <brk id="167" max="26" man="1"/>
    <brk id="231"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showGridLines="0" view="pageBreakPreview" topLeftCell="A21" zoomScale="85" zoomScaleNormal="100" zoomScaleSheetLayoutView="85" workbookViewId="0">
      <selection activeCell="B15" sqref="B15"/>
    </sheetView>
  </sheetViews>
  <sheetFormatPr defaultColWidth="9" defaultRowHeight="13.2" x14ac:dyDescent="0.2"/>
  <cols>
    <col min="1" max="1" width="4.77734375" style="1" customWidth="1"/>
    <col min="2" max="4" width="24.6640625" style="1" customWidth="1"/>
    <col min="5" max="16384" width="9" style="1"/>
  </cols>
  <sheetData>
    <row r="1" spans="1:6" x14ac:dyDescent="0.2">
      <c r="A1" s="1" t="s">
        <v>160</v>
      </c>
    </row>
    <row r="5" spans="1:6" ht="14.4" x14ac:dyDescent="0.2">
      <c r="A5" s="516" t="s">
        <v>149</v>
      </c>
      <c r="B5" s="516"/>
      <c r="C5" s="516"/>
      <c r="D5" s="516"/>
      <c r="E5" s="516"/>
    </row>
    <row r="7" spans="1:6" ht="38.25" customHeight="1" x14ac:dyDescent="0.2">
      <c r="C7" s="5" t="s">
        <v>44</v>
      </c>
      <c r="D7" s="401" t="str">
        <f>IF('【様式第６号】事業計画書兼チェックシート（新築）'!N11="","",'【様式第６号】事業計画書兼チェックシート（新築）'!N11)</f>
        <v/>
      </c>
      <c r="E7" s="401"/>
    </row>
    <row r="8" spans="1:6" x14ac:dyDescent="0.2">
      <c r="C8" s="5" t="s">
        <v>45</v>
      </c>
      <c r="D8" s="402" t="str">
        <f>IF('【様式第６号】事業計画書兼チェックシート（新築）'!N12="","",'【様式第６号】事業計画書兼チェックシート（新築）'!N12)</f>
        <v/>
      </c>
      <c r="E8" s="402"/>
    </row>
    <row r="10" spans="1:6" x14ac:dyDescent="0.2">
      <c r="A10" s="1" t="s">
        <v>39</v>
      </c>
    </row>
    <row r="11" spans="1:6" x14ac:dyDescent="0.2">
      <c r="A11" s="1" t="s">
        <v>40</v>
      </c>
    </row>
    <row r="13" spans="1:6" x14ac:dyDescent="0.2">
      <c r="B13" s="54" t="s">
        <v>38</v>
      </c>
      <c r="C13" s="54" t="s">
        <v>5</v>
      </c>
      <c r="D13" s="54" t="s">
        <v>43</v>
      </c>
    </row>
    <row r="14" spans="1:6" ht="27.9" customHeight="1" x14ac:dyDescent="0.2">
      <c r="A14" s="37" t="s">
        <v>42</v>
      </c>
      <c r="B14" s="54" t="s">
        <v>227</v>
      </c>
      <c r="C14" s="103" t="s">
        <v>228</v>
      </c>
      <c r="D14" s="102" t="s">
        <v>229</v>
      </c>
    </row>
    <row r="15" spans="1:6" ht="29.4" customHeight="1" x14ac:dyDescent="0.2">
      <c r="A15" s="37" t="s">
        <v>42</v>
      </c>
      <c r="B15" s="56" t="s">
        <v>230</v>
      </c>
      <c r="C15" s="56" t="s">
        <v>231</v>
      </c>
      <c r="D15" s="56" t="s">
        <v>232</v>
      </c>
      <c r="F15" s="98"/>
    </row>
    <row r="16" spans="1:6" x14ac:dyDescent="0.2">
      <c r="B16" s="55"/>
      <c r="C16" s="55"/>
      <c r="D16" s="55"/>
    </row>
    <row r="17" spans="1:7" x14ac:dyDescent="0.2">
      <c r="B17" s="53" t="s">
        <v>38</v>
      </c>
      <c r="C17" s="54" t="s">
        <v>5</v>
      </c>
      <c r="D17" s="54" t="s">
        <v>22</v>
      </c>
    </row>
    <row r="18" spans="1:7" ht="36" customHeight="1" x14ac:dyDescent="0.2">
      <c r="B18" s="95"/>
      <c r="C18" s="95"/>
      <c r="D18" s="96"/>
    </row>
    <row r="19" spans="1:7" ht="36" customHeight="1" x14ac:dyDescent="0.2">
      <c r="B19" s="95"/>
      <c r="C19" s="95"/>
      <c r="D19" s="96"/>
    </row>
    <row r="20" spans="1:7" ht="36" customHeight="1" x14ac:dyDescent="0.2">
      <c r="B20" s="95"/>
      <c r="C20" s="95"/>
      <c r="D20" s="96"/>
    </row>
    <row r="21" spans="1:7" ht="36" customHeight="1" x14ac:dyDescent="0.2">
      <c r="B21" s="95"/>
      <c r="C21" s="95"/>
      <c r="D21" s="96"/>
      <c r="G21" s="1" t="s">
        <v>213</v>
      </c>
    </row>
    <row r="22" spans="1:7" ht="36" customHeight="1" x14ac:dyDescent="0.2">
      <c r="B22" s="95"/>
      <c r="C22" s="95"/>
      <c r="D22" s="96"/>
      <c r="G22" s="1" t="s">
        <v>214</v>
      </c>
    </row>
    <row r="23" spans="1:7" ht="36" customHeight="1" x14ac:dyDescent="0.2">
      <c r="B23" s="95"/>
      <c r="C23" s="95"/>
      <c r="D23" s="96"/>
      <c r="G23" s="1" t="s">
        <v>215</v>
      </c>
    </row>
    <row r="24" spans="1:7" ht="36" customHeight="1" x14ac:dyDescent="0.2">
      <c r="B24" s="95"/>
      <c r="C24" s="95"/>
      <c r="D24" s="96"/>
      <c r="G24" s="1" t="s">
        <v>216</v>
      </c>
    </row>
    <row r="26" spans="1:7" x14ac:dyDescent="0.2">
      <c r="A26" s="1" t="s">
        <v>51</v>
      </c>
    </row>
    <row r="27" spans="1:7" x14ac:dyDescent="0.2">
      <c r="A27" s="57" t="s">
        <v>50</v>
      </c>
      <c r="B27" s="517" t="s">
        <v>49</v>
      </c>
      <c r="C27" s="517"/>
      <c r="D27" s="517"/>
      <c r="E27" s="517"/>
    </row>
    <row r="28" spans="1:7" x14ac:dyDescent="0.2">
      <c r="A28" s="58"/>
      <c r="B28" s="517"/>
      <c r="C28" s="517"/>
      <c r="D28" s="517"/>
      <c r="E28" s="517"/>
    </row>
    <row r="29" spans="1:7" x14ac:dyDescent="0.2">
      <c r="A29" s="57" t="s">
        <v>52</v>
      </c>
      <c r="B29" s="517" t="s">
        <v>53</v>
      </c>
      <c r="C29" s="517"/>
      <c r="D29" s="517"/>
      <c r="E29" s="517"/>
    </row>
    <row r="30" spans="1:7" x14ac:dyDescent="0.2">
      <c r="A30" s="57"/>
      <c r="B30" s="517"/>
      <c r="C30" s="517"/>
      <c r="D30" s="517"/>
      <c r="E30" s="517"/>
    </row>
    <row r="31" spans="1:7" x14ac:dyDescent="0.2">
      <c r="A31" s="57"/>
      <c r="B31" s="517"/>
      <c r="C31" s="517"/>
      <c r="D31" s="517"/>
      <c r="E31" s="517"/>
    </row>
    <row r="32" spans="1:7" x14ac:dyDescent="0.2">
      <c r="A32" s="58"/>
      <c r="B32" s="517"/>
      <c r="C32" s="517"/>
      <c r="D32" s="517"/>
      <c r="E32" s="517"/>
    </row>
  </sheetData>
  <mergeCells count="5">
    <mergeCell ref="A5:E5"/>
    <mergeCell ref="D7:E7"/>
    <mergeCell ref="D8:E8"/>
    <mergeCell ref="B27:E28"/>
    <mergeCell ref="B29:E32"/>
  </mergeCells>
  <phoneticPr fontId="1"/>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0"/>
  <sheetViews>
    <sheetView view="pageBreakPreview" zoomScaleNormal="100" zoomScaleSheetLayoutView="100" workbookViewId="0">
      <selection activeCell="A2" sqref="A2"/>
    </sheetView>
  </sheetViews>
  <sheetFormatPr defaultColWidth="3.109375" defaultRowHeight="18" customHeight="1" x14ac:dyDescent="0.2"/>
  <cols>
    <col min="1" max="26" width="3.109375" style="59"/>
    <col min="27" max="27" width="3.109375" style="60"/>
    <col min="28" max="16384" width="3.109375" style="59"/>
  </cols>
  <sheetData>
    <row r="1" spans="1:27" ht="18" customHeight="1" x14ac:dyDescent="0.2">
      <c r="A1" s="59" t="s">
        <v>512</v>
      </c>
    </row>
    <row r="2" spans="1:27" ht="18" customHeight="1" x14ac:dyDescent="0.2">
      <c r="A2" s="106"/>
      <c r="B2" s="106"/>
      <c r="C2" s="106"/>
      <c r="D2" s="106"/>
      <c r="E2" s="106"/>
      <c r="F2" s="106"/>
      <c r="G2" s="106"/>
      <c r="H2" s="106"/>
      <c r="I2" s="106"/>
      <c r="J2" s="106"/>
      <c r="K2" s="106"/>
      <c r="L2" s="106"/>
      <c r="M2" s="106"/>
      <c r="N2" s="106"/>
      <c r="O2" s="107" t="s">
        <v>236</v>
      </c>
      <c r="P2" s="107"/>
      <c r="Q2" s="519" t="str">
        <f>IF('【様式第６号】事業計画書兼チェックシート（新築）'!E8="","",'【様式第６号】事業計画書兼チェックシート（新築）'!E8)</f>
        <v/>
      </c>
      <c r="R2" s="519"/>
      <c r="S2" s="106" t="s">
        <v>235</v>
      </c>
      <c r="T2" s="519" t="str">
        <f>IF('【様式第６号】事業計画書兼チェックシート（新築）'!H8="","",'【様式第６号】事業計画書兼チェックシート（新築）'!H8)</f>
        <v/>
      </c>
      <c r="U2" s="519"/>
      <c r="V2" s="106" t="s">
        <v>234</v>
      </c>
      <c r="W2" s="519" t="str">
        <f>IF('【様式第６号】事業計画書兼チェックシート（新築）'!K8="","",'【様式第６号】事業計画書兼チェックシート（新築）'!K8)</f>
        <v/>
      </c>
      <c r="X2" s="519"/>
      <c r="Y2" s="106" t="s">
        <v>233</v>
      </c>
      <c r="Z2" s="106"/>
      <c r="AA2" s="60" t="s">
        <v>238</v>
      </c>
    </row>
    <row r="3" spans="1:27" ht="18" hidden="1" customHeight="1" x14ac:dyDescent="0.2">
      <c r="A3" s="61"/>
      <c r="B3" s="61"/>
      <c r="C3" s="61"/>
      <c r="D3" s="61"/>
      <c r="E3" s="61"/>
      <c r="F3" s="61"/>
      <c r="G3" s="61"/>
      <c r="H3" s="61"/>
      <c r="I3" s="61"/>
      <c r="J3" s="61"/>
      <c r="K3" s="61"/>
      <c r="L3" s="61"/>
      <c r="M3" s="61"/>
      <c r="N3" s="61"/>
      <c r="O3" s="61"/>
      <c r="P3" s="61"/>
      <c r="Q3" s="61"/>
      <c r="R3" s="61"/>
      <c r="S3" s="61"/>
      <c r="T3" s="61"/>
      <c r="U3" s="61"/>
      <c r="V3" s="61"/>
      <c r="W3" s="61"/>
      <c r="X3" s="61"/>
      <c r="Y3" s="61"/>
      <c r="Z3" s="61"/>
    </row>
    <row r="5" spans="1:27" ht="18" customHeight="1" x14ac:dyDescent="0.2">
      <c r="B5" s="59" t="str">
        <f>IF('【様式第６号】事業計画書兼チェックシート（新築）'!BG28="","鳥取県　　　　　所長　様",'【様式第６号】事業計画書兼チェックシート（新築）'!BG28&amp;"　様")</f>
        <v>鳥取県　　　　　所長　様</v>
      </c>
    </row>
    <row r="7" spans="1:27" ht="18" customHeight="1" x14ac:dyDescent="0.2">
      <c r="M7" s="59" t="s">
        <v>13</v>
      </c>
    </row>
    <row r="8" spans="1:27" ht="18" customHeight="1" x14ac:dyDescent="0.2">
      <c r="M8" s="59" t="s">
        <v>12</v>
      </c>
      <c r="O8" s="59" t="s">
        <v>46</v>
      </c>
      <c r="P8" s="518" t="str">
        <f>IF('【様式第６号】事業計画書兼チェックシート（新築）'!O10="","",'【様式第６号】事業計画書兼チェックシート（新築）'!O10)</f>
        <v/>
      </c>
      <c r="Q8" s="518"/>
      <c r="R8" s="518"/>
      <c r="S8" s="518"/>
      <c r="T8" s="518"/>
      <c r="U8" s="518"/>
      <c r="V8" s="518"/>
      <c r="W8" s="518"/>
      <c r="X8" s="518"/>
    </row>
    <row r="9" spans="1:27" ht="50.25" customHeight="1" x14ac:dyDescent="0.2">
      <c r="O9" s="527" t="str">
        <f>IF('【様式第６号】事業計画書兼チェックシート（新築）'!N11="","",'【様式第６号】事業計画書兼チェックシート（新築）'!N11)</f>
        <v/>
      </c>
      <c r="P9" s="527"/>
      <c r="Q9" s="527"/>
      <c r="R9" s="527"/>
      <c r="S9" s="527"/>
      <c r="T9" s="527"/>
      <c r="U9" s="527"/>
      <c r="V9" s="527"/>
      <c r="W9" s="527"/>
      <c r="X9" s="527"/>
    </row>
    <row r="10" spans="1:27" ht="18" customHeight="1" x14ac:dyDescent="0.2">
      <c r="M10" s="59" t="s">
        <v>6</v>
      </c>
      <c r="O10" s="527" t="str">
        <f>IF('【様式第６号】事業計画書兼チェックシート（新築）'!N12="","",'【様式第６号】事業計画書兼チェックシート（新築）'!N12)</f>
        <v/>
      </c>
      <c r="P10" s="527"/>
      <c r="Q10" s="527"/>
      <c r="R10" s="527"/>
      <c r="S10" s="527"/>
      <c r="T10" s="527"/>
      <c r="U10" s="527"/>
      <c r="V10" s="527"/>
      <c r="W10" s="527"/>
      <c r="X10" s="527"/>
      <c r="AA10" s="60" t="s">
        <v>72</v>
      </c>
    </row>
    <row r="11" spans="1:27" ht="18" customHeight="1" x14ac:dyDescent="0.2">
      <c r="M11" s="59" t="s">
        <v>9</v>
      </c>
      <c r="O11" s="532" t="str">
        <f>IF('【様式第６号】事業計画書兼チェックシート（新築）'!N13="","",'【様式第６号】事業計画書兼チェックシート（新築）'!N13)</f>
        <v/>
      </c>
      <c r="P11" s="532"/>
      <c r="Q11" s="532"/>
      <c r="R11" s="532"/>
      <c r="S11" s="532"/>
      <c r="T11" s="532"/>
      <c r="U11" s="532"/>
      <c r="V11" s="532"/>
      <c r="W11" s="532"/>
      <c r="X11" s="532"/>
    </row>
    <row r="12" spans="1:27" ht="18" hidden="1" customHeight="1" x14ac:dyDescent="0.2"/>
    <row r="14" spans="1:27" ht="18" customHeight="1" x14ac:dyDescent="0.2">
      <c r="A14" s="533" t="s">
        <v>472</v>
      </c>
      <c r="B14" s="533"/>
      <c r="C14" s="533"/>
      <c r="D14" s="533"/>
      <c r="E14" s="533"/>
      <c r="F14" s="533"/>
      <c r="G14" s="533"/>
      <c r="H14" s="533"/>
      <c r="I14" s="533"/>
      <c r="J14" s="533"/>
      <c r="K14" s="533"/>
      <c r="L14" s="533"/>
      <c r="M14" s="533"/>
      <c r="N14" s="533"/>
      <c r="O14" s="533"/>
      <c r="P14" s="533"/>
      <c r="Q14" s="533"/>
      <c r="R14" s="533"/>
      <c r="S14" s="533"/>
      <c r="T14" s="533"/>
      <c r="U14" s="533"/>
      <c r="V14" s="533"/>
      <c r="W14" s="533"/>
      <c r="X14" s="533"/>
      <c r="Y14" s="533"/>
      <c r="Z14" s="533"/>
    </row>
    <row r="16" spans="1:27" ht="36" customHeight="1" x14ac:dyDescent="0.2">
      <c r="A16" s="527" t="s">
        <v>23</v>
      </c>
      <c r="B16" s="527"/>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row>
    <row r="18" spans="1:27" ht="18" customHeight="1" x14ac:dyDescent="0.2">
      <c r="A18" s="533" t="s">
        <v>14</v>
      </c>
      <c r="B18" s="533"/>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row>
    <row r="19" spans="1:27" ht="18" hidden="1" customHeight="1" x14ac:dyDescent="0.2"/>
    <row r="20" spans="1:27" ht="18" customHeight="1" x14ac:dyDescent="0.2">
      <c r="B20" s="62" t="s">
        <v>15</v>
      </c>
      <c r="C20" s="63"/>
      <c r="D20" s="63"/>
      <c r="E20" s="63"/>
      <c r="F20" s="63"/>
      <c r="G20" s="64"/>
      <c r="H20" s="528" t="s">
        <v>16</v>
      </c>
      <c r="I20" s="529"/>
      <c r="J20" s="529"/>
      <c r="K20" s="529"/>
      <c r="L20" s="529"/>
      <c r="M20" s="529"/>
      <c r="N20" s="529"/>
      <c r="O20" s="529"/>
      <c r="P20" s="529"/>
      <c r="Q20" s="529"/>
      <c r="R20" s="529"/>
      <c r="S20" s="529"/>
      <c r="T20" s="529"/>
      <c r="U20" s="529"/>
      <c r="V20" s="529"/>
      <c r="W20" s="529"/>
      <c r="X20" s="529"/>
      <c r="Y20" s="530"/>
    </row>
    <row r="21" spans="1:27" ht="18" customHeight="1" x14ac:dyDescent="0.2">
      <c r="B21" s="62" t="s">
        <v>17</v>
      </c>
      <c r="C21" s="63"/>
      <c r="D21" s="63"/>
      <c r="E21" s="63"/>
      <c r="F21" s="63"/>
      <c r="G21" s="64"/>
      <c r="H21" s="65"/>
      <c r="I21" s="66"/>
      <c r="J21" s="66"/>
      <c r="K21" s="66"/>
      <c r="L21" s="67" t="s">
        <v>24</v>
      </c>
      <c r="M21" s="531">
        <f>IF('【様式第６号】事業計画書兼チェックシート（新築）'!T236="","",'【様式第６号】事業計画書兼チェックシート（新築）'!AB232*10000)</f>
        <v>0</v>
      </c>
      <c r="N21" s="531"/>
      <c r="O21" s="531"/>
      <c r="P21" s="531"/>
      <c r="Q21" s="531"/>
      <c r="R21" s="531"/>
      <c r="S21" s="66" t="s">
        <v>18</v>
      </c>
      <c r="T21" s="66"/>
      <c r="U21" s="66"/>
      <c r="V21" s="66"/>
      <c r="W21" s="66"/>
      <c r="X21" s="66"/>
      <c r="Y21" s="68"/>
      <c r="AA21" s="60" t="s">
        <v>73</v>
      </c>
    </row>
    <row r="22" spans="1:27" ht="18" customHeight="1" x14ac:dyDescent="0.2">
      <c r="B22" s="62" t="s">
        <v>19</v>
      </c>
      <c r="C22" s="63"/>
      <c r="D22" s="63"/>
      <c r="E22" s="63"/>
      <c r="F22" s="63"/>
      <c r="G22" s="64"/>
      <c r="H22" s="69"/>
      <c r="I22" s="70"/>
      <c r="J22" s="70"/>
      <c r="K22" s="70"/>
      <c r="L22" s="71" t="s">
        <v>24</v>
      </c>
      <c r="M22" s="531">
        <f>IF('【様式第６号】事業計画書兼チェックシート（新築）'!T236="","",'【様式第６号】事業計画書兼チェックシート（新築）'!T236*10000)</f>
        <v>0</v>
      </c>
      <c r="N22" s="531"/>
      <c r="O22" s="531"/>
      <c r="P22" s="531"/>
      <c r="Q22" s="531"/>
      <c r="R22" s="531"/>
      <c r="S22" s="66" t="s">
        <v>18</v>
      </c>
      <c r="T22" s="70"/>
      <c r="U22" s="70"/>
      <c r="V22" s="70"/>
      <c r="W22" s="70"/>
      <c r="X22" s="70"/>
      <c r="Y22" s="72"/>
      <c r="AA22" s="60" t="s">
        <v>73</v>
      </c>
    </row>
    <row r="23" spans="1:27" ht="18" customHeight="1" x14ac:dyDescent="0.2">
      <c r="B23" s="73" t="s">
        <v>20</v>
      </c>
      <c r="C23" s="74"/>
      <c r="D23" s="74"/>
      <c r="E23" s="74"/>
      <c r="F23" s="74"/>
      <c r="G23" s="75"/>
      <c r="H23" s="76"/>
      <c r="I23" s="77"/>
      <c r="J23" s="74"/>
      <c r="K23" s="74"/>
      <c r="L23" s="74"/>
      <c r="M23" s="74"/>
      <c r="N23" s="74"/>
      <c r="O23" s="74"/>
      <c r="P23" s="74"/>
      <c r="Q23" s="74"/>
      <c r="R23" s="74"/>
      <c r="S23" s="74"/>
      <c r="T23" s="74"/>
      <c r="U23" s="74"/>
      <c r="V23" s="74"/>
      <c r="W23" s="74"/>
      <c r="X23" s="74"/>
      <c r="Y23" s="75"/>
    </row>
    <row r="24" spans="1:27" ht="18" customHeight="1" x14ac:dyDescent="0.2">
      <c r="B24" s="78"/>
      <c r="G24" s="79"/>
      <c r="H24" s="80" t="s">
        <v>511</v>
      </c>
      <c r="I24" s="81"/>
      <c r="Y24" s="79"/>
      <c r="AA24" s="60" t="s">
        <v>74</v>
      </c>
    </row>
    <row r="25" spans="1:27" ht="18" hidden="1" customHeight="1" x14ac:dyDescent="0.2">
      <c r="B25" s="78"/>
      <c r="G25" s="79"/>
      <c r="H25" s="80" t="e">
        <f>IF('【様式第６号】事業計画書兼チェックシート（新築）'!#REF!="有","・他に利用する補助金一覧表（様式第６号別紙）","")</f>
        <v>#REF!</v>
      </c>
      <c r="I25" s="81"/>
      <c r="Y25" s="79"/>
    </row>
    <row r="26" spans="1:27" ht="18" customHeight="1" x14ac:dyDescent="0.2">
      <c r="B26" s="78"/>
      <c r="G26" s="79"/>
      <c r="H26" s="80" t="str">
        <f>IF('【様式第６号】事業計画書兼チェックシート（新築）'!C248="","","・"&amp;'【様式第６号】事業計画書兼チェックシート（新築）'!C248)</f>
        <v>・各階平面図、配置図</v>
      </c>
      <c r="I26" s="81"/>
      <c r="Y26" s="79"/>
    </row>
    <row r="27" spans="1:27" ht="18" customHeight="1" x14ac:dyDescent="0.2">
      <c r="B27" s="78"/>
      <c r="G27" s="79"/>
      <c r="H27" s="80"/>
      <c r="I27" s="81"/>
      <c r="Y27" s="79"/>
    </row>
    <row r="28" spans="1:27" ht="18" customHeight="1" x14ac:dyDescent="0.2">
      <c r="B28" s="78"/>
      <c r="G28" s="79"/>
      <c r="H28" s="80"/>
      <c r="I28" s="81"/>
      <c r="Y28" s="79"/>
    </row>
    <row r="29" spans="1:27" ht="18" customHeight="1" x14ac:dyDescent="0.2">
      <c r="B29" s="78"/>
      <c r="G29" s="79"/>
      <c r="H29" s="80"/>
      <c r="I29" s="81"/>
      <c r="Y29" s="79"/>
    </row>
    <row r="30" spans="1:27" ht="18" customHeight="1" x14ac:dyDescent="0.2">
      <c r="B30" s="78"/>
      <c r="G30" s="79"/>
      <c r="H30" s="80"/>
      <c r="I30" s="81"/>
      <c r="Y30" s="79"/>
    </row>
    <row r="31" spans="1:27" ht="18" customHeight="1" x14ac:dyDescent="0.2">
      <c r="B31" s="82"/>
      <c r="C31" s="83"/>
      <c r="D31" s="83"/>
      <c r="E31" s="83"/>
      <c r="F31" s="83"/>
      <c r="G31" s="84"/>
      <c r="H31" s="85"/>
      <c r="I31" s="86"/>
      <c r="J31" s="83"/>
      <c r="K31" s="83"/>
      <c r="L31" s="83"/>
      <c r="M31" s="83"/>
      <c r="N31" s="83"/>
      <c r="O31" s="83"/>
      <c r="P31" s="83"/>
      <c r="Q31" s="83"/>
      <c r="R31" s="83"/>
      <c r="S31" s="83"/>
      <c r="T31" s="83"/>
      <c r="U31" s="83"/>
      <c r="V31" s="83"/>
      <c r="W31" s="83"/>
      <c r="X31" s="83"/>
      <c r="Y31" s="84"/>
    </row>
    <row r="32" spans="1:27" ht="11.25" customHeight="1" x14ac:dyDescent="0.2"/>
    <row r="33" spans="1:35" ht="11.25" customHeight="1" x14ac:dyDescent="0.2"/>
    <row r="34" spans="1:35" s="52" customFormat="1" ht="18" customHeight="1" x14ac:dyDescent="0.15">
      <c r="A34" s="87" t="s">
        <v>205</v>
      </c>
      <c r="B34" s="88"/>
      <c r="C34" s="88"/>
      <c r="D34" s="88"/>
      <c r="E34" s="88"/>
      <c r="F34" s="88"/>
      <c r="G34" s="88"/>
      <c r="H34" s="88"/>
      <c r="I34" s="88"/>
      <c r="J34" s="88"/>
      <c r="K34" s="88"/>
      <c r="L34" s="88"/>
      <c r="M34" s="88"/>
      <c r="N34" s="88"/>
      <c r="O34" s="88"/>
      <c r="P34" s="88"/>
      <c r="Q34" s="89"/>
      <c r="R34" s="88"/>
      <c r="S34" s="88"/>
      <c r="T34" s="88"/>
      <c r="U34" s="88"/>
      <c r="V34" s="88"/>
      <c r="W34" s="88"/>
      <c r="X34" s="88"/>
      <c r="Y34" s="88"/>
      <c r="Z34" s="88"/>
      <c r="AA34" s="90"/>
    </row>
    <row r="35" spans="1:35" s="52" customFormat="1" ht="18" customHeight="1" x14ac:dyDescent="0.15">
      <c r="A35" s="87"/>
      <c r="B35" s="52" t="s">
        <v>11</v>
      </c>
      <c r="AA35" s="90"/>
    </row>
    <row r="36" spans="1:35" s="52" customFormat="1" ht="18" customHeight="1" x14ac:dyDescent="0.2">
      <c r="B36" s="330" t="s">
        <v>206</v>
      </c>
      <c r="C36" s="331"/>
      <c r="D36" s="331"/>
      <c r="E36" s="331"/>
      <c r="F36" s="331"/>
      <c r="G36" s="331"/>
      <c r="H36" s="332"/>
      <c r="I36" s="91" t="s">
        <v>10</v>
      </c>
      <c r="J36" s="520" t="str">
        <f>IF('【様式第６号】事業計画書兼チェックシート（新築）'!K260="","",'【様式第６号】事業計画書兼チェックシート（新築）'!K260)</f>
        <v/>
      </c>
      <c r="K36" s="520"/>
      <c r="L36" s="520"/>
      <c r="M36" s="337"/>
      <c r="N36" s="337"/>
      <c r="O36" s="337"/>
      <c r="P36" s="337"/>
      <c r="Q36" s="337"/>
      <c r="R36" s="337"/>
      <c r="S36" s="337"/>
      <c r="T36" s="337"/>
      <c r="U36" s="337"/>
      <c r="V36" s="337"/>
      <c r="W36" s="337"/>
      <c r="X36" s="337"/>
      <c r="Y36" s="338"/>
      <c r="AA36" s="60"/>
    </row>
    <row r="37" spans="1:35" s="52" customFormat="1" ht="18" customHeight="1" x14ac:dyDescent="0.2">
      <c r="B37" s="333"/>
      <c r="C37" s="334"/>
      <c r="D37" s="334"/>
      <c r="E37" s="334"/>
      <c r="F37" s="334"/>
      <c r="G37" s="334"/>
      <c r="H37" s="335"/>
      <c r="I37" s="521" t="str">
        <f>IF('【様式第６号】事業計画書兼チェックシート（新築）'!J261="","",'【様式第６号】事業計画書兼チェックシート（新築）'!J261)</f>
        <v/>
      </c>
      <c r="J37" s="522"/>
      <c r="K37" s="522"/>
      <c r="L37" s="522"/>
      <c r="M37" s="522"/>
      <c r="N37" s="522"/>
      <c r="O37" s="522"/>
      <c r="P37" s="522"/>
      <c r="Q37" s="522"/>
      <c r="R37" s="522"/>
      <c r="S37" s="522"/>
      <c r="T37" s="522"/>
      <c r="U37" s="522"/>
      <c r="V37" s="522"/>
      <c r="W37" s="522"/>
      <c r="X37" s="522"/>
      <c r="Y37" s="523"/>
      <c r="AA37" s="90"/>
      <c r="AB37" s="90"/>
      <c r="AC37" s="90"/>
      <c r="AD37" s="90"/>
      <c r="AE37" s="90"/>
      <c r="AF37" s="90"/>
      <c r="AG37" s="90"/>
      <c r="AH37" s="90"/>
      <c r="AI37" s="90"/>
    </row>
    <row r="38" spans="1:35" s="52" customFormat="1" ht="24" customHeight="1" x14ac:dyDescent="0.2">
      <c r="B38" s="342" t="s">
        <v>207</v>
      </c>
      <c r="C38" s="343"/>
      <c r="D38" s="343"/>
      <c r="E38" s="343"/>
      <c r="F38" s="343"/>
      <c r="G38" s="343"/>
      <c r="H38" s="344"/>
      <c r="I38" s="524" t="str">
        <f>IF('【様式第６号】事業計画書兼チェックシート（新築）'!J262="","",'【様式第６号】事業計画書兼チェックシート（新築）'!J262)</f>
        <v/>
      </c>
      <c r="J38" s="525"/>
      <c r="K38" s="525"/>
      <c r="L38" s="525"/>
      <c r="M38" s="525"/>
      <c r="N38" s="525"/>
      <c r="O38" s="525"/>
      <c r="P38" s="525"/>
      <c r="Q38" s="525"/>
      <c r="R38" s="525"/>
      <c r="S38" s="525"/>
      <c r="T38" s="525"/>
      <c r="U38" s="525"/>
      <c r="V38" s="525"/>
      <c r="W38" s="525"/>
      <c r="X38" s="525"/>
      <c r="Y38" s="526"/>
      <c r="AA38" s="90"/>
      <c r="AB38" s="90"/>
      <c r="AC38" s="90"/>
      <c r="AD38" s="90"/>
      <c r="AE38" s="90"/>
      <c r="AF38" s="90"/>
      <c r="AG38" s="90"/>
      <c r="AH38" s="90"/>
      <c r="AI38" s="90"/>
    </row>
    <row r="39" spans="1:35" s="52" customFormat="1" ht="18" customHeight="1" x14ac:dyDescent="0.2">
      <c r="B39" s="342" t="s">
        <v>21</v>
      </c>
      <c r="C39" s="343"/>
      <c r="D39" s="343"/>
      <c r="E39" s="343"/>
      <c r="F39" s="343"/>
      <c r="G39" s="343"/>
      <c r="H39" s="344"/>
      <c r="I39" s="351" t="str">
        <f>IF('【様式第６号】事業計画書兼チェックシート（新築）'!J263="","",'【様式第６号】事業計画書兼チェックシート（新築）'!J263)</f>
        <v/>
      </c>
      <c r="J39" s="352"/>
      <c r="K39" s="352"/>
      <c r="L39" s="352"/>
      <c r="M39" s="353"/>
      <c r="N39" s="351" t="s">
        <v>9</v>
      </c>
      <c r="O39" s="352"/>
      <c r="P39" s="353"/>
      <c r="Q39" s="352" t="str">
        <f>IF('【様式第６号】事業計画書兼チェックシート（新築）'!R263="","",'【様式第６号】事業計画書兼チェックシート（新築）'!R263)</f>
        <v/>
      </c>
      <c r="R39" s="352"/>
      <c r="S39" s="352"/>
      <c r="T39" s="352"/>
      <c r="U39" s="352"/>
      <c r="V39" s="352"/>
      <c r="W39" s="352"/>
      <c r="X39" s="352"/>
      <c r="Y39" s="353"/>
      <c r="AA39" s="90"/>
      <c r="AB39" s="90"/>
      <c r="AC39" s="90"/>
      <c r="AD39" s="90"/>
      <c r="AE39" s="90"/>
      <c r="AF39" s="90"/>
      <c r="AG39" s="90"/>
      <c r="AH39" s="92"/>
      <c r="AI39" s="90"/>
    </row>
    <row r="40" spans="1:35" s="52" customFormat="1" ht="18" customHeight="1" x14ac:dyDescent="0.2">
      <c r="AA40" s="90"/>
      <c r="AB40" s="90"/>
      <c r="AC40" s="90"/>
      <c r="AD40" s="90"/>
      <c r="AE40" s="90"/>
      <c r="AF40" s="90"/>
      <c r="AG40" s="90"/>
      <c r="AH40" s="90"/>
      <c r="AI40" s="90"/>
    </row>
  </sheetData>
  <sheetProtection algorithmName="SHA-512" hashValue="olHhF8/9LjfdQqm4VpkCVT2lWh8Zyl/RKj+rueqeyalZr8pXJOgmK2emSHceCF6GIl1UOss3MfUs69f1oLWBNA==" saltValue="V/yioYfg5c4N3e0qX6LHhw==" spinCount="100000" sheet="1" objects="1" scenarios="1" selectLockedCells="1"/>
  <mergeCells count="23">
    <mergeCell ref="H20:Y20"/>
    <mergeCell ref="M21:R21"/>
    <mergeCell ref="M22:R22"/>
    <mergeCell ref="O11:X11"/>
    <mergeCell ref="A16:Z16"/>
    <mergeCell ref="A14:Z14"/>
    <mergeCell ref="A18:Z18"/>
    <mergeCell ref="P8:X8"/>
    <mergeCell ref="Q2:R2"/>
    <mergeCell ref="T2:U2"/>
    <mergeCell ref="W2:X2"/>
    <mergeCell ref="B39:H39"/>
    <mergeCell ref="Q39:Y39"/>
    <mergeCell ref="N39:P39"/>
    <mergeCell ref="I39:M39"/>
    <mergeCell ref="B36:H37"/>
    <mergeCell ref="J36:L36"/>
    <mergeCell ref="M36:Y36"/>
    <mergeCell ref="I37:Y37"/>
    <mergeCell ref="B38:H38"/>
    <mergeCell ref="I38:Y38"/>
    <mergeCell ref="O9:X9"/>
    <mergeCell ref="O10:X10"/>
  </mergeCells>
  <phoneticPr fontId="1"/>
  <conditionalFormatting sqref="A2:O2 S2:T2 V2:W2 Y2:Z2">
    <cfRule type="cellIs" dxfId="5"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ignoredErrors>
    <ignoredError sqref="T2 W2 Q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0"/>
  <sheetViews>
    <sheetView view="pageBreakPreview" zoomScaleNormal="100" zoomScaleSheetLayoutView="100" workbookViewId="0">
      <selection activeCell="A2" sqref="A2"/>
    </sheetView>
  </sheetViews>
  <sheetFormatPr defaultColWidth="3.109375" defaultRowHeight="18" customHeight="1" x14ac:dyDescent="0.2"/>
  <cols>
    <col min="1" max="26" width="3.109375" style="59"/>
    <col min="27" max="27" width="3.109375" style="60"/>
    <col min="28" max="16384" width="3.109375" style="59"/>
  </cols>
  <sheetData>
    <row r="1" spans="1:27" ht="18" customHeight="1" x14ac:dyDescent="0.2">
      <c r="A1" s="59" t="s">
        <v>512</v>
      </c>
    </row>
    <row r="2" spans="1:27" ht="18" customHeight="1" x14ac:dyDescent="0.2">
      <c r="A2" s="106"/>
      <c r="B2" s="106"/>
      <c r="C2" s="106"/>
      <c r="D2" s="106"/>
      <c r="E2" s="106"/>
      <c r="F2" s="106"/>
      <c r="G2" s="106"/>
      <c r="H2" s="106"/>
      <c r="I2" s="106"/>
      <c r="J2" s="106"/>
      <c r="K2" s="106"/>
      <c r="L2" s="106"/>
      <c r="M2" s="106"/>
      <c r="N2" s="106"/>
      <c r="O2" s="107" t="s">
        <v>236</v>
      </c>
      <c r="P2" s="107"/>
      <c r="Q2" s="519" t="str">
        <f>IF('【様式第６号】事業計画書兼チェックシート（新築）'!E8="","",'【様式第６号】事業計画書兼チェックシート（新築）'!E8)</f>
        <v/>
      </c>
      <c r="R2" s="519"/>
      <c r="S2" s="106" t="s">
        <v>8</v>
      </c>
      <c r="T2" s="519" t="str">
        <f>IF('【様式第６号】事業計画書兼チェックシート（新築）'!H8="","",'【様式第６号】事業計画書兼チェックシート（新築）'!H8)</f>
        <v/>
      </c>
      <c r="U2" s="519"/>
      <c r="V2" s="106" t="s">
        <v>234</v>
      </c>
      <c r="W2" s="519" t="str">
        <f>IF('【様式第６号】事業計画書兼チェックシート（新築）'!K8="","",'【様式第６号】事業計画書兼チェックシート（新築）'!K8)</f>
        <v/>
      </c>
      <c r="X2" s="519"/>
      <c r="Y2" s="106" t="s">
        <v>7</v>
      </c>
      <c r="Z2" s="106"/>
      <c r="AA2" s="60" t="s">
        <v>238</v>
      </c>
    </row>
    <row r="3" spans="1:27" ht="18" hidden="1" customHeight="1" x14ac:dyDescent="0.2">
      <c r="A3" s="61"/>
      <c r="B3" s="61"/>
      <c r="C3" s="61"/>
      <c r="D3" s="61"/>
      <c r="E3" s="61"/>
      <c r="F3" s="61"/>
      <c r="G3" s="61"/>
      <c r="H3" s="61"/>
      <c r="I3" s="61"/>
      <c r="J3" s="61"/>
      <c r="K3" s="61"/>
      <c r="L3" s="61"/>
      <c r="M3" s="61"/>
      <c r="N3" s="61"/>
      <c r="O3" s="61"/>
      <c r="P3" s="61"/>
      <c r="Q3" s="61"/>
      <c r="R3" s="61"/>
      <c r="S3" s="61"/>
      <c r="T3" s="61"/>
      <c r="U3" s="61"/>
      <c r="V3" s="61"/>
      <c r="W3" s="61"/>
      <c r="X3" s="61"/>
      <c r="Y3" s="61"/>
      <c r="Z3" s="61"/>
    </row>
    <row r="5" spans="1:27" ht="18" customHeight="1" x14ac:dyDescent="0.2">
      <c r="B5" s="59" t="str">
        <f>IF('【様式第６号】事業計画書兼チェックシート（新築）'!BG28="","鳥取県　　　　　所長　様",'【様式第６号】事業計画書兼チェックシート（新築）'!BG28&amp;"　様")</f>
        <v>鳥取県　　　　　所長　様</v>
      </c>
    </row>
    <row r="7" spans="1:27" ht="18" customHeight="1" x14ac:dyDescent="0.2">
      <c r="M7" s="59" t="s">
        <v>13</v>
      </c>
    </row>
    <row r="8" spans="1:27" ht="18" customHeight="1" x14ac:dyDescent="0.2">
      <c r="M8" s="59" t="s">
        <v>12</v>
      </c>
      <c r="O8" s="59" t="s">
        <v>10</v>
      </c>
      <c r="P8" s="518" t="str">
        <f>IF('【様式第６号】事業計画書兼チェックシート（新築）'!O10="","",'【様式第６号】事業計画書兼チェックシート（新築）'!O10)</f>
        <v/>
      </c>
      <c r="Q8" s="518"/>
      <c r="R8" s="518"/>
      <c r="S8" s="518"/>
      <c r="T8" s="518"/>
      <c r="U8" s="518"/>
      <c r="V8" s="518"/>
      <c r="W8" s="518"/>
      <c r="X8" s="518"/>
    </row>
    <row r="9" spans="1:27" ht="50.25" customHeight="1" x14ac:dyDescent="0.2">
      <c r="O9" s="527" t="str">
        <f>IF('【様式第６号】事業計画書兼チェックシート（新築）'!N11="","",'【様式第６号】事業計画書兼チェックシート（新築）'!N11)</f>
        <v/>
      </c>
      <c r="P9" s="527"/>
      <c r="Q9" s="527"/>
      <c r="R9" s="527"/>
      <c r="S9" s="527"/>
      <c r="T9" s="527"/>
      <c r="U9" s="527"/>
      <c r="V9" s="527"/>
      <c r="W9" s="527"/>
      <c r="X9" s="527"/>
    </row>
    <row r="10" spans="1:27" ht="18" customHeight="1" x14ac:dyDescent="0.2">
      <c r="M10" s="59" t="s">
        <v>6</v>
      </c>
      <c r="O10" s="527" t="str">
        <f>IF('【様式第６号】事業計画書兼チェックシート（新築）'!N12="","",'【様式第６号】事業計画書兼チェックシート（新築）'!N12)</f>
        <v/>
      </c>
      <c r="P10" s="527"/>
      <c r="Q10" s="527"/>
      <c r="R10" s="527"/>
      <c r="S10" s="527"/>
      <c r="T10" s="527"/>
      <c r="U10" s="527"/>
      <c r="V10" s="527"/>
      <c r="W10" s="527"/>
      <c r="X10" s="527"/>
      <c r="AA10" s="60" t="s">
        <v>72</v>
      </c>
    </row>
    <row r="11" spans="1:27" ht="18" customHeight="1" x14ac:dyDescent="0.2">
      <c r="M11" s="59" t="s">
        <v>9</v>
      </c>
      <c r="O11" s="532" t="str">
        <f>IF('【様式第６号】事業計画書兼チェックシート（新築）'!N13="","",'【様式第６号】事業計画書兼チェックシート（新築）'!N13)</f>
        <v/>
      </c>
      <c r="P11" s="532"/>
      <c r="Q11" s="532"/>
      <c r="R11" s="532"/>
      <c r="S11" s="532"/>
      <c r="T11" s="532"/>
      <c r="U11" s="532"/>
      <c r="V11" s="532"/>
      <c r="W11" s="532"/>
      <c r="X11" s="532"/>
    </row>
    <row r="12" spans="1:27" ht="18" hidden="1" customHeight="1" x14ac:dyDescent="0.2"/>
    <row r="14" spans="1:27" ht="18" customHeight="1" x14ac:dyDescent="0.2">
      <c r="A14" s="533" t="s">
        <v>473</v>
      </c>
      <c r="B14" s="533"/>
      <c r="C14" s="533"/>
      <c r="D14" s="533"/>
      <c r="E14" s="533"/>
      <c r="F14" s="533"/>
      <c r="G14" s="533"/>
      <c r="H14" s="533"/>
      <c r="I14" s="533"/>
      <c r="J14" s="533"/>
      <c r="K14" s="533"/>
      <c r="L14" s="533"/>
      <c r="M14" s="533"/>
      <c r="N14" s="533"/>
      <c r="O14" s="533"/>
      <c r="P14" s="533"/>
      <c r="Q14" s="533"/>
      <c r="R14" s="533"/>
      <c r="S14" s="533"/>
      <c r="T14" s="533"/>
      <c r="U14" s="533"/>
      <c r="V14" s="533"/>
      <c r="W14" s="533"/>
      <c r="X14" s="533"/>
      <c r="Y14" s="533"/>
      <c r="Z14" s="533"/>
    </row>
    <row r="16" spans="1:27" ht="36" customHeight="1" x14ac:dyDescent="0.2">
      <c r="A16" s="527" t="s">
        <v>23</v>
      </c>
      <c r="B16" s="527"/>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row>
    <row r="18" spans="1:27" ht="18" customHeight="1" x14ac:dyDescent="0.2">
      <c r="A18" s="533" t="s">
        <v>14</v>
      </c>
      <c r="B18" s="533"/>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row>
    <row r="19" spans="1:27" ht="18" hidden="1" customHeight="1" x14ac:dyDescent="0.2"/>
    <row r="20" spans="1:27" ht="18" customHeight="1" x14ac:dyDescent="0.2">
      <c r="B20" s="62" t="s">
        <v>15</v>
      </c>
      <c r="C20" s="63"/>
      <c r="D20" s="63"/>
      <c r="E20" s="63"/>
      <c r="F20" s="63"/>
      <c r="G20" s="64"/>
      <c r="H20" s="528" t="s">
        <v>247</v>
      </c>
      <c r="I20" s="529"/>
      <c r="J20" s="529"/>
      <c r="K20" s="529"/>
      <c r="L20" s="529"/>
      <c r="M20" s="529"/>
      <c r="N20" s="529"/>
      <c r="O20" s="529"/>
      <c r="P20" s="529"/>
      <c r="Q20" s="529"/>
      <c r="R20" s="529"/>
      <c r="S20" s="529"/>
      <c r="T20" s="529"/>
      <c r="U20" s="529"/>
      <c r="V20" s="529"/>
      <c r="W20" s="529"/>
      <c r="X20" s="529"/>
      <c r="Y20" s="530"/>
    </row>
    <row r="21" spans="1:27" ht="18" customHeight="1" x14ac:dyDescent="0.2">
      <c r="B21" s="62" t="s">
        <v>17</v>
      </c>
      <c r="C21" s="63"/>
      <c r="D21" s="63"/>
      <c r="E21" s="63"/>
      <c r="F21" s="63"/>
      <c r="G21" s="64"/>
      <c r="H21" s="65"/>
      <c r="I21" s="66"/>
      <c r="J21" s="66"/>
      <c r="K21" s="66"/>
      <c r="L21" s="67" t="s">
        <v>24</v>
      </c>
      <c r="M21" s="531">
        <f>IF('【様式第６号】事業計画書兼チェックシート（新築）'!T237="","",'【様式第６号】事業計画書兼チェックシート（新築）'!T237*10000)</f>
        <v>0</v>
      </c>
      <c r="N21" s="531"/>
      <c r="O21" s="531"/>
      <c r="P21" s="531"/>
      <c r="Q21" s="531"/>
      <c r="R21" s="531"/>
      <c r="S21" s="66" t="s">
        <v>18</v>
      </c>
      <c r="T21" s="66"/>
      <c r="U21" s="66"/>
      <c r="V21" s="66"/>
      <c r="W21" s="66"/>
      <c r="X21" s="66"/>
      <c r="Y21" s="68"/>
      <c r="AA21" s="60" t="s">
        <v>73</v>
      </c>
    </row>
    <row r="22" spans="1:27" ht="18" customHeight="1" x14ac:dyDescent="0.2">
      <c r="B22" s="62" t="s">
        <v>19</v>
      </c>
      <c r="C22" s="63"/>
      <c r="D22" s="63"/>
      <c r="E22" s="63"/>
      <c r="F22" s="63"/>
      <c r="G22" s="64"/>
      <c r="H22" s="69"/>
      <c r="I22" s="70"/>
      <c r="J22" s="70"/>
      <c r="K22" s="70"/>
      <c r="L22" s="71" t="s">
        <v>24</v>
      </c>
      <c r="M22" s="531">
        <f>IF('【様式第６号】事業計画書兼チェックシート（新築）'!T237="","",'【様式第６号】事業計画書兼チェックシート（新築）'!T237*10000)</f>
        <v>0</v>
      </c>
      <c r="N22" s="531"/>
      <c r="O22" s="531"/>
      <c r="P22" s="531"/>
      <c r="Q22" s="531"/>
      <c r="R22" s="531"/>
      <c r="S22" s="66" t="s">
        <v>18</v>
      </c>
      <c r="T22" s="70"/>
      <c r="U22" s="70"/>
      <c r="V22" s="70"/>
      <c r="W22" s="70"/>
      <c r="X22" s="70"/>
      <c r="Y22" s="72"/>
      <c r="AA22" s="60" t="s">
        <v>73</v>
      </c>
    </row>
    <row r="23" spans="1:27" ht="18" customHeight="1" x14ac:dyDescent="0.2">
      <c r="B23" s="73" t="s">
        <v>20</v>
      </c>
      <c r="C23" s="74"/>
      <c r="D23" s="74"/>
      <c r="E23" s="74"/>
      <c r="F23" s="74"/>
      <c r="G23" s="75"/>
      <c r="H23" s="76"/>
      <c r="I23" s="77"/>
      <c r="J23" s="74"/>
      <c r="K23" s="74"/>
      <c r="L23" s="74"/>
      <c r="M23" s="74"/>
      <c r="N23" s="74"/>
      <c r="O23" s="74"/>
      <c r="P23" s="74"/>
      <c r="Q23" s="74"/>
      <c r="R23" s="74"/>
      <c r="S23" s="74"/>
      <c r="T23" s="74"/>
      <c r="U23" s="74"/>
      <c r="V23" s="74"/>
      <c r="W23" s="74"/>
      <c r="X23" s="74"/>
      <c r="Y23" s="75"/>
    </row>
    <row r="24" spans="1:27" ht="18" customHeight="1" x14ac:dyDescent="0.2">
      <c r="B24" s="78"/>
      <c r="G24" s="79"/>
      <c r="H24" s="80" t="s">
        <v>511</v>
      </c>
      <c r="I24" s="81"/>
      <c r="Y24" s="79"/>
      <c r="AA24" s="60" t="s">
        <v>74</v>
      </c>
    </row>
    <row r="25" spans="1:27" ht="18" hidden="1" customHeight="1" x14ac:dyDescent="0.2">
      <c r="B25" s="78"/>
      <c r="G25" s="79"/>
      <c r="H25" s="80" t="e">
        <f>IF('【様式第６号】事業計画書兼チェックシート（新築）'!#REF!="有","・他に利用する補助金一覧表（様式第６号別紙）","")</f>
        <v>#REF!</v>
      </c>
      <c r="I25" s="81"/>
      <c r="Y25" s="79"/>
    </row>
    <row r="26" spans="1:27" ht="18" customHeight="1" x14ac:dyDescent="0.2">
      <c r="B26" s="78"/>
      <c r="G26" s="79"/>
      <c r="H26" s="80" t="str">
        <f>IF('【様式第６号】事業計画書兼チェックシート（新築）'!T236=0,IF('【様式第６号】事業計画書兼チェックシート（新築）'!C248="","","・"&amp;'【様式第６号】事業計画書兼チェックシート（新築）'!C248),"")</f>
        <v>・各階平面図、配置図</v>
      </c>
      <c r="I26" s="81"/>
      <c r="Y26" s="79"/>
    </row>
    <row r="27" spans="1:27" ht="18" customHeight="1" x14ac:dyDescent="0.2">
      <c r="B27" s="78"/>
      <c r="G27" s="79"/>
      <c r="H27" s="80"/>
      <c r="I27" s="81"/>
      <c r="Y27" s="79"/>
    </row>
    <row r="28" spans="1:27" ht="18" customHeight="1" x14ac:dyDescent="0.2">
      <c r="B28" s="78"/>
      <c r="G28" s="79"/>
      <c r="H28" s="80"/>
      <c r="I28" s="81"/>
      <c r="Y28" s="79"/>
    </row>
    <row r="29" spans="1:27" ht="18" customHeight="1" x14ac:dyDescent="0.2">
      <c r="B29" s="78"/>
      <c r="G29" s="79"/>
      <c r="H29" s="80"/>
      <c r="I29" s="81"/>
      <c r="Y29" s="79"/>
    </row>
    <row r="30" spans="1:27" ht="18" customHeight="1" x14ac:dyDescent="0.2">
      <c r="B30" s="78"/>
      <c r="G30" s="79"/>
      <c r="H30" s="80"/>
      <c r="I30" s="81"/>
      <c r="Y30" s="79"/>
    </row>
    <row r="31" spans="1:27" ht="18" customHeight="1" x14ac:dyDescent="0.2">
      <c r="B31" s="82"/>
      <c r="C31" s="83"/>
      <c r="D31" s="83"/>
      <c r="E31" s="83"/>
      <c r="F31" s="83"/>
      <c r="G31" s="84"/>
      <c r="H31" s="85"/>
      <c r="I31" s="86"/>
      <c r="J31" s="83"/>
      <c r="K31" s="83"/>
      <c r="L31" s="83"/>
      <c r="M31" s="83"/>
      <c r="N31" s="83"/>
      <c r="O31" s="83"/>
      <c r="P31" s="83"/>
      <c r="Q31" s="83"/>
      <c r="R31" s="83"/>
      <c r="S31" s="83"/>
      <c r="T31" s="83"/>
      <c r="U31" s="83"/>
      <c r="V31" s="83"/>
      <c r="W31" s="83"/>
      <c r="X31" s="83"/>
      <c r="Y31" s="84"/>
    </row>
    <row r="32" spans="1:27" ht="11.25" customHeight="1" x14ac:dyDescent="0.2"/>
    <row r="33" spans="1:35" ht="11.25" customHeight="1" x14ac:dyDescent="0.2"/>
    <row r="34" spans="1:35" s="52" customFormat="1" ht="18" customHeight="1" x14ac:dyDescent="0.15">
      <c r="A34" s="87" t="s">
        <v>205</v>
      </c>
      <c r="B34" s="88"/>
      <c r="C34" s="88"/>
      <c r="D34" s="88"/>
      <c r="E34" s="88"/>
      <c r="F34" s="88"/>
      <c r="G34" s="88"/>
      <c r="H34" s="88"/>
      <c r="I34" s="88"/>
      <c r="J34" s="88"/>
      <c r="K34" s="88"/>
      <c r="L34" s="88"/>
      <c r="M34" s="88"/>
      <c r="N34" s="88"/>
      <c r="O34" s="88"/>
      <c r="P34" s="88"/>
      <c r="Q34" s="89"/>
      <c r="R34" s="88"/>
      <c r="S34" s="88"/>
      <c r="T34" s="88"/>
      <c r="U34" s="88"/>
      <c r="V34" s="88"/>
      <c r="W34" s="88"/>
      <c r="X34" s="88"/>
      <c r="Y34" s="88"/>
      <c r="Z34" s="88"/>
      <c r="AA34" s="90"/>
    </row>
    <row r="35" spans="1:35" s="52" customFormat="1" ht="18" customHeight="1" x14ac:dyDescent="0.15">
      <c r="A35" s="87"/>
      <c r="B35" s="52" t="s">
        <v>11</v>
      </c>
      <c r="AA35" s="90"/>
    </row>
    <row r="36" spans="1:35" s="52" customFormat="1" ht="18" customHeight="1" x14ac:dyDescent="0.2">
      <c r="B36" s="330" t="s">
        <v>206</v>
      </c>
      <c r="C36" s="331"/>
      <c r="D36" s="331"/>
      <c r="E36" s="331"/>
      <c r="F36" s="331"/>
      <c r="G36" s="331"/>
      <c r="H36" s="332"/>
      <c r="I36" s="91" t="s">
        <v>10</v>
      </c>
      <c r="J36" s="520" t="str">
        <f>IF('【様式第６号】事業計画書兼チェックシート（新築）'!K260="","",'【様式第６号】事業計画書兼チェックシート（新築）'!K260)</f>
        <v/>
      </c>
      <c r="K36" s="520"/>
      <c r="L36" s="520"/>
      <c r="M36" s="337"/>
      <c r="N36" s="337"/>
      <c r="O36" s="337"/>
      <c r="P36" s="337"/>
      <c r="Q36" s="337"/>
      <c r="R36" s="337"/>
      <c r="S36" s="337"/>
      <c r="T36" s="337"/>
      <c r="U36" s="337"/>
      <c r="V36" s="337"/>
      <c r="W36" s="337"/>
      <c r="X36" s="337"/>
      <c r="Y36" s="338"/>
      <c r="AA36" s="60"/>
    </row>
    <row r="37" spans="1:35" s="52" customFormat="1" ht="18" customHeight="1" x14ac:dyDescent="0.2">
      <c r="B37" s="333"/>
      <c r="C37" s="334"/>
      <c r="D37" s="334"/>
      <c r="E37" s="334"/>
      <c r="F37" s="334"/>
      <c r="G37" s="334"/>
      <c r="H37" s="335"/>
      <c r="I37" s="521" t="str">
        <f>IF('【様式第６号】事業計画書兼チェックシート（新築）'!J261="","",'【様式第６号】事業計画書兼チェックシート（新築）'!J261)</f>
        <v/>
      </c>
      <c r="J37" s="522"/>
      <c r="K37" s="522"/>
      <c r="L37" s="522"/>
      <c r="M37" s="522"/>
      <c r="N37" s="522"/>
      <c r="O37" s="522"/>
      <c r="P37" s="522"/>
      <c r="Q37" s="522"/>
      <c r="R37" s="522"/>
      <c r="S37" s="522"/>
      <c r="T37" s="522"/>
      <c r="U37" s="522"/>
      <c r="V37" s="522"/>
      <c r="W37" s="522"/>
      <c r="X37" s="522"/>
      <c r="Y37" s="523"/>
      <c r="AA37" s="90"/>
      <c r="AB37" s="90"/>
      <c r="AC37" s="90"/>
      <c r="AD37" s="90"/>
      <c r="AE37" s="90"/>
      <c r="AF37" s="90"/>
      <c r="AG37" s="90"/>
      <c r="AH37" s="90"/>
      <c r="AI37" s="90"/>
    </row>
    <row r="38" spans="1:35" s="52" customFormat="1" ht="24" customHeight="1" x14ac:dyDescent="0.2">
      <c r="B38" s="342" t="s">
        <v>207</v>
      </c>
      <c r="C38" s="343"/>
      <c r="D38" s="343"/>
      <c r="E38" s="343"/>
      <c r="F38" s="343"/>
      <c r="G38" s="343"/>
      <c r="H38" s="344"/>
      <c r="I38" s="524" t="str">
        <f>IF('【様式第６号】事業計画書兼チェックシート（新築）'!J262="","",'【様式第６号】事業計画書兼チェックシート（新築）'!J262)</f>
        <v/>
      </c>
      <c r="J38" s="525"/>
      <c r="K38" s="525"/>
      <c r="L38" s="525"/>
      <c r="M38" s="525"/>
      <c r="N38" s="525"/>
      <c r="O38" s="525"/>
      <c r="P38" s="525"/>
      <c r="Q38" s="525"/>
      <c r="R38" s="525"/>
      <c r="S38" s="525"/>
      <c r="T38" s="525"/>
      <c r="U38" s="525"/>
      <c r="V38" s="525"/>
      <c r="W38" s="525"/>
      <c r="X38" s="525"/>
      <c r="Y38" s="526"/>
      <c r="AA38" s="90"/>
      <c r="AB38" s="90"/>
      <c r="AC38" s="90"/>
      <c r="AD38" s="90"/>
      <c r="AE38" s="90"/>
      <c r="AF38" s="90"/>
      <c r="AG38" s="90"/>
      <c r="AH38" s="90"/>
      <c r="AI38" s="90"/>
    </row>
    <row r="39" spans="1:35" s="52" customFormat="1" ht="18" customHeight="1" x14ac:dyDescent="0.2">
      <c r="B39" s="342" t="s">
        <v>21</v>
      </c>
      <c r="C39" s="343"/>
      <c r="D39" s="343"/>
      <c r="E39" s="343"/>
      <c r="F39" s="343"/>
      <c r="G39" s="343"/>
      <c r="H39" s="344"/>
      <c r="I39" s="351" t="str">
        <f>IF('【様式第６号】事業計画書兼チェックシート（新築）'!J263="","",'【様式第６号】事業計画書兼チェックシート（新築）'!J263)</f>
        <v/>
      </c>
      <c r="J39" s="352"/>
      <c r="K39" s="352"/>
      <c r="L39" s="352"/>
      <c r="M39" s="353"/>
      <c r="N39" s="351" t="s">
        <v>9</v>
      </c>
      <c r="O39" s="352"/>
      <c r="P39" s="353"/>
      <c r="Q39" s="352" t="str">
        <f>IF('【様式第６号】事業計画書兼チェックシート（新築）'!R263="","",'【様式第６号】事業計画書兼チェックシート（新築）'!R263)</f>
        <v/>
      </c>
      <c r="R39" s="352"/>
      <c r="S39" s="352"/>
      <c r="T39" s="352"/>
      <c r="U39" s="352"/>
      <c r="V39" s="352"/>
      <c r="W39" s="352"/>
      <c r="X39" s="352"/>
      <c r="Y39" s="353"/>
      <c r="AA39" s="90"/>
      <c r="AB39" s="90"/>
      <c r="AC39" s="90"/>
      <c r="AD39" s="90"/>
      <c r="AE39" s="90"/>
      <c r="AF39" s="90"/>
      <c r="AG39" s="90"/>
      <c r="AH39" s="92"/>
      <c r="AI39" s="90"/>
    </row>
    <row r="40" spans="1:35" s="52" customFormat="1" ht="18" customHeight="1" x14ac:dyDescent="0.2">
      <c r="AA40" s="90"/>
      <c r="AB40" s="90"/>
      <c r="AC40" s="90"/>
      <c r="AD40" s="90"/>
      <c r="AE40" s="90"/>
      <c r="AF40" s="90"/>
      <c r="AG40" s="90"/>
      <c r="AH40" s="90"/>
      <c r="AI40" s="90"/>
    </row>
  </sheetData>
  <sheetProtection algorithmName="SHA-512" hashValue="s+HoODko5u2DTCV4y9NyodEOxt3RVBnd8ElykIpmWk6UIjXFicNaHPkl6fWlb7riwoQEka6/GUtaEDIusp1zsA==" saltValue="vqZn6Ho93z1IoX1ufmy5Mg==" spinCount="100000" sheet="1" objects="1" scenarios="1" selectLockedCells="1"/>
  <mergeCells count="23">
    <mergeCell ref="O10:X10"/>
    <mergeCell ref="Q2:R2"/>
    <mergeCell ref="T2:U2"/>
    <mergeCell ref="W2:X2"/>
    <mergeCell ref="P8:X8"/>
    <mergeCell ref="O9:X9"/>
    <mergeCell ref="O11:X11"/>
    <mergeCell ref="A14:Z14"/>
    <mergeCell ref="A16:Z16"/>
    <mergeCell ref="A18:Z18"/>
    <mergeCell ref="H20:Y20"/>
    <mergeCell ref="M21:R21"/>
    <mergeCell ref="M22:R22"/>
    <mergeCell ref="B36:H37"/>
    <mergeCell ref="J36:L36"/>
    <mergeCell ref="M36:Y36"/>
    <mergeCell ref="I37:Y37"/>
    <mergeCell ref="B38:H38"/>
    <mergeCell ref="I38:Y38"/>
    <mergeCell ref="B39:H39"/>
    <mergeCell ref="I39:M39"/>
    <mergeCell ref="N39:P39"/>
    <mergeCell ref="Q39:Y39"/>
  </mergeCells>
  <phoneticPr fontId="1"/>
  <conditionalFormatting sqref="A2:O2 S2:T2 V2:W2 Y2:Z2">
    <cfRule type="cellIs" dxfId="4"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W27"/>
  <sheetViews>
    <sheetView topLeftCell="CW1" zoomScale="70" zoomScaleNormal="70" workbookViewId="0">
      <selection activeCell="DF15" sqref="DF15"/>
    </sheetView>
  </sheetViews>
  <sheetFormatPr defaultColWidth="9" defaultRowHeight="13.2" outlineLevelRow="1" outlineLevelCol="1" x14ac:dyDescent="0.2"/>
  <cols>
    <col min="1" max="1" width="9" style="113"/>
    <col min="2" max="2" width="6.6640625" style="111" customWidth="1"/>
    <col min="3" max="3" width="6.6640625" customWidth="1"/>
    <col min="4" max="5" width="7.6640625" style="112" customWidth="1"/>
    <col min="6" max="6" width="9.6640625" style="113" bestFit="1" customWidth="1"/>
    <col min="7" max="7" width="8.77734375" style="113" bestFit="1" customWidth="1"/>
    <col min="8" max="8" width="11.6640625" style="114" customWidth="1"/>
    <col min="9" max="9" width="26.44140625" style="113" customWidth="1"/>
    <col min="10" max="10" width="10.6640625" style="112" customWidth="1"/>
    <col min="11" max="11" width="50" style="113" customWidth="1"/>
    <col min="12" max="12" width="16.6640625" style="112" customWidth="1"/>
    <col min="13" max="13" width="10.6640625" style="112" customWidth="1"/>
    <col min="14" max="14" width="57" style="113" customWidth="1"/>
    <col min="15" max="35" width="6.6640625" style="116" customWidth="1"/>
    <col min="36" max="37" width="6.6640625" style="116" customWidth="1" outlineLevel="1"/>
    <col min="38" max="38" width="8.77734375" style="116" bestFit="1" customWidth="1"/>
    <col min="39" max="39" width="6.6640625" style="116" customWidth="1"/>
    <col min="40" max="41" width="6.6640625" style="116" customWidth="1" outlineLevel="1"/>
    <col min="42" max="56" width="6.6640625" style="116" customWidth="1"/>
    <col min="57" max="57" width="9" style="116" customWidth="1"/>
    <col min="58" max="61" width="6.6640625" style="116" customWidth="1"/>
    <col min="62" max="63" width="6.6640625" style="116" customWidth="1" outlineLevel="1"/>
    <col min="64" max="65" width="6.6640625" style="116" customWidth="1"/>
    <col min="66" max="68" width="6.6640625" style="116" customWidth="1" outlineLevel="1"/>
    <col min="69" max="70" width="6.6640625" style="116" customWidth="1"/>
    <col min="71" max="73" width="6.6640625" style="116" customWidth="1" outlineLevel="1"/>
    <col min="74" max="76" width="6.6640625" style="116" customWidth="1"/>
    <col min="77" max="77" width="10.6640625" style="114" customWidth="1"/>
    <col min="78" max="78" width="3.33203125" style="114" bestFit="1" customWidth="1"/>
    <col min="79" max="79" width="4.33203125" style="114" customWidth="1"/>
    <col min="80" max="80" width="3.33203125" style="114" bestFit="1" customWidth="1"/>
    <col min="81" max="81" width="4.88671875" style="114" customWidth="1"/>
    <col min="82" max="82" width="3.33203125" style="114" bestFit="1" customWidth="1"/>
    <col min="83" max="83" width="10.6640625" style="114" customWidth="1"/>
    <col min="84" max="84" width="3.33203125" style="114" bestFit="1" customWidth="1"/>
    <col min="85" max="85" width="4.33203125" style="114" customWidth="1"/>
    <col min="86" max="86" width="3.33203125" style="114" bestFit="1" customWidth="1"/>
    <col min="87" max="87" width="4.88671875" style="114" customWidth="1"/>
    <col min="88" max="88" width="3.33203125" style="114" bestFit="1" customWidth="1"/>
    <col min="89" max="89" width="10.6640625" style="114" customWidth="1"/>
    <col min="90" max="90" width="9" style="117" customWidth="1"/>
    <col min="91" max="91" width="29.33203125" style="113" customWidth="1"/>
    <col min="92" max="92" width="40.6640625" style="113" customWidth="1"/>
    <col min="93" max="93" width="10.77734375" style="112" customWidth="1"/>
    <col min="94" max="95" width="9" style="113" customWidth="1"/>
    <col min="96" max="96" width="9" style="112" customWidth="1"/>
    <col min="97" max="97" width="9" style="114" customWidth="1"/>
    <col min="98" max="99" width="9" style="113" customWidth="1"/>
    <col min="100" max="101" width="9" style="114" customWidth="1"/>
    <col min="102" max="103" width="11" style="113" customWidth="1"/>
    <col min="104" max="106" width="13" style="113" customWidth="1"/>
    <col min="107" max="107" width="16.109375" style="113" customWidth="1"/>
    <col min="108" max="108" width="13" style="113" customWidth="1"/>
    <col min="109" max="109" width="16.109375" style="113" customWidth="1"/>
    <col min="110" max="110" width="13" style="113" customWidth="1"/>
    <col min="111" max="111" width="16.109375" style="113" customWidth="1"/>
    <col min="112" max="112" width="13" style="113" customWidth="1"/>
    <col min="113" max="113" width="16.109375" style="113" customWidth="1"/>
    <col min="114" max="114" width="13" style="113" customWidth="1"/>
    <col min="115" max="115" width="16.109375" style="113" customWidth="1"/>
    <col min="116" max="116" width="13" style="113" customWidth="1"/>
    <col min="117" max="117" width="9" style="113" customWidth="1"/>
    <col min="118" max="119" width="6.6640625" style="116" hidden="1" customWidth="1"/>
    <col min="120" max="120" width="10.21875" style="116" hidden="1" customWidth="1"/>
    <col min="121" max="124" width="6.6640625" style="116" hidden="1" customWidth="1"/>
    <col min="125" max="125" width="10.109375" style="116" hidden="1" customWidth="1"/>
    <col min="126" max="129" width="6.6640625" style="116" hidden="1" customWidth="1"/>
    <col min="130" max="130" width="10" style="116" hidden="1" customWidth="1"/>
    <col min="131" max="134" width="6.6640625" style="116" hidden="1" customWidth="1"/>
    <col min="135" max="135" width="9.6640625" style="116" hidden="1" customWidth="1"/>
    <col min="136" max="142" width="6.6640625" style="116" hidden="1" customWidth="1"/>
    <col min="143" max="144" width="6.6640625" style="116" hidden="1" customWidth="1" outlineLevel="1"/>
    <col min="145" max="147" width="6.6640625" style="116" hidden="1" customWidth="1"/>
    <col min="148" max="149" width="6.6640625" style="116" hidden="1" customWidth="1" outlineLevel="1"/>
    <col min="150" max="164" width="6.6640625" style="116" hidden="1" customWidth="1"/>
    <col min="165" max="166" width="8.6640625" style="116" hidden="1" customWidth="1"/>
    <col min="167" max="168" width="6.6640625" style="116" hidden="1" customWidth="1"/>
    <col min="169" max="169" width="9" style="116" hidden="1" customWidth="1"/>
    <col min="170" max="170" width="6.6640625" style="116" hidden="1" customWidth="1"/>
    <col min="171" max="171" width="10.109375" style="116" hidden="1" customWidth="1"/>
    <col min="172" max="172" width="6.6640625" style="116" hidden="1" customWidth="1"/>
    <col min="173" max="173" width="10" style="116" hidden="1" customWidth="1"/>
    <col min="174" max="176" width="6.6640625" style="116" hidden="1" customWidth="1"/>
    <col min="177" max="178" width="6.6640625" style="116" hidden="1" customWidth="1" outlineLevel="1"/>
    <col min="179" max="181" width="6.6640625" style="116" hidden="1" customWidth="1"/>
    <col min="182" max="184" width="6.6640625" style="116" hidden="1" customWidth="1" outlineLevel="1"/>
    <col min="185" max="187" width="6.6640625" style="116" hidden="1" customWidth="1"/>
    <col min="188" max="190" width="6.6640625" style="116" hidden="1" customWidth="1" outlineLevel="1"/>
    <col min="191" max="193" width="6.6640625" style="116" hidden="1" customWidth="1"/>
    <col min="194" max="194" width="10.88671875" style="116" hidden="1" customWidth="1"/>
    <col min="195" max="196" width="6.6640625" style="116" hidden="1" customWidth="1"/>
    <col min="197" max="197" width="6.6640625" style="113" hidden="1" customWidth="1"/>
    <col min="198" max="198" width="9.77734375" style="114" hidden="1" customWidth="1"/>
    <col min="199" max="200" width="9.44140625" style="114" hidden="1" customWidth="1"/>
    <col min="201" max="203" width="9" style="117" hidden="1" customWidth="1"/>
    <col min="204" max="16384" width="9" style="113"/>
  </cols>
  <sheetData>
    <row r="1" spans="1:881" x14ac:dyDescent="0.2">
      <c r="C1" t="s">
        <v>471</v>
      </c>
      <c r="I1" s="115" t="s">
        <v>252</v>
      </c>
    </row>
    <row r="2" spans="1:881" x14ac:dyDescent="0.2">
      <c r="H2" s="118" t="s">
        <v>253</v>
      </c>
      <c r="I2" s="119"/>
      <c r="J2" s="120"/>
      <c r="K2" s="119"/>
      <c r="L2" s="120"/>
      <c r="M2" s="120"/>
      <c r="N2" s="119"/>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18"/>
      <c r="BZ2" s="118"/>
      <c r="CA2" s="118"/>
      <c r="CB2" s="118"/>
      <c r="CC2" s="118"/>
      <c r="CD2" s="118"/>
      <c r="CE2" s="118"/>
      <c r="CF2" s="118"/>
      <c r="CG2" s="118"/>
      <c r="CH2" s="118"/>
      <c r="CI2" s="118"/>
      <c r="CJ2" s="118"/>
      <c r="CK2" s="118"/>
      <c r="CL2" s="122"/>
      <c r="CM2" s="119"/>
      <c r="CN2" s="119"/>
      <c r="CO2" s="120"/>
      <c r="CP2" s="119"/>
      <c r="CQ2" s="119"/>
      <c r="CR2" s="120"/>
      <c r="CS2" s="119"/>
      <c r="CT2" s="119"/>
      <c r="CU2" s="119"/>
      <c r="CV2" s="119"/>
      <c r="CW2" s="119"/>
      <c r="CX2" s="119"/>
      <c r="CY2" s="119"/>
      <c r="CZ2" s="119"/>
      <c r="DA2" s="119"/>
      <c r="DB2" s="119"/>
      <c r="DC2" s="119"/>
      <c r="DD2" s="119"/>
      <c r="DE2" s="119"/>
      <c r="DF2" s="119"/>
      <c r="DG2" s="119"/>
      <c r="DH2" s="119"/>
      <c r="DI2" s="119"/>
      <c r="DJ2" s="119"/>
      <c r="DK2" s="119"/>
      <c r="DL2" s="119"/>
      <c r="DN2" s="123" t="s">
        <v>254</v>
      </c>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row>
    <row r="3" spans="1:881" s="148" customFormat="1" ht="54" x14ac:dyDescent="0.2">
      <c r="B3" s="124" t="s">
        <v>255</v>
      </c>
      <c r="C3" s="125" t="s">
        <v>256</v>
      </c>
      <c r="D3" s="126" t="s">
        <v>257</v>
      </c>
      <c r="E3" s="126"/>
      <c r="F3" s="127" t="s">
        <v>258</v>
      </c>
      <c r="G3" s="128" t="s">
        <v>259</v>
      </c>
      <c r="H3" s="129" t="s">
        <v>260</v>
      </c>
      <c r="I3" s="130" t="s">
        <v>261</v>
      </c>
      <c r="J3" s="131"/>
      <c r="K3" s="132"/>
      <c r="L3" s="133"/>
      <c r="M3" s="134" t="s">
        <v>262</v>
      </c>
      <c r="N3" s="135"/>
      <c r="O3" s="136" t="s">
        <v>263</v>
      </c>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540" t="s">
        <v>264</v>
      </c>
      <c r="BE3" s="138" t="s">
        <v>265</v>
      </c>
      <c r="BF3" s="138"/>
      <c r="BG3" s="138"/>
      <c r="BH3" s="138"/>
      <c r="BI3" s="138"/>
      <c r="BJ3" s="138"/>
      <c r="BK3" s="138"/>
      <c r="BL3" s="138"/>
      <c r="BM3" s="138"/>
      <c r="BN3" s="138"/>
      <c r="BO3" s="138"/>
      <c r="BP3" s="138"/>
      <c r="BQ3" s="138"/>
      <c r="BR3" s="138"/>
      <c r="BS3" s="138"/>
      <c r="BT3" s="138"/>
      <c r="BU3" s="138"/>
      <c r="BV3" s="138"/>
      <c r="BW3" s="138"/>
      <c r="BX3" s="138"/>
      <c r="BY3" s="139" t="s">
        <v>266</v>
      </c>
      <c r="BZ3" s="146"/>
      <c r="CA3" s="146"/>
      <c r="CB3" s="146"/>
      <c r="CC3" s="146"/>
      <c r="CD3" s="146"/>
      <c r="CE3" s="146"/>
      <c r="CF3" s="146"/>
      <c r="CG3" s="146"/>
      <c r="CH3" s="146"/>
      <c r="CI3" s="146"/>
      <c r="CJ3" s="146"/>
      <c r="CK3" s="140" t="s">
        <v>267</v>
      </c>
      <c r="CL3" s="141"/>
      <c r="CM3" s="142" t="s">
        <v>268</v>
      </c>
      <c r="CN3" s="143"/>
      <c r="CO3" s="144" t="s">
        <v>269</v>
      </c>
      <c r="CP3" s="127" t="s">
        <v>270</v>
      </c>
      <c r="CQ3" s="127" t="s">
        <v>271</v>
      </c>
      <c r="CR3" s="126" t="s">
        <v>272</v>
      </c>
      <c r="CS3" s="139" t="s">
        <v>273</v>
      </c>
      <c r="CT3" s="143"/>
      <c r="CU3" s="145" t="s">
        <v>274</v>
      </c>
      <c r="CV3" s="146"/>
      <c r="CW3" s="146"/>
      <c r="CX3" s="147"/>
      <c r="CY3" s="143"/>
      <c r="CZ3" s="319" t="s">
        <v>504</v>
      </c>
      <c r="DA3" s="318" t="s">
        <v>503</v>
      </c>
      <c r="DB3" s="319" t="s">
        <v>475</v>
      </c>
      <c r="DC3" s="541" t="s">
        <v>275</v>
      </c>
      <c r="DD3" s="542"/>
      <c r="DE3" s="542"/>
      <c r="DF3" s="542"/>
      <c r="DG3" s="542"/>
      <c r="DH3" s="542"/>
      <c r="DI3" s="542"/>
      <c r="DJ3" s="542"/>
      <c r="DK3" s="542"/>
      <c r="DL3" s="543"/>
      <c r="DN3" s="136" t="s">
        <v>276</v>
      </c>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49"/>
      <c r="FM3" s="150" t="s">
        <v>277</v>
      </c>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38"/>
      <c r="GL3" s="138"/>
      <c r="GM3" s="138"/>
      <c r="GN3" s="138"/>
      <c r="GO3" s="145" t="s">
        <v>278</v>
      </c>
      <c r="GP3" s="152"/>
      <c r="GQ3" s="152"/>
      <c r="GR3" s="152"/>
      <c r="GS3" s="153"/>
      <c r="GT3" s="153"/>
      <c r="GU3" s="141"/>
    </row>
    <row r="4" spans="1:881" ht="36" x14ac:dyDescent="0.15">
      <c r="B4" s="154"/>
      <c r="C4" s="155"/>
      <c r="D4" s="156"/>
      <c r="E4" s="156"/>
      <c r="F4" s="157"/>
      <c r="G4" s="157"/>
      <c r="H4" s="158"/>
      <c r="I4" s="159" t="s">
        <v>279</v>
      </c>
      <c r="J4" s="160" t="s">
        <v>280</v>
      </c>
      <c r="K4" s="161" t="s">
        <v>281</v>
      </c>
      <c r="L4" s="160" t="s">
        <v>282</v>
      </c>
      <c r="M4" s="160"/>
      <c r="N4" s="159"/>
      <c r="O4" s="162"/>
      <c r="P4" s="163" t="s">
        <v>283</v>
      </c>
      <c r="Q4" s="164"/>
      <c r="R4" s="165" t="s">
        <v>284</v>
      </c>
      <c r="S4" s="166"/>
      <c r="T4" s="167"/>
      <c r="U4" s="168" t="s">
        <v>285</v>
      </c>
      <c r="V4" s="169"/>
      <c r="W4" s="169"/>
      <c r="X4" s="169"/>
      <c r="Y4" s="169"/>
      <c r="Z4" s="169"/>
      <c r="AA4" s="170"/>
      <c r="AB4" s="534" t="s">
        <v>287</v>
      </c>
      <c r="AC4" s="534"/>
      <c r="AD4" s="534"/>
      <c r="AE4" s="536" t="s">
        <v>286</v>
      </c>
      <c r="AF4" s="534"/>
      <c r="AG4" s="535"/>
      <c r="AH4" s="171"/>
      <c r="AI4" s="172" t="s">
        <v>288</v>
      </c>
      <c r="AJ4" s="173"/>
      <c r="AK4" s="173"/>
      <c r="AL4" s="174"/>
      <c r="AM4" s="175" t="s">
        <v>289</v>
      </c>
      <c r="AN4" s="176"/>
      <c r="AO4" s="176"/>
      <c r="AP4" s="177"/>
      <c r="AQ4" s="178" t="s">
        <v>501</v>
      </c>
      <c r="AR4" s="179"/>
      <c r="AS4" s="179"/>
      <c r="AT4" s="179"/>
      <c r="AU4" s="179"/>
      <c r="AV4" s="179"/>
      <c r="AW4" s="179"/>
      <c r="AX4" s="179"/>
      <c r="AY4" s="179"/>
      <c r="AZ4" s="179"/>
      <c r="BA4" s="179"/>
      <c r="BB4" s="180"/>
      <c r="BC4" s="180"/>
      <c r="BD4" s="540"/>
      <c r="BE4" s="162"/>
      <c r="BF4" s="181" t="s">
        <v>291</v>
      </c>
      <c r="BG4" s="181"/>
      <c r="BH4" s="182"/>
      <c r="BI4" s="172" t="s">
        <v>288</v>
      </c>
      <c r="BJ4" s="173"/>
      <c r="BK4" s="173"/>
      <c r="BL4" s="174"/>
      <c r="BM4" s="168" t="s">
        <v>289</v>
      </c>
      <c r="BN4" s="169"/>
      <c r="BO4" s="169"/>
      <c r="BP4" s="169"/>
      <c r="BQ4" s="170"/>
      <c r="BR4" s="178" t="s">
        <v>502</v>
      </c>
      <c r="BS4" s="179"/>
      <c r="BT4" s="179"/>
      <c r="BU4" s="179"/>
      <c r="BV4" s="179"/>
      <c r="BW4" s="180"/>
      <c r="BX4" s="183" t="s">
        <v>293</v>
      </c>
      <c r="BY4" s="283"/>
      <c r="BZ4" s="284"/>
      <c r="CA4" s="284"/>
      <c r="CB4" s="284"/>
      <c r="CC4" s="284"/>
      <c r="CD4" s="284"/>
      <c r="CE4" s="284"/>
      <c r="CF4" s="282"/>
      <c r="CG4" s="282"/>
      <c r="CH4" s="282"/>
      <c r="CI4" s="282"/>
      <c r="CJ4" s="282"/>
      <c r="CK4" s="184"/>
      <c r="CL4" s="185"/>
      <c r="CM4" s="186"/>
      <c r="CN4" s="187"/>
      <c r="CO4" s="188"/>
      <c r="CP4" s="157"/>
      <c r="CQ4" s="189"/>
      <c r="CR4" s="156"/>
      <c r="CS4" s="190"/>
      <c r="CT4" s="191"/>
      <c r="CU4" s="186"/>
      <c r="CY4" s="187"/>
      <c r="CZ4" s="320"/>
      <c r="DA4" s="187"/>
      <c r="DB4" s="187"/>
      <c r="DC4" s="186"/>
      <c r="DE4" s="316"/>
      <c r="DG4" s="316"/>
      <c r="DI4" s="316"/>
      <c r="DK4" s="316"/>
      <c r="DL4" s="187"/>
      <c r="DN4" s="162"/>
      <c r="DO4" s="163" t="s">
        <v>283</v>
      </c>
      <c r="DP4" s="192"/>
      <c r="DQ4" s="192"/>
      <c r="DR4" s="192"/>
      <c r="DS4" s="165" t="s">
        <v>294</v>
      </c>
      <c r="DT4" s="166"/>
      <c r="DU4" s="166"/>
      <c r="DV4" s="166"/>
      <c r="DW4" s="166"/>
      <c r="DX4" s="168" t="s">
        <v>285</v>
      </c>
      <c r="DY4" s="169"/>
      <c r="DZ4" s="169"/>
      <c r="EA4" s="169"/>
      <c r="EB4" s="170"/>
      <c r="EC4" s="534" t="s">
        <v>287</v>
      </c>
      <c r="ED4" s="534"/>
      <c r="EE4" s="534"/>
      <c r="EF4" s="534" t="s">
        <v>286</v>
      </c>
      <c r="EG4" s="534"/>
      <c r="EH4" s="534"/>
      <c r="EI4" s="535"/>
      <c r="EJ4" s="193"/>
      <c r="EK4" s="171"/>
      <c r="EL4" s="172" t="s">
        <v>288</v>
      </c>
      <c r="EM4" s="173"/>
      <c r="EN4" s="173"/>
      <c r="EO4" s="173"/>
      <c r="EP4" s="173"/>
      <c r="EQ4" s="175" t="s">
        <v>289</v>
      </c>
      <c r="ER4" s="176"/>
      <c r="ES4" s="176"/>
      <c r="ET4" s="176"/>
      <c r="EU4" s="177"/>
      <c r="EV4" s="178" t="s">
        <v>290</v>
      </c>
      <c r="EW4" s="179"/>
      <c r="EX4" s="179"/>
      <c r="EY4" s="179"/>
      <c r="EZ4" s="179"/>
      <c r="FA4" s="179"/>
      <c r="FB4" s="179"/>
      <c r="FC4" s="179"/>
      <c r="FD4" s="179"/>
      <c r="FE4" s="179"/>
      <c r="FF4" s="179"/>
      <c r="FG4" s="179"/>
      <c r="FH4" s="179"/>
      <c r="FI4" s="179"/>
      <c r="FJ4" s="179"/>
      <c r="FK4" s="194" t="s">
        <v>295</v>
      </c>
      <c r="FL4" s="194" t="s">
        <v>296</v>
      </c>
      <c r="FN4" s="195" t="s">
        <v>291</v>
      </c>
      <c r="FO4" s="181"/>
      <c r="FP4" s="181"/>
      <c r="FQ4" s="181"/>
      <c r="FR4" s="181"/>
      <c r="FS4" s="182"/>
      <c r="FT4" s="172" t="s">
        <v>288</v>
      </c>
      <c r="FU4" s="173"/>
      <c r="FV4" s="173"/>
      <c r="FW4" s="173"/>
      <c r="FX4" s="174"/>
      <c r="FY4" s="168" t="s">
        <v>289</v>
      </c>
      <c r="FZ4" s="169"/>
      <c r="GA4" s="169"/>
      <c r="GB4" s="169"/>
      <c r="GC4" s="169"/>
      <c r="GD4" s="170"/>
      <c r="GE4" s="178" t="s">
        <v>292</v>
      </c>
      <c r="GF4" s="179"/>
      <c r="GG4" s="179"/>
      <c r="GH4" s="179"/>
      <c r="GI4" s="179"/>
      <c r="GJ4" s="179"/>
      <c r="GK4" s="196"/>
      <c r="GL4" s="196"/>
      <c r="GM4" s="197" t="s">
        <v>297</v>
      </c>
      <c r="GN4" s="197" t="s">
        <v>296</v>
      </c>
      <c r="GO4" s="198"/>
      <c r="GP4" s="199"/>
      <c r="GQ4" s="199"/>
      <c r="GR4" s="199"/>
      <c r="GS4" s="200" t="s">
        <v>298</v>
      </c>
      <c r="GT4" s="200" t="s">
        <v>298</v>
      </c>
      <c r="GU4" s="201" t="s">
        <v>299</v>
      </c>
    </row>
    <row r="5" spans="1:881" s="226" customFormat="1" ht="66" customHeight="1" x14ac:dyDescent="0.2">
      <c r="B5" s="202" t="s">
        <v>300</v>
      </c>
      <c r="C5" s="203"/>
      <c r="D5" s="204"/>
      <c r="E5" s="205" t="s">
        <v>302</v>
      </c>
      <c r="F5" s="206" t="s">
        <v>301</v>
      </c>
      <c r="G5" s="206"/>
      <c r="H5" s="207"/>
      <c r="I5" s="208"/>
      <c r="J5" s="209"/>
      <c r="K5" s="127"/>
      <c r="L5" s="209"/>
      <c r="M5" s="126" t="s">
        <v>437</v>
      </c>
      <c r="N5" s="127" t="s">
        <v>303</v>
      </c>
      <c r="O5" s="210" t="s">
        <v>304</v>
      </c>
      <c r="P5" s="211" t="s">
        <v>305</v>
      </c>
      <c r="Q5" s="197" t="s">
        <v>306</v>
      </c>
      <c r="R5" s="212" t="s">
        <v>307</v>
      </c>
      <c r="S5" s="211" t="s">
        <v>305</v>
      </c>
      <c r="T5" s="197" t="s">
        <v>306</v>
      </c>
      <c r="U5" s="212" t="s">
        <v>307</v>
      </c>
      <c r="V5" s="326" t="s">
        <v>485</v>
      </c>
      <c r="W5" s="213" t="s">
        <v>309</v>
      </c>
      <c r="X5" s="213" t="s">
        <v>307</v>
      </c>
      <c r="Y5" s="325" t="s">
        <v>486</v>
      </c>
      <c r="Z5" s="213" t="s">
        <v>309</v>
      </c>
      <c r="AA5" s="197" t="s">
        <v>306</v>
      </c>
      <c r="AB5" s="213" t="s">
        <v>307</v>
      </c>
      <c r="AC5" s="214" t="s">
        <v>310</v>
      </c>
      <c r="AD5" s="213" t="s">
        <v>309</v>
      </c>
      <c r="AE5" s="213" t="s">
        <v>307</v>
      </c>
      <c r="AF5" s="214" t="s">
        <v>308</v>
      </c>
      <c r="AG5" s="213" t="s">
        <v>309</v>
      </c>
      <c r="AH5" s="215" t="s">
        <v>311</v>
      </c>
      <c r="AI5" s="212" t="s">
        <v>307</v>
      </c>
      <c r="AJ5" s="211" t="s">
        <v>414</v>
      </c>
      <c r="AK5" s="216" t="s">
        <v>415</v>
      </c>
      <c r="AL5" s="197" t="s">
        <v>306</v>
      </c>
      <c r="AM5" s="212" t="s">
        <v>314</v>
      </c>
      <c r="AN5" s="211" t="s">
        <v>416</v>
      </c>
      <c r="AO5" s="211" t="s">
        <v>417</v>
      </c>
      <c r="AP5" s="197" t="s">
        <v>306</v>
      </c>
      <c r="AQ5" s="213" t="s">
        <v>314</v>
      </c>
      <c r="AR5" s="210" t="s">
        <v>418</v>
      </c>
      <c r="AS5" s="210" t="s">
        <v>419</v>
      </c>
      <c r="AT5" s="210" t="s">
        <v>420</v>
      </c>
      <c r="AU5" s="210" t="s">
        <v>421</v>
      </c>
      <c r="AV5" s="210" t="s">
        <v>422</v>
      </c>
      <c r="AW5" s="210" t="s">
        <v>423</v>
      </c>
      <c r="AX5" s="210" t="s">
        <v>424</v>
      </c>
      <c r="AY5" s="213" t="s">
        <v>315</v>
      </c>
      <c r="AZ5" s="215" t="s">
        <v>306</v>
      </c>
      <c r="BA5" s="210" t="s">
        <v>316</v>
      </c>
      <c r="BB5" s="210" t="s">
        <v>317</v>
      </c>
      <c r="BC5" s="210" t="s">
        <v>317</v>
      </c>
      <c r="BD5" s="540"/>
      <c r="BE5" s="217" t="s">
        <v>318</v>
      </c>
      <c r="BF5" s="218" t="s">
        <v>319</v>
      </c>
      <c r="BG5" s="219" t="s">
        <v>320</v>
      </c>
      <c r="BH5" s="215" t="s">
        <v>321</v>
      </c>
      <c r="BI5" s="212" t="s">
        <v>307</v>
      </c>
      <c r="BJ5" s="211" t="s">
        <v>312</v>
      </c>
      <c r="BK5" s="216" t="s">
        <v>313</v>
      </c>
      <c r="BL5" s="197" t="s">
        <v>321</v>
      </c>
      <c r="BM5" s="212" t="s">
        <v>307</v>
      </c>
      <c r="BN5" s="211" t="s">
        <v>322</v>
      </c>
      <c r="BO5" s="211" t="s">
        <v>323</v>
      </c>
      <c r="BP5" s="211" t="s">
        <v>324</v>
      </c>
      <c r="BQ5" s="197" t="s">
        <v>321</v>
      </c>
      <c r="BR5" s="212" t="s">
        <v>314</v>
      </c>
      <c r="BS5" s="211" t="s">
        <v>325</v>
      </c>
      <c r="BT5" s="211" t="s">
        <v>326</v>
      </c>
      <c r="BU5" s="211" t="s">
        <v>327</v>
      </c>
      <c r="BV5" s="197" t="s">
        <v>328</v>
      </c>
      <c r="BW5" s="210" t="s">
        <v>317</v>
      </c>
      <c r="BX5" s="220" t="s">
        <v>329</v>
      </c>
      <c r="BY5" s="537" t="s">
        <v>330</v>
      </c>
      <c r="BZ5" s="538"/>
      <c r="CA5" s="538"/>
      <c r="CB5" s="538"/>
      <c r="CC5" s="538"/>
      <c r="CD5" s="539"/>
      <c r="CE5" s="537" t="s">
        <v>331</v>
      </c>
      <c r="CF5" s="538"/>
      <c r="CG5" s="538"/>
      <c r="CH5" s="538"/>
      <c r="CI5" s="538"/>
      <c r="CJ5" s="539"/>
      <c r="CK5" s="221" t="s">
        <v>332</v>
      </c>
      <c r="CL5" s="222" t="s">
        <v>333</v>
      </c>
      <c r="CM5" s="223" t="s">
        <v>334</v>
      </c>
      <c r="CN5" s="223" t="s">
        <v>335</v>
      </c>
      <c r="CO5" s="224" t="s">
        <v>336</v>
      </c>
      <c r="CP5" s="223" t="s">
        <v>337</v>
      </c>
      <c r="CQ5" s="223" t="s">
        <v>338</v>
      </c>
      <c r="CR5" s="224" t="s">
        <v>339</v>
      </c>
      <c r="CS5" s="221" t="s">
        <v>340</v>
      </c>
      <c r="CT5" s="159" t="s">
        <v>341</v>
      </c>
      <c r="CU5" s="223" t="s">
        <v>342</v>
      </c>
      <c r="CV5" s="225" t="s">
        <v>343</v>
      </c>
      <c r="CW5" s="225" t="s">
        <v>344</v>
      </c>
      <c r="CX5" s="223" t="s">
        <v>345</v>
      </c>
      <c r="CY5" s="223" t="s">
        <v>346</v>
      </c>
      <c r="CZ5" s="223" t="s">
        <v>476</v>
      </c>
      <c r="DA5" s="223" t="s">
        <v>476</v>
      </c>
      <c r="DB5" s="223" t="s">
        <v>476</v>
      </c>
      <c r="DC5" s="223" t="s">
        <v>348</v>
      </c>
      <c r="DD5" s="223" t="s">
        <v>347</v>
      </c>
      <c r="DE5" s="223" t="s">
        <v>348</v>
      </c>
      <c r="DF5" s="223" t="s">
        <v>347</v>
      </c>
      <c r="DG5" s="223" t="s">
        <v>348</v>
      </c>
      <c r="DH5" s="223" t="s">
        <v>347</v>
      </c>
      <c r="DI5" s="223" t="s">
        <v>348</v>
      </c>
      <c r="DJ5" s="223" t="s">
        <v>347</v>
      </c>
      <c r="DK5" s="223" t="s">
        <v>348</v>
      </c>
      <c r="DL5" s="223" t="s">
        <v>347</v>
      </c>
      <c r="DN5" s="210" t="s">
        <v>304</v>
      </c>
      <c r="DO5" s="210" t="s">
        <v>305</v>
      </c>
      <c r="DP5" s="210" t="s">
        <v>349</v>
      </c>
      <c r="DQ5" s="227" t="s">
        <v>350</v>
      </c>
      <c r="DR5" s="227" t="s">
        <v>351</v>
      </c>
      <c r="DS5" s="213" t="s">
        <v>307</v>
      </c>
      <c r="DT5" s="210" t="s">
        <v>305</v>
      </c>
      <c r="DU5" s="210" t="s">
        <v>352</v>
      </c>
      <c r="DV5" s="228" t="s">
        <v>350</v>
      </c>
      <c r="DW5" s="228" t="s">
        <v>351</v>
      </c>
      <c r="DX5" s="213" t="s">
        <v>307</v>
      </c>
      <c r="DY5" s="210" t="s">
        <v>305</v>
      </c>
      <c r="DZ5" s="210" t="s">
        <v>353</v>
      </c>
      <c r="EA5" s="228" t="s">
        <v>350</v>
      </c>
      <c r="EB5" s="228" t="s">
        <v>351</v>
      </c>
      <c r="EC5" s="213" t="s">
        <v>307</v>
      </c>
      <c r="ED5" s="214" t="s">
        <v>310</v>
      </c>
      <c r="EE5" s="213" t="s">
        <v>309</v>
      </c>
      <c r="EF5" s="213" t="s">
        <v>307</v>
      </c>
      <c r="EG5" s="214" t="s">
        <v>308</v>
      </c>
      <c r="EH5" s="229" t="s">
        <v>354</v>
      </c>
      <c r="EI5" s="213" t="s">
        <v>309</v>
      </c>
      <c r="EJ5" s="228" t="s">
        <v>350</v>
      </c>
      <c r="EK5" s="228" t="s">
        <v>351</v>
      </c>
      <c r="EL5" s="213" t="s">
        <v>307</v>
      </c>
      <c r="EM5" s="210" t="s">
        <v>414</v>
      </c>
      <c r="EN5" s="210" t="s">
        <v>415</v>
      </c>
      <c r="EO5" s="228" t="s">
        <v>350</v>
      </c>
      <c r="EP5" s="228" t="s">
        <v>351</v>
      </c>
      <c r="EQ5" s="213" t="s">
        <v>314</v>
      </c>
      <c r="ER5" s="210" t="s">
        <v>416</v>
      </c>
      <c r="ES5" s="210" t="s">
        <v>417</v>
      </c>
      <c r="ET5" s="228" t="s">
        <v>350</v>
      </c>
      <c r="EU5" s="228" t="s">
        <v>351</v>
      </c>
      <c r="EV5" s="213" t="s">
        <v>314</v>
      </c>
      <c r="EW5" s="210" t="s">
        <v>418</v>
      </c>
      <c r="EX5" s="210" t="s">
        <v>419</v>
      </c>
      <c r="EY5" s="210" t="s">
        <v>420</v>
      </c>
      <c r="EZ5" s="210" t="s">
        <v>421</v>
      </c>
      <c r="FA5" s="210" t="s">
        <v>422</v>
      </c>
      <c r="FB5" s="210" t="s">
        <v>423</v>
      </c>
      <c r="FC5" s="210" t="s">
        <v>424</v>
      </c>
      <c r="FD5" s="213" t="s">
        <v>315</v>
      </c>
      <c r="FE5" s="228" t="s">
        <v>350</v>
      </c>
      <c r="FF5" s="228" t="s">
        <v>351</v>
      </c>
      <c r="FG5" s="210" t="s">
        <v>316</v>
      </c>
      <c r="FH5" s="210" t="s">
        <v>317</v>
      </c>
      <c r="FI5" s="210" t="s">
        <v>355</v>
      </c>
      <c r="FJ5" s="210" t="s">
        <v>356</v>
      </c>
      <c r="FK5" s="230"/>
      <c r="FL5" s="230"/>
      <c r="FM5" s="231" t="s">
        <v>318</v>
      </c>
      <c r="FN5" s="232" t="s">
        <v>319</v>
      </c>
      <c r="FO5" s="233" t="s">
        <v>357</v>
      </c>
      <c r="FP5" s="234" t="s">
        <v>320</v>
      </c>
      <c r="FQ5" s="234" t="s">
        <v>354</v>
      </c>
      <c r="FR5" s="228" t="s">
        <v>350</v>
      </c>
      <c r="FS5" s="228" t="s">
        <v>351</v>
      </c>
      <c r="FT5" s="213" t="s">
        <v>307</v>
      </c>
      <c r="FU5" s="210" t="s">
        <v>358</v>
      </c>
      <c r="FV5" s="210" t="s">
        <v>359</v>
      </c>
      <c r="FW5" s="228" t="s">
        <v>350</v>
      </c>
      <c r="FX5" s="228" t="s">
        <v>351</v>
      </c>
      <c r="FY5" s="213" t="s">
        <v>360</v>
      </c>
      <c r="FZ5" s="210" t="s">
        <v>361</v>
      </c>
      <c r="GA5" s="210" t="s">
        <v>362</v>
      </c>
      <c r="GB5" s="210" t="s">
        <v>363</v>
      </c>
      <c r="GC5" s="228" t="s">
        <v>350</v>
      </c>
      <c r="GD5" s="228" t="s">
        <v>351</v>
      </c>
      <c r="GE5" s="213" t="s">
        <v>360</v>
      </c>
      <c r="GF5" s="210" t="s">
        <v>325</v>
      </c>
      <c r="GG5" s="210" t="s">
        <v>326</v>
      </c>
      <c r="GH5" s="210" t="s">
        <v>327</v>
      </c>
      <c r="GI5" s="228" t="s">
        <v>350</v>
      </c>
      <c r="GJ5" s="228" t="s">
        <v>351</v>
      </c>
      <c r="GK5" s="235" t="s">
        <v>317</v>
      </c>
      <c r="GL5" s="235" t="s">
        <v>355</v>
      </c>
      <c r="GM5" s="228"/>
      <c r="GN5" s="228"/>
      <c r="GO5" s="236" t="s">
        <v>364</v>
      </c>
      <c r="GP5" s="237" t="s">
        <v>365</v>
      </c>
      <c r="GQ5" s="237" t="s">
        <v>366</v>
      </c>
      <c r="GR5" s="237" t="s">
        <v>367</v>
      </c>
      <c r="GS5" s="238" t="s">
        <v>368</v>
      </c>
      <c r="GT5" s="238" t="s">
        <v>369</v>
      </c>
      <c r="GU5" s="238" t="s">
        <v>370</v>
      </c>
    </row>
    <row r="6" spans="1:881" customFormat="1" ht="15.75" hidden="1" customHeight="1" x14ac:dyDescent="0.2">
      <c r="B6" s="239" t="str">
        <f t="shared" ref="B6:B11" si="0">IF(GR6&gt;0,"支払済",IF(GO6="取下",GO6,IF(GO6="取消",GO6,"")))</f>
        <v>支払済</v>
      </c>
      <c r="C6" s="240" t="s">
        <v>371</v>
      </c>
      <c r="D6" s="241" t="s">
        <v>372</v>
      </c>
      <c r="E6" s="242" t="str">
        <f>IF(D6="登録","登録",IF(D5="登録","建売購入",""))</f>
        <v/>
      </c>
      <c r="F6" s="243"/>
      <c r="G6" s="243"/>
      <c r="H6" s="244">
        <v>43191</v>
      </c>
      <c r="I6" s="272" t="s">
        <v>373</v>
      </c>
      <c r="J6" s="273" t="s">
        <v>374</v>
      </c>
      <c r="K6" s="272"/>
      <c r="L6" s="273" t="s">
        <v>375</v>
      </c>
      <c r="M6" s="273" t="s">
        <v>376</v>
      </c>
      <c r="N6" s="272" t="s">
        <v>377</v>
      </c>
      <c r="O6" s="247">
        <v>35</v>
      </c>
      <c r="P6" s="247">
        <v>25</v>
      </c>
      <c r="Q6" s="246">
        <f>IF(P6&gt;=10,150,0)</f>
        <v>150</v>
      </c>
      <c r="R6" s="247">
        <f>IF(S6&gt;=1,1,"")</f>
        <v>1</v>
      </c>
      <c r="S6" s="247">
        <v>19</v>
      </c>
      <c r="T6" s="248">
        <f>IF(Q6=0,0,IF(S6&gt;=25,MIN(250,ROUNDDOWN(S6*10,-1)),IF(S6&gt;=20,MIN(200,ROUNDDOWN(S6*10,-1)),IF(S6&gt;=15,MIN(150,ROUNDDOWN(S6*10,-1)),MIN(100,ROUNDDOWN(S6*10,-1))))))</f>
        <v>150</v>
      </c>
      <c r="U6" s="247">
        <f>IF(Z6&gt;=1,1,"")</f>
        <v>1</v>
      </c>
      <c r="V6" s="247"/>
      <c r="W6" s="247"/>
      <c r="X6" s="247"/>
      <c r="Y6" s="247"/>
      <c r="Z6" s="247">
        <v>7</v>
      </c>
      <c r="AA6" s="248">
        <f>IF(AND(Q6&gt;0,Z6&gt;=1),MIN(INT(Z6)*20,200),0)</f>
        <v>140</v>
      </c>
      <c r="AB6" s="247">
        <f>IF(AC6&gt;=1,1,"")</f>
        <v>1</v>
      </c>
      <c r="AC6" s="247">
        <v>1</v>
      </c>
      <c r="AD6" s="247">
        <f>IF(AC6&gt;=1,50,0)</f>
        <v>50</v>
      </c>
      <c r="AE6" s="247">
        <f>IF(AF6&gt;=1,1,"")</f>
        <v>1</v>
      </c>
      <c r="AF6" s="247">
        <v>11</v>
      </c>
      <c r="AG6" s="247">
        <f>IF(AND(Q6&gt;0,AF6&gt;=1),MIN(INT(AF6)*2,150),0)</f>
        <v>22</v>
      </c>
      <c r="AH6" s="246">
        <f>IF(OR(AG6&gt;0,AD6&gt;0),MIN(AG6+AD6,150),0)</f>
        <v>72</v>
      </c>
      <c r="AI6" s="247">
        <f>IF(OR(AJ6=1,AK6=1),1,"")</f>
        <v>1</v>
      </c>
      <c r="AJ6" s="247"/>
      <c r="AK6" s="247">
        <v>1</v>
      </c>
      <c r="AL6" s="246">
        <f>IF(AND(Q6&gt;0,AI6=1),100,0)</f>
        <v>100</v>
      </c>
      <c r="AM6" s="247">
        <f>IF(OR(AN6=1,AO6=1),1,"")</f>
        <v>1</v>
      </c>
      <c r="AN6" s="247">
        <v>1</v>
      </c>
      <c r="AO6" s="247"/>
      <c r="AP6" s="246">
        <f>IF(AND(Q6&gt;0,AI6=1,AM6=1),100,0)</f>
        <v>100</v>
      </c>
      <c r="AQ6" s="247">
        <f>IF(AY6&gt;=4,1,"")</f>
        <v>1</v>
      </c>
      <c r="AR6" s="247"/>
      <c r="AS6" s="247"/>
      <c r="AT6" s="247">
        <v>1</v>
      </c>
      <c r="AU6" s="247">
        <v>2</v>
      </c>
      <c r="AV6" s="247"/>
      <c r="AW6" s="247">
        <v>1</v>
      </c>
      <c r="AX6" s="247">
        <v>1</v>
      </c>
      <c r="AY6" s="247">
        <f>SUM(AR6:AX6)</f>
        <v>5</v>
      </c>
      <c r="AZ6" s="246">
        <f>IF(AY6&gt;=4,200,0)</f>
        <v>200</v>
      </c>
      <c r="BA6" s="245" t="s">
        <v>378</v>
      </c>
      <c r="BB6" s="245" t="s">
        <v>379</v>
      </c>
      <c r="BC6" s="245" t="s">
        <v>379</v>
      </c>
      <c r="BD6" s="246">
        <f t="shared" ref="BD6:BD11" si="1">IF(OR(D6="新築",D6="登録"),MIN(1000,Q6+T6+AA6+AH6+AL6+AP6+AZ6),0)</f>
        <v>912</v>
      </c>
      <c r="BE6" s="245"/>
      <c r="BF6" s="249"/>
      <c r="BG6" s="245"/>
      <c r="BH6" s="246">
        <f>MIN(ROUNDDOWN(BF6,1)*20+INT(BG6)*2,250)</f>
        <v>0</v>
      </c>
      <c r="BI6" s="247" t="str">
        <f>IF(OR(BJ6=1,BK6=1),1,"")</f>
        <v/>
      </c>
      <c r="BJ6" s="245"/>
      <c r="BK6" s="245"/>
      <c r="BL6" s="246" t="e">
        <f>IF(AND(BH6&gt;0,BI6=1,#REF!=""),100,0)</f>
        <v>#REF!</v>
      </c>
      <c r="BM6" s="247" t="str">
        <f>IF(OR(BN6=1,BO6=1,BP6=1),1,"")</f>
        <v/>
      </c>
      <c r="BN6" s="245"/>
      <c r="BO6" s="245"/>
      <c r="BP6" s="245"/>
      <c r="BQ6" s="246">
        <f>IF(AND(BH6&gt;0,BM6=1),100,IF(AND(BH6&gt;0,BP6=1),100,0))</f>
        <v>0</v>
      </c>
      <c r="BR6" s="247" t="str">
        <f>IF(OR(AND(BS6&gt;=7,BT6&gt;=7,BS6+BT6&gt;=14),AND(BS6&gt;=7,BU6&gt;=3,BS6+BU6&gt;=10),AND(BT6&gt;=7,BU6&gt;=3,BT6+BU6&gt;=10)),1,"")</f>
        <v/>
      </c>
      <c r="BS6" s="245"/>
      <c r="BT6" s="245"/>
      <c r="BU6" s="245"/>
      <c r="BV6" s="246">
        <f>IF(AND(BR6=1,BH6&gt;0),MIN(150,ROUNDDOWN(BS6*11+BT6*13+BU6*19,0)),0)</f>
        <v>0</v>
      </c>
      <c r="BW6" s="245"/>
      <c r="BX6" s="246">
        <f>IF(D6="改修",MIN(500,BH6+BL6+BQ6+BV6,INT(CQ6*10/2)),0)</f>
        <v>0</v>
      </c>
      <c r="BY6" s="277"/>
      <c r="BZ6" s="280" t="s">
        <v>8</v>
      </c>
      <c r="CA6" s="278"/>
      <c r="CB6" s="280" t="s">
        <v>234</v>
      </c>
      <c r="CC6" s="278"/>
      <c r="CD6" s="281" t="s">
        <v>7</v>
      </c>
      <c r="CE6" s="277"/>
      <c r="CF6" s="280" t="s">
        <v>8</v>
      </c>
      <c r="CG6" s="278"/>
      <c r="CH6" s="280" t="s">
        <v>234</v>
      </c>
      <c r="CI6" s="278"/>
      <c r="CJ6" s="281" t="s">
        <v>7</v>
      </c>
      <c r="CK6" s="244">
        <v>43200</v>
      </c>
      <c r="CL6" s="250">
        <f>BD6+BX6</f>
        <v>912</v>
      </c>
      <c r="CM6" s="272" t="s">
        <v>380</v>
      </c>
      <c r="CN6" s="272" t="s">
        <v>381</v>
      </c>
      <c r="CO6" s="241" t="s">
        <v>382</v>
      </c>
      <c r="CP6" s="272">
        <v>120</v>
      </c>
      <c r="CQ6" s="285">
        <v>2500</v>
      </c>
      <c r="CR6" s="273" t="s">
        <v>383</v>
      </c>
      <c r="CS6" s="244"/>
      <c r="CT6" s="243"/>
      <c r="CU6" s="243"/>
      <c r="CV6" s="244"/>
      <c r="CW6" s="244"/>
      <c r="CX6" s="243"/>
      <c r="CY6" s="243"/>
      <c r="CZ6" s="243"/>
      <c r="DA6" s="243"/>
      <c r="DB6" s="243"/>
      <c r="DC6" s="243"/>
      <c r="DD6" s="243"/>
      <c r="DE6" s="243"/>
      <c r="DF6" s="243"/>
      <c r="DG6" s="243"/>
      <c r="DH6" s="243"/>
      <c r="DI6" s="243"/>
      <c r="DJ6" s="243"/>
      <c r="DK6" s="243"/>
      <c r="DL6" s="243"/>
      <c r="DN6" s="247">
        <v>30</v>
      </c>
      <c r="DO6" s="247">
        <v>25</v>
      </c>
      <c r="DP6" s="245" t="s">
        <v>384</v>
      </c>
      <c r="DQ6" s="246">
        <f t="shared" ref="DQ6:DQ10" si="2">IF(DO6&gt;=10,150,0)</f>
        <v>150</v>
      </c>
      <c r="DR6" s="246">
        <f t="shared" ref="DR6:DR11" si="3">MIN(Q6,DQ6)</f>
        <v>150</v>
      </c>
      <c r="DS6" s="247">
        <f>IF(DT6&gt;=1,1,"")</f>
        <v>1</v>
      </c>
      <c r="DT6" s="247">
        <v>18</v>
      </c>
      <c r="DU6" s="245" t="s">
        <v>384</v>
      </c>
      <c r="DV6" s="248">
        <f>IF(DQ6=0,0,IF(DT6&gt;=25,MIN(250,ROUNDDOWN(DT6*10,-1)),IF(DT6&gt;=20,MIN(200,ROUNDDOWN(DT6*10,-1)),IF(DT6&gt;=15,MIN(150,ROUNDDOWN(DT6*10,-1)),MIN(100,ROUNDDOWN(DT6*10,-1))))))</f>
        <v>150</v>
      </c>
      <c r="DW6" s="246">
        <f t="shared" ref="DW6:DW11" si="4">MIN(T6,DV6)</f>
        <v>150</v>
      </c>
      <c r="DX6" s="247">
        <f>IF(DY6&gt;=1,1,"")</f>
        <v>1</v>
      </c>
      <c r="DY6" s="247">
        <v>10</v>
      </c>
      <c r="DZ6" s="245" t="s">
        <v>385</v>
      </c>
      <c r="EA6" s="248">
        <f>IF(AND(DQ6&gt;0,DY6&gt;=1),MIN(INT(DY6)*20,200),0)</f>
        <v>200</v>
      </c>
      <c r="EB6" s="246">
        <f t="shared" ref="EB6:EB11" si="5">MIN(AA6,EA6)</f>
        <v>140</v>
      </c>
      <c r="EC6" s="247" t="str">
        <f>IF(ED6&gt;=1,1,"")</f>
        <v/>
      </c>
      <c r="ED6" s="247"/>
      <c r="EE6" s="247">
        <f t="shared" ref="EE6:EE11" si="6">IF(AND(ED6&gt;=1,DQ6&gt;=1),50,0)</f>
        <v>0</v>
      </c>
      <c r="EF6" s="247">
        <f>IF(EG6&gt;=1,1,"")</f>
        <v>1</v>
      </c>
      <c r="EG6" s="247">
        <v>15</v>
      </c>
      <c r="EH6" s="245" t="s">
        <v>386</v>
      </c>
      <c r="EI6" s="247">
        <f>IF(AND(DQ6&gt;0,EG6&gt;=1),MIN(INT(EG6)*2,150),0)</f>
        <v>30</v>
      </c>
      <c r="EJ6" s="246">
        <f t="shared" ref="EJ6:EJ11" si="7">IF(OR(EI6&gt;0,EE6&gt;0),MIN(EI6+EE6,150),0)</f>
        <v>30</v>
      </c>
      <c r="EK6" s="246">
        <f t="shared" ref="EK6:EK11" si="8">MIN(AH6,EJ6)</f>
        <v>30</v>
      </c>
      <c r="EL6" s="247">
        <f>IF(OR(EM6=1,EN6=1),1,"")</f>
        <v>1</v>
      </c>
      <c r="EM6" s="247">
        <v>1</v>
      </c>
      <c r="EN6" s="247"/>
      <c r="EO6" s="246" t="e">
        <f>IF(AND(DQ6&gt;0,EL6=1,#REF!=""),100,0)</f>
        <v>#REF!</v>
      </c>
      <c r="EP6" s="246" t="e">
        <f t="shared" ref="EP6:EP11" si="9">MIN(AL6,EO6)</f>
        <v>#REF!</v>
      </c>
      <c r="EQ6" s="247">
        <f>IF(OR(ER6=1,ES6=1),1,"")</f>
        <v>1</v>
      </c>
      <c r="ER6" s="247">
        <v>1</v>
      </c>
      <c r="ES6" s="247"/>
      <c r="ET6" s="246">
        <f t="shared" ref="ET6:ET11" si="10">IF(AND(DQ6&gt;0,EL6=1,EQ6=1),100,0)</f>
        <v>100</v>
      </c>
      <c r="EU6" s="246">
        <f t="shared" ref="EU6:EU11" si="11">MIN(AP6,ET6)</f>
        <v>100</v>
      </c>
      <c r="EV6" s="247">
        <f>IF(FD6&gt;=4,1,"")</f>
        <v>1</v>
      </c>
      <c r="EW6" s="247"/>
      <c r="EX6" s="247"/>
      <c r="EY6" s="247"/>
      <c r="EZ6" s="247">
        <v>2</v>
      </c>
      <c r="FA6" s="247"/>
      <c r="FB6" s="247">
        <v>1</v>
      </c>
      <c r="FC6" s="247">
        <v>1</v>
      </c>
      <c r="FD6" s="247">
        <f>SUM(EW6:FC6)</f>
        <v>4</v>
      </c>
      <c r="FE6" s="246">
        <f>IF(FD6&gt;=4,200,0)</f>
        <v>200</v>
      </c>
      <c r="FF6" s="246">
        <f t="shared" ref="FF6:FF11" si="12">MIN(AZ6,FE6)</f>
        <v>200</v>
      </c>
      <c r="FG6" s="245" t="s">
        <v>378</v>
      </c>
      <c r="FH6" s="245"/>
      <c r="FI6" s="245"/>
      <c r="FJ6" s="245" t="s">
        <v>387</v>
      </c>
      <c r="FK6" s="246" t="e">
        <f t="shared" ref="FK6:FK11" si="13">IF(D6="新築",MIN(1500,CL6,MIN(DR6+DW6+EB6+EK6+EP6+EU6+FF6,1000)),0)</f>
        <v>#REF!</v>
      </c>
      <c r="FL6" s="246" t="e">
        <f t="shared" ref="FL6:FL11" si="14">BD6-FK6</f>
        <v>#REF!</v>
      </c>
      <c r="FM6" s="245"/>
      <c r="FN6" s="251"/>
      <c r="FO6" s="251"/>
      <c r="FP6" s="245"/>
      <c r="FQ6" s="245"/>
      <c r="FR6" s="246">
        <f>MIN(ROUNDDOWN(FN6,1)*20+INT(FP6)*2,250)</f>
        <v>0</v>
      </c>
      <c r="FS6" s="246">
        <f>MIN(BH6,FR6)</f>
        <v>0</v>
      </c>
      <c r="FT6" s="247" t="str">
        <f>IF(OR(FU6=1,FV6=1),1,"")</f>
        <v/>
      </c>
      <c r="FU6" s="245"/>
      <c r="FV6" s="245"/>
      <c r="FW6" s="246" t="e">
        <f>IF(AND(FR6&gt;0,FT6=1,#REF!=""),100,0)</f>
        <v>#REF!</v>
      </c>
      <c r="FX6" s="246" t="e">
        <f>MIN(BL6,FW6)</f>
        <v>#REF!</v>
      </c>
      <c r="FY6" s="247" t="str">
        <f>IF(OR(FZ6=1,GA6=1,GB6=1),1,"")</f>
        <v/>
      </c>
      <c r="FZ6" s="245"/>
      <c r="GA6" s="245"/>
      <c r="GB6" s="245"/>
      <c r="GC6" s="246">
        <f>IF(AND(FR6&gt;0,FY6=1),100,IF(AND(FR6&gt;0,GB6=1),100,0))</f>
        <v>0</v>
      </c>
      <c r="GD6" s="246">
        <f>MIN(BQ6,GC6)</f>
        <v>0</v>
      </c>
      <c r="GE6" s="247" t="str">
        <f>IF(OR(AND(GF6&gt;=7,GG6&gt;=7,GF6+GG6&gt;=14),AND(GF6&gt;=7,GH6&gt;=3,GF6+GH6&gt;=10),AND(GG6&gt;=7,GH6&gt;=3,GG6+GH6&gt;=10)),1,"")</f>
        <v/>
      </c>
      <c r="GF6" s="245"/>
      <c r="GG6" s="245"/>
      <c r="GH6" s="245"/>
      <c r="GI6" s="246">
        <f>IF(AND(GE6=1,FR6&gt;0),MIN(150,ROUNDDOWN(GF6*11+GG6*13+GH6*19,0)),0)</f>
        <v>0</v>
      </c>
      <c r="GJ6" s="246">
        <f>MIN(BV6,GI6)</f>
        <v>0</v>
      </c>
      <c r="GK6" s="245"/>
      <c r="GL6" s="245"/>
      <c r="GM6" s="246">
        <f>IF(D6="改修",MIN(500,FS6+FX6+GD6+GJ6,INT(CQ6*10/2)),0)</f>
        <v>0</v>
      </c>
      <c r="GN6" s="246">
        <f>BX6-GM6</f>
        <v>0</v>
      </c>
      <c r="GO6" s="243" t="s">
        <v>388</v>
      </c>
      <c r="GP6" s="244">
        <v>43374</v>
      </c>
      <c r="GQ6" s="244">
        <v>43378</v>
      </c>
      <c r="GR6" s="244">
        <v>43391</v>
      </c>
      <c r="GS6" s="250">
        <f t="shared" ref="GS6:GS11" si="15">IF(D6="新築",BD6,IF(D6="改修",BX6,0))</f>
        <v>912</v>
      </c>
      <c r="GT6" s="250" t="e">
        <f t="shared" ref="GT6:GT11" si="16">IF(D6="新築",FK6,IF(D6="改修",GM6,0))</f>
        <v>#REF!</v>
      </c>
      <c r="GU6" s="250" t="e">
        <f>GS6-GT6</f>
        <v>#REF!</v>
      </c>
    </row>
    <row r="7" spans="1:881" s="252" customFormat="1" ht="12.9" hidden="1" customHeight="1" x14ac:dyDescent="0.2">
      <c r="B7" s="239" t="str">
        <f t="shared" si="0"/>
        <v>支払済</v>
      </c>
      <c r="C7" s="240" t="s">
        <v>389</v>
      </c>
      <c r="D7" s="241" t="s">
        <v>390</v>
      </c>
      <c r="E7" s="242" t="str">
        <f t="shared" ref="E7:E11" si="17">IF(D7="登録","登録",IF(D6="登録","建売購入",""))</f>
        <v/>
      </c>
      <c r="F7" s="243"/>
      <c r="G7" s="243"/>
      <c r="H7" s="244">
        <v>43191</v>
      </c>
      <c r="I7" s="272" t="s">
        <v>391</v>
      </c>
      <c r="J7" s="273" t="s">
        <v>392</v>
      </c>
      <c r="K7" s="272"/>
      <c r="L7" s="273" t="s">
        <v>393</v>
      </c>
      <c r="M7" s="273" t="s">
        <v>142</v>
      </c>
      <c r="N7" s="272" t="s">
        <v>394</v>
      </c>
      <c r="O7" s="245"/>
      <c r="P7" s="245"/>
      <c r="Q7" s="246">
        <f>IF(P7&gt;=10,150,0)</f>
        <v>0</v>
      </c>
      <c r="R7" s="247" t="str">
        <f>IF(S7&gt;=1,1,"")</f>
        <v/>
      </c>
      <c r="S7" s="245"/>
      <c r="T7" s="248">
        <f>IF(Q7=0,0,IF(S7&gt;=25,MIN(250,ROUNDDOWN(S7*10,-1)),IF(S7&gt;=20,MIN(200,ROUNDDOWN(S7*10,-1)),IF(S7&gt;=15,MIN(150,ROUNDDOWN(S7*10,-1)),MIN(100,ROUNDDOWN(S7*10,-1))))))</f>
        <v>0</v>
      </c>
      <c r="U7" s="247" t="str">
        <f>IF(Z7&gt;=1,1,"")</f>
        <v/>
      </c>
      <c r="V7" s="247"/>
      <c r="W7" s="247"/>
      <c r="X7" s="247"/>
      <c r="Y7" s="247"/>
      <c r="Z7" s="245"/>
      <c r="AA7" s="248">
        <f>IF(AND(Q7&gt;0,Z7&gt;=1),MIN(INT(Z7)*20,200),0)</f>
        <v>0</v>
      </c>
      <c r="AB7" s="247" t="str">
        <f>IF(AC7&gt;=1,1,"")</f>
        <v/>
      </c>
      <c r="AC7" s="245"/>
      <c r="AD7" s="247">
        <f>IF(AC7&gt;=1,50,0)</f>
        <v>0</v>
      </c>
      <c r="AE7" s="247" t="str">
        <f>IF(AF7&gt;=1,1,"")</f>
        <v/>
      </c>
      <c r="AF7" s="245"/>
      <c r="AG7" s="247">
        <f>IF(AND(Q7&gt;0,AF7&gt;=1),MIN(INT(AF7)*2,150),0)</f>
        <v>0</v>
      </c>
      <c r="AH7" s="246">
        <f>IF(OR(AG7&gt;0,AD7&gt;0),MIN(AG7+AD7,150),0)</f>
        <v>0</v>
      </c>
      <c r="AI7" s="247" t="str">
        <f>IF(OR(AJ7=1,AK7=1),1,"")</f>
        <v/>
      </c>
      <c r="AJ7" s="245"/>
      <c r="AK7" s="245"/>
      <c r="AL7" s="246">
        <f>IF(AND(Q7&gt;0,AI7=1,),100,0)</f>
        <v>0</v>
      </c>
      <c r="AM7" s="247" t="str">
        <f>IF(OR(AN7=1,AO7=1),1,"")</f>
        <v/>
      </c>
      <c r="AN7" s="245"/>
      <c r="AO7" s="245"/>
      <c r="AP7" s="246">
        <f>IF(AND(Q7&gt;0,AI7=1,AM7=1),100,0)</f>
        <v>0</v>
      </c>
      <c r="AQ7" s="247" t="str">
        <f>IF(AY7&gt;=4,1,"")</f>
        <v/>
      </c>
      <c r="AR7" s="245"/>
      <c r="AS7" s="245"/>
      <c r="AT7" s="245"/>
      <c r="AU7" s="245"/>
      <c r="AV7" s="245"/>
      <c r="AW7" s="245"/>
      <c r="AX7" s="245"/>
      <c r="AY7" s="247">
        <f>SUM(AR7:AX7)</f>
        <v>0</v>
      </c>
      <c r="AZ7" s="246">
        <f>IF(AY7&gt;=4,200,0)</f>
        <v>0</v>
      </c>
      <c r="BA7" s="245"/>
      <c r="BB7" s="245"/>
      <c r="BC7" s="245"/>
      <c r="BD7" s="246">
        <f t="shared" si="1"/>
        <v>0</v>
      </c>
      <c r="BE7" s="245">
        <v>5</v>
      </c>
      <c r="BF7" s="249">
        <v>3</v>
      </c>
      <c r="BG7" s="245">
        <v>10</v>
      </c>
      <c r="BH7" s="246">
        <f>MIN(ROUNDDOWN(BF7,1)*20+INT(BG7)*2,250)</f>
        <v>80</v>
      </c>
      <c r="BI7" s="247">
        <f>IF(OR(BJ7=1,BK7=1),1,"")</f>
        <v>1</v>
      </c>
      <c r="BJ7" s="245">
        <v>1</v>
      </c>
      <c r="BK7" s="245"/>
      <c r="BL7" s="246" t="e">
        <f>IF(AND(BH7&gt;0,BI7=1,#REF!=""),100,0)</f>
        <v>#REF!</v>
      </c>
      <c r="BM7" s="247" t="str">
        <f>IF(OR(BN7=1,BO7=1,BP7=1),1,"")</f>
        <v/>
      </c>
      <c r="BN7" s="245"/>
      <c r="BO7" s="245"/>
      <c r="BP7" s="245"/>
      <c r="BQ7" s="246">
        <f>IF(AND(BH7&gt;0,BM7=1),100,IF(AND(BH7&gt;0,BP7=1),100,0))</f>
        <v>0</v>
      </c>
      <c r="BR7" s="247">
        <f>IF(OR(AND(BS7&gt;=7,BT7&gt;=7,BS7+BT7&gt;=14),AND(BS7&gt;=7,BU7&gt;=3,BS7+BU7&gt;=10),AND(BT7&gt;=7,BU7&gt;=3,BT7+BU7&gt;=10)),1,"")</f>
        <v>1</v>
      </c>
      <c r="BS7" s="245">
        <v>7</v>
      </c>
      <c r="BT7" s="245"/>
      <c r="BU7" s="245">
        <v>3</v>
      </c>
      <c r="BV7" s="246">
        <f>IF(AND(BR7=1,BH7&gt;0),MIN(150,ROUNDDOWN(BS7*11+BT7*13+BU7*19,0)),0)</f>
        <v>134</v>
      </c>
      <c r="BW7" s="245"/>
      <c r="BX7" s="246" t="e">
        <f>IF(D7="改修",MIN(500,BH7+BL7+BQ7+BV7,INT(CQ7*10/2)),0)</f>
        <v>#REF!</v>
      </c>
      <c r="BY7" s="277"/>
      <c r="BZ7" s="280" t="s">
        <v>8</v>
      </c>
      <c r="CA7" s="278"/>
      <c r="CB7" s="280" t="s">
        <v>234</v>
      </c>
      <c r="CC7" s="278"/>
      <c r="CD7" s="281" t="s">
        <v>7</v>
      </c>
      <c r="CE7" s="277"/>
      <c r="CF7" s="280" t="s">
        <v>8</v>
      </c>
      <c r="CG7" s="278"/>
      <c r="CH7" s="280" t="s">
        <v>234</v>
      </c>
      <c r="CI7" s="278"/>
      <c r="CJ7" s="281" t="s">
        <v>7</v>
      </c>
      <c r="CK7" s="244">
        <v>43205</v>
      </c>
      <c r="CL7" s="250" t="e">
        <f>BD7+BX7</f>
        <v>#REF!</v>
      </c>
      <c r="CM7" s="272" t="s">
        <v>380</v>
      </c>
      <c r="CN7" s="272" t="s">
        <v>381</v>
      </c>
      <c r="CO7" s="241" t="s">
        <v>395</v>
      </c>
      <c r="CP7" s="272">
        <v>200</v>
      </c>
      <c r="CQ7" s="285">
        <v>300</v>
      </c>
      <c r="CR7" s="273" t="s">
        <v>396</v>
      </c>
      <c r="CS7" s="244"/>
      <c r="CT7" s="243"/>
      <c r="CU7" s="243"/>
      <c r="CV7" s="244"/>
      <c r="CW7" s="244"/>
      <c r="CX7" s="243"/>
      <c r="CY7" s="243"/>
      <c r="CZ7" s="243"/>
      <c r="DA7" s="243"/>
      <c r="DB7" s="243"/>
      <c r="DC7" s="243"/>
      <c r="DD7" s="243"/>
      <c r="DE7" s="243"/>
      <c r="DF7" s="243"/>
      <c r="DG7" s="243"/>
      <c r="DH7" s="243"/>
      <c r="DI7" s="243"/>
      <c r="DJ7" s="243"/>
      <c r="DK7" s="243"/>
      <c r="DL7" s="243"/>
      <c r="DM7"/>
      <c r="DN7" s="245"/>
      <c r="DO7" s="245"/>
      <c r="DP7" s="245"/>
      <c r="DQ7" s="246">
        <f t="shared" si="2"/>
        <v>0</v>
      </c>
      <c r="DR7" s="246">
        <f t="shared" si="3"/>
        <v>0</v>
      </c>
      <c r="DS7" s="247" t="str">
        <f t="shared" ref="DS7:DS10" si="18">IF(DT7&gt;=1,1,"")</f>
        <v/>
      </c>
      <c r="DT7" s="245"/>
      <c r="DU7" s="245"/>
      <c r="DV7" s="248">
        <f t="shared" ref="DV7:DV10" si="19">IF(DQ7=0,0,IF(DT7&gt;=25,MIN(250,ROUNDDOWN(DT7*10,-1)),IF(DT7&gt;=20,MIN(200,ROUNDDOWN(DT7*10,-1)),IF(DT7&gt;=15,MIN(150,ROUNDDOWN(DT7*10,-1)),MIN(100,ROUNDDOWN(DT7*10,-1))))))</f>
        <v>0</v>
      </c>
      <c r="DW7" s="246">
        <f t="shared" si="4"/>
        <v>0</v>
      </c>
      <c r="DX7" s="247" t="str">
        <f t="shared" ref="DX7:DX10" si="20">IF(DY7&gt;=1,1,"")</f>
        <v/>
      </c>
      <c r="DY7" s="245"/>
      <c r="DZ7" s="245"/>
      <c r="EA7" s="248">
        <f t="shared" ref="EA7:EA10" si="21">IF(AND(DQ7&gt;0,DY7&gt;=1),MIN(INT(DY7)*20,200),0)</f>
        <v>0</v>
      </c>
      <c r="EB7" s="246">
        <f t="shared" si="5"/>
        <v>0</v>
      </c>
      <c r="EC7" s="247" t="str">
        <f t="shared" ref="EC7:EC11" si="22">IF(ED7&gt;=1,1,"")</f>
        <v/>
      </c>
      <c r="ED7" s="245"/>
      <c r="EE7" s="247">
        <f t="shared" si="6"/>
        <v>0</v>
      </c>
      <c r="EF7" s="247" t="str">
        <f t="shared" ref="EF7:EF10" si="23">IF(EG7&gt;=1,1,"")</f>
        <v/>
      </c>
      <c r="EG7" s="245"/>
      <c r="EH7" s="245"/>
      <c r="EI7" s="247">
        <f t="shared" ref="EI7:EI11" si="24">IF(AND(DQ7&gt;0,EG7&gt;=1),MIN(INT(EG7)*2,150),0)</f>
        <v>0</v>
      </c>
      <c r="EJ7" s="246">
        <f t="shared" si="7"/>
        <v>0</v>
      </c>
      <c r="EK7" s="246">
        <f t="shared" si="8"/>
        <v>0</v>
      </c>
      <c r="EL7" s="247" t="str">
        <f t="shared" ref="EL7:EL11" si="25">IF(OR(EM7=1,EN7=1),1,"")</f>
        <v/>
      </c>
      <c r="EM7" s="245"/>
      <c r="EN7" s="245"/>
      <c r="EO7" s="246" t="e">
        <f>IF(AND(DQ7&gt;0,EL7=1,#REF!=""),100,0)</f>
        <v>#REF!</v>
      </c>
      <c r="EP7" s="246" t="e">
        <f t="shared" si="9"/>
        <v>#REF!</v>
      </c>
      <c r="EQ7" s="247" t="str">
        <f t="shared" ref="EQ7:EQ11" si="26">IF(OR(ER7=1,ES7=1),1,"")</f>
        <v/>
      </c>
      <c r="ER7" s="245"/>
      <c r="ES7" s="245"/>
      <c r="ET7" s="246">
        <f t="shared" si="10"/>
        <v>0</v>
      </c>
      <c r="EU7" s="246">
        <f t="shared" si="11"/>
        <v>0</v>
      </c>
      <c r="EV7" s="247" t="str">
        <f t="shared" ref="EV7:EV11" si="27">IF(FD7&gt;=4,1,"")</f>
        <v/>
      </c>
      <c r="EW7" s="245"/>
      <c r="EX7" s="245"/>
      <c r="EY7" s="245"/>
      <c r="EZ7" s="245"/>
      <c r="FA7" s="245"/>
      <c r="FB7" s="245"/>
      <c r="FC7" s="245"/>
      <c r="FD7" s="247">
        <f t="shared" ref="FD7:FD11" si="28">SUM(EW7:FC7)</f>
        <v>0</v>
      </c>
      <c r="FE7" s="246">
        <f t="shared" ref="FE7:FE11" si="29">IF(FD7&gt;=4,200,0)</f>
        <v>0</v>
      </c>
      <c r="FF7" s="246">
        <f t="shared" si="12"/>
        <v>0</v>
      </c>
      <c r="FG7" s="245"/>
      <c r="FH7" s="245"/>
      <c r="FI7" s="245"/>
      <c r="FJ7" s="245"/>
      <c r="FK7" s="246">
        <f t="shared" si="13"/>
        <v>0</v>
      </c>
      <c r="FL7" s="246">
        <f t="shared" si="14"/>
        <v>0</v>
      </c>
      <c r="FM7" s="245">
        <v>5</v>
      </c>
      <c r="FN7" s="251">
        <v>3</v>
      </c>
      <c r="FO7" s="251" t="s">
        <v>397</v>
      </c>
      <c r="FP7" s="245">
        <v>8</v>
      </c>
      <c r="FQ7" s="245" t="s">
        <v>398</v>
      </c>
      <c r="FR7" s="246">
        <f t="shared" ref="FR7:FR10" si="30">MIN(ROUNDDOWN(FN7,1)*20+INT(FP7)*2,250)</f>
        <v>76</v>
      </c>
      <c r="FS7" s="246">
        <f>MIN(BH7,FR7)</f>
        <v>76</v>
      </c>
      <c r="FT7" s="247">
        <f t="shared" ref="FT7:FT10" si="31">IF(OR(FU7=1,FV7=1),1,"")</f>
        <v>1</v>
      </c>
      <c r="FU7" s="245">
        <v>1</v>
      </c>
      <c r="FV7" s="245"/>
      <c r="FW7" s="246" t="e">
        <f>IF(AND(FR7&gt;0,FT7=1,#REF!=""),100,0)</f>
        <v>#REF!</v>
      </c>
      <c r="FX7" s="246" t="e">
        <f>MIN(BL7,FW7)</f>
        <v>#REF!</v>
      </c>
      <c r="FY7" s="247" t="str">
        <f t="shared" ref="FY7:FY10" si="32">IF(OR(FZ7=1,GA7=1,GB7=1),1,"")</f>
        <v/>
      </c>
      <c r="FZ7" s="245"/>
      <c r="GA7" s="245"/>
      <c r="GB7" s="245"/>
      <c r="GC7" s="246">
        <f t="shared" ref="GC7:GC10" si="33">IF(AND(FR7&gt;0,FY7=1),100,IF(AND(FR7&gt;0,GB7=1),100,0))</f>
        <v>0</v>
      </c>
      <c r="GD7" s="246">
        <f>MIN(BQ7,GC7)</f>
        <v>0</v>
      </c>
      <c r="GE7" s="247">
        <f t="shared" ref="GE7:GE10" si="34">IF(OR(AND(GF7&gt;=7,GG7&gt;=7,GF7+GG7&gt;=14),AND(GF7&gt;=7,GH7&gt;=3,GF7+GH7&gt;=10),AND(GG7&gt;=7,GH7&gt;=3,GG7+GH7&gt;=10)),1,"")</f>
        <v>1</v>
      </c>
      <c r="GF7" s="245">
        <v>7</v>
      </c>
      <c r="GG7" s="245"/>
      <c r="GH7" s="245">
        <v>3</v>
      </c>
      <c r="GI7" s="246">
        <f t="shared" ref="GI7:GI10" si="35">IF(AND(GE7=1,FR7&gt;0),MIN(150,ROUNDDOWN(GF7*11+GG7*13+GH7*19,0)),0)</f>
        <v>134</v>
      </c>
      <c r="GJ7" s="246">
        <f>MIN(BV7,GI7)</f>
        <v>134</v>
      </c>
      <c r="GK7" s="245"/>
      <c r="GL7" s="245" t="s">
        <v>399</v>
      </c>
      <c r="GM7" s="246" t="e">
        <f>IF(D7="改修",MIN(500,FS7+FX7+GD7+GJ7,INT(CQ7*10/2)),0)</f>
        <v>#REF!</v>
      </c>
      <c r="GN7" s="246" t="e">
        <f>BX7-GM7</f>
        <v>#REF!</v>
      </c>
      <c r="GO7" s="243" t="s">
        <v>388</v>
      </c>
      <c r="GP7" s="244">
        <v>43332</v>
      </c>
      <c r="GQ7" s="244">
        <v>43343</v>
      </c>
      <c r="GR7" s="244">
        <v>43358</v>
      </c>
      <c r="GS7" s="250" t="e">
        <f t="shared" si="15"/>
        <v>#REF!</v>
      </c>
      <c r="GT7" s="250" t="e">
        <f t="shared" si="16"/>
        <v>#REF!</v>
      </c>
      <c r="GU7" s="250" t="e">
        <f t="shared" ref="GU7:GU11" si="36">GS7-GT7</f>
        <v>#REF!</v>
      </c>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c r="YV7" s="113"/>
      <c r="YW7" s="113"/>
      <c r="YX7" s="113"/>
      <c r="YY7" s="113"/>
      <c r="YZ7" s="113"/>
      <c r="ZA7" s="113"/>
      <c r="ZB7" s="113"/>
      <c r="ZC7" s="113"/>
      <c r="ZD7" s="113"/>
      <c r="ZE7" s="113"/>
      <c r="ZF7" s="113"/>
      <c r="ZG7" s="113"/>
      <c r="ZH7" s="113"/>
      <c r="ZI7" s="113"/>
      <c r="ZJ7" s="113"/>
      <c r="ZK7" s="113"/>
      <c r="ZL7" s="113"/>
      <c r="ZM7" s="113"/>
      <c r="ZN7" s="113"/>
      <c r="ZO7" s="113"/>
      <c r="ZP7" s="113"/>
      <c r="ZQ7" s="113"/>
      <c r="ZR7" s="113"/>
      <c r="ZS7" s="113"/>
      <c r="ZT7" s="113"/>
      <c r="ZU7" s="113"/>
      <c r="ZV7" s="113"/>
      <c r="ZW7" s="113"/>
      <c r="ZX7" s="113"/>
      <c r="ZY7" s="113"/>
      <c r="ZZ7" s="113"/>
      <c r="AAA7" s="113"/>
      <c r="AAB7" s="113"/>
      <c r="AAC7" s="113"/>
      <c r="AAD7" s="113"/>
      <c r="AAE7" s="113"/>
      <c r="AAF7" s="113"/>
      <c r="AAG7" s="113"/>
      <c r="AAH7" s="113"/>
      <c r="AAI7" s="113"/>
      <c r="AAJ7" s="113"/>
      <c r="AAK7" s="113"/>
      <c r="AAL7" s="113"/>
      <c r="AAM7" s="113"/>
      <c r="AAN7" s="113"/>
      <c r="AAO7" s="113"/>
      <c r="AAP7" s="113"/>
      <c r="AAQ7" s="113"/>
      <c r="AAR7" s="113"/>
      <c r="AAS7" s="113"/>
      <c r="AAT7" s="113"/>
      <c r="AAU7" s="113"/>
      <c r="AAV7" s="113"/>
      <c r="AAW7" s="113"/>
      <c r="AAX7" s="113"/>
      <c r="AAY7" s="113"/>
      <c r="AAZ7" s="113"/>
      <c r="ABA7" s="113"/>
      <c r="ABB7" s="113"/>
      <c r="ABC7" s="113"/>
      <c r="ABD7" s="113"/>
      <c r="ABE7" s="113"/>
      <c r="ABF7" s="113"/>
      <c r="ABG7" s="113"/>
      <c r="ABH7" s="113"/>
      <c r="ABI7" s="113"/>
      <c r="ABJ7" s="113"/>
      <c r="ABK7" s="113"/>
      <c r="ABL7" s="113"/>
      <c r="ABM7" s="113"/>
      <c r="ABN7" s="113"/>
      <c r="ABO7" s="113"/>
      <c r="ABP7" s="113"/>
      <c r="ABQ7" s="113"/>
      <c r="ABR7" s="113"/>
      <c r="ABS7" s="113"/>
      <c r="ABT7" s="113"/>
      <c r="ABU7" s="113"/>
      <c r="ABV7" s="113"/>
      <c r="ABW7" s="113"/>
      <c r="ABX7" s="113"/>
      <c r="ABY7" s="113"/>
      <c r="ABZ7" s="113"/>
      <c r="ACA7" s="113"/>
      <c r="ACB7" s="113"/>
      <c r="ACC7" s="113"/>
      <c r="ACD7" s="113"/>
      <c r="ACE7" s="113"/>
      <c r="ACF7" s="113"/>
      <c r="ACG7" s="113"/>
      <c r="ACH7" s="113"/>
      <c r="ACI7" s="113"/>
      <c r="ACJ7" s="113"/>
      <c r="ACK7" s="113"/>
      <c r="ACL7" s="113"/>
      <c r="ACM7" s="113"/>
      <c r="ACN7" s="113"/>
      <c r="ACO7" s="113"/>
      <c r="ACP7" s="113"/>
      <c r="ACQ7" s="113"/>
      <c r="ACR7" s="113"/>
      <c r="ACS7" s="113"/>
      <c r="ACT7" s="113"/>
      <c r="ACU7" s="113"/>
      <c r="ACV7" s="113"/>
      <c r="ACW7" s="113"/>
      <c r="ACX7" s="113"/>
      <c r="ACY7" s="113"/>
      <c r="ACZ7" s="113"/>
      <c r="ADA7" s="113"/>
      <c r="ADB7" s="113"/>
      <c r="ADC7" s="113"/>
      <c r="ADD7" s="113"/>
      <c r="ADE7" s="113"/>
      <c r="ADF7" s="113"/>
      <c r="ADG7" s="113"/>
      <c r="ADH7" s="113"/>
      <c r="ADI7" s="113"/>
      <c r="ADJ7" s="113"/>
      <c r="ADK7" s="113"/>
      <c r="ADL7" s="113"/>
      <c r="ADM7" s="113"/>
      <c r="ADN7" s="113"/>
      <c r="ADO7" s="113"/>
      <c r="ADP7" s="113"/>
      <c r="ADQ7" s="113"/>
      <c r="ADR7" s="113"/>
      <c r="ADS7" s="113"/>
      <c r="ADT7" s="113"/>
      <c r="ADU7" s="113"/>
      <c r="ADV7" s="113"/>
      <c r="ADW7" s="113"/>
      <c r="ADX7" s="113"/>
      <c r="ADY7" s="113"/>
      <c r="ADZ7" s="113"/>
      <c r="AEA7" s="113"/>
      <c r="AEB7" s="113"/>
      <c r="AEC7" s="113"/>
      <c r="AED7" s="113"/>
      <c r="AEE7" s="113"/>
      <c r="AEF7" s="113"/>
      <c r="AEG7" s="113"/>
      <c r="AEH7" s="113"/>
      <c r="AEI7" s="113"/>
      <c r="AEJ7" s="113"/>
      <c r="AEK7" s="113"/>
      <c r="AEL7" s="113"/>
      <c r="AEM7" s="113"/>
      <c r="AEN7" s="113"/>
      <c r="AEO7" s="113"/>
      <c r="AEP7" s="113"/>
      <c r="AEQ7" s="113"/>
      <c r="AER7" s="113"/>
      <c r="AES7" s="113"/>
      <c r="AET7" s="113"/>
      <c r="AEU7" s="113"/>
      <c r="AEV7" s="113"/>
      <c r="AEW7" s="113"/>
      <c r="AEX7" s="113"/>
      <c r="AEY7" s="113"/>
      <c r="AEZ7" s="113"/>
      <c r="AFA7" s="113"/>
      <c r="AFB7" s="113"/>
      <c r="AFC7" s="113"/>
      <c r="AFD7" s="113"/>
      <c r="AFE7" s="113"/>
      <c r="AFF7" s="113"/>
      <c r="AFG7" s="113"/>
      <c r="AFH7" s="113"/>
      <c r="AFI7" s="113"/>
      <c r="AFJ7" s="113"/>
      <c r="AFK7" s="113"/>
      <c r="AFL7" s="113"/>
      <c r="AFM7" s="113"/>
      <c r="AFN7" s="113"/>
      <c r="AFO7" s="113"/>
      <c r="AFP7" s="113"/>
      <c r="AFQ7" s="113"/>
      <c r="AFR7" s="113"/>
      <c r="AFS7" s="113"/>
      <c r="AFT7" s="113"/>
      <c r="AFU7" s="113"/>
      <c r="AFV7" s="113"/>
      <c r="AFW7" s="113"/>
      <c r="AFX7" s="113"/>
      <c r="AFY7" s="113"/>
      <c r="AFZ7" s="113"/>
      <c r="AGA7" s="113"/>
      <c r="AGB7" s="113"/>
      <c r="AGC7" s="113"/>
      <c r="AGD7" s="113"/>
      <c r="AGE7" s="113"/>
      <c r="AGF7" s="113"/>
      <c r="AGG7" s="113"/>
      <c r="AGH7" s="113"/>
      <c r="AGI7" s="113"/>
      <c r="AGJ7" s="113"/>
      <c r="AGK7" s="113"/>
      <c r="AGL7" s="113"/>
      <c r="AGM7" s="113"/>
      <c r="AGN7" s="113"/>
      <c r="AGO7" s="113"/>
      <c r="AGP7" s="113"/>
      <c r="AGQ7" s="113"/>
      <c r="AGR7" s="113"/>
      <c r="AGS7" s="113"/>
      <c r="AGT7" s="113"/>
      <c r="AGU7" s="113"/>
      <c r="AGV7" s="113"/>
      <c r="AGW7" s="113"/>
    </row>
    <row r="8" spans="1:881" ht="12.9" hidden="1" customHeight="1" x14ac:dyDescent="0.2">
      <c r="B8" s="239" t="str">
        <f t="shared" si="0"/>
        <v/>
      </c>
      <c r="C8" s="240" t="s">
        <v>400</v>
      </c>
      <c r="D8" s="241" t="s">
        <v>401</v>
      </c>
      <c r="E8" s="242" t="str">
        <f t="shared" si="17"/>
        <v>登録</v>
      </c>
      <c r="F8" s="243"/>
      <c r="G8" s="243"/>
      <c r="H8" s="244">
        <v>43191</v>
      </c>
      <c r="I8" s="272" t="s">
        <v>380</v>
      </c>
      <c r="J8" s="273" t="s">
        <v>402</v>
      </c>
      <c r="K8" s="272"/>
      <c r="L8" s="273" t="s">
        <v>403</v>
      </c>
      <c r="M8" s="273" t="s">
        <v>123</v>
      </c>
      <c r="N8" s="272" t="s">
        <v>404</v>
      </c>
      <c r="O8" s="247">
        <v>25</v>
      </c>
      <c r="P8" s="247">
        <v>20</v>
      </c>
      <c r="Q8" s="246">
        <f t="shared" ref="Q8:Q10" si="37">IF(P8&gt;=10,150,0)</f>
        <v>150</v>
      </c>
      <c r="R8" s="247">
        <f t="shared" ref="R8:R10" si="38">IF(S8&gt;=1,1,"")</f>
        <v>1</v>
      </c>
      <c r="S8" s="247">
        <v>15</v>
      </c>
      <c r="T8" s="248">
        <f t="shared" ref="T8:T11" si="39">IF(Q8=0,0,IF(S8&gt;=25,MIN(250,ROUNDDOWN(S8*10,-1)),IF(S8&gt;=20,MIN(200,ROUNDDOWN(S8*10,-1)),IF(S8&gt;=15,MIN(150,ROUNDDOWN(S8*10,-1)),MIN(100,ROUNDDOWN(S8*10,-1))))))</f>
        <v>150</v>
      </c>
      <c r="U8" s="247">
        <f t="shared" ref="U8:U10" si="40">IF(Z8&gt;=1,1,"")</f>
        <v>1</v>
      </c>
      <c r="V8" s="247"/>
      <c r="W8" s="247"/>
      <c r="X8" s="247"/>
      <c r="Y8" s="247"/>
      <c r="Z8" s="247">
        <v>3</v>
      </c>
      <c r="AA8" s="248">
        <f t="shared" ref="AA8:AA10" si="41">IF(AND(Q8&gt;0,Z8&gt;=1),MIN(INT(Z8)*20,200),0)</f>
        <v>60</v>
      </c>
      <c r="AB8" s="247" t="str">
        <f t="shared" ref="AB8:AB10" si="42">IF(AC8&gt;=1,1,"")</f>
        <v/>
      </c>
      <c r="AC8" s="247"/>
      <c r="AD8" s="247">
        <f t="shared" ref="AD8:AD10" si="43">IF(AC8&gt;=1,50,0)</f>
        <v>0</v>
      </c>
      <c r="AE8" s="247">
        <f t="shared" ref="AE8:AE10" si="44">IF(AF8&gt;=1,1,"")</f>
        <v>1</v>
      </c>
      <c r="AF8" s="247">
        <v>50</v>
      </c>
      <c r="AG8" s="247">
        <f>IF(AND(Q8&gt;0,AF8&gt;=1),MIN(INT(AF8)*2,150),0)</f>
        <v>100</v>
      </c>
      <c r="AH8" s="246">
        <f>IF(OR(AG8&gt;0,AD8&gt;0),MIN(AG8+AD8,150),0)</f>
        <v>100</v>
      </c>
      <c r="AI8" s="247">
        <f t="shared" ref="AI8:AI10" si="45">IF(OR(AJ8=1,AK8=1),1,"")</f>
        <v>1</v>
      </c>
      <c r="AJ8" s="247">
        <v>1</v>
      </c>
      <c r="AK8" s="247"/>
      <c r="AL8" s="246">
        <f>IF(AND(Q8&gt;0,AI8=1,),100,0)</f>
        <v>0</v>
      </c>
      <c r="AM8" s="247">
        <f t="shared" ref="AM8:AM10" si="46">IF(OR(AN8=1,AO8=1),1,"")</f>
        <v>1</v>
      </c>
      <c r="AN8" s="247"/>
      <c r="AO8" s="247">
        <v>1</v>
      </c>
      <c r="AP8" s="246">
        <f>IF(AND(Q8&gt;0,AI8=1,AM8=1),100,0)</f>
        <v>100</v>
      </c>
      <c r="AQ8" s="247" t="str">
        <f t="shared" ref="AQ8:AQ11" si="47">IF(AY8&gt;=4,1,"")</f>
        <v/>
      </c>
      <c r="AR8" s="247"/>
      <c r="AS8" s="247"/>
      <c r="AT8" s="247"/>
      <c r="AU8" s="247"/>
      <c r="AV8" s="247"/>
      <c r="AW8" s="247"/>
      <c r="AX8" s="247"/>
      <c r="AY8" s="247">
        <f t="shared" ref="AY8:AY11" si="48">SUM(AR8:AX8)</f>
        <v>0</v>
      </c>
      <c r="AZ8" s="246">
        <f t="shared" ref="AZ8:AZ10" si="49">IF(AY8&gt;=4,200,0)</f>
        <v>0</v>
      </c>
      <c r="BA8" s="245"/>
      <c r="BB8" s="245"/>
      <c r="BC8" s="245"/>
      <c r="BD8" s="246">
        <f t="shared" si="1"/>
        <v>560</v>
      </c>
      <c r="BE8" s="245"/>
      <c r="BF8" s="249"/>
      <c r="BG8" s="245"/>
      <c r="BH8" s="246">
        <f t="shared" ref="BH8:BH10" si="50">MIN(ROUNDDOWN(BF8,1)*20+INT(BG8)*2,250)</f>
        <v>0</v>
      </c>
      <c r="BI8" s="247" t="str">
        <f t="shared" ref="BI8:BI10" si="51">IF(OR(BJ8=1,BK8=1),1,"")</f>
        <v/>
      </c>
      <c r="BJ8" s="245"/>
      <c r="BK8" s="245"/>
      <c r="BL8" s="246" t="e">
        <f>IF(AND(BH8&gt;0,BI8=1,#REF!=""),100,0)</f>
        <v>#REF!</v>
      </c>
      <c r="BM8" s="247" t="str">
        <f t="shared" ref="BM8:BM10" si="52">IF(OR(BN8=1,BO8=1,BP8=1),1,"")</f>
        <v/>
      </c>
      <c r="BN8" s="245"/>
      <c r="BO8" s="245"/>
      <c r="BP8" s="245"/>
      <c r="BQ8" s="246">
        <f t="shared" ref="BQ8:BQ10" si="53">IF(AND(BH8&gt;0,BM8=1),100,IF(AND(BH8&gt;0,BP8=1),100,0))</f>
        <v>0</v>
      </c>
      <c r="BR8" s="247" t="str">
        <f t="shared" ref="BR8:BR10" si="54">IF(OR(AND(BS8&gt;=7,BT8&gt;=7,BS8+BT8&gt;=14),AND(BS8&gt;=7,BU8&gt;=3,BS8+BU8&gt;=10),AND(BT8&gt;=7,BU8&gt;=3,BT8+BU8&gt;=10)),1,"")</f>
        <v/>
      </c>
      <c r="BS8" s="245"/>
      <c r="BT8" s="245"/>
      <c r="BU8" s="245"/>
      <c r="BV8" s="246">
        <f t="shared" ref="BV8:BV10" si="55">IF(AND(BR8=1,BH8&gt;0),MIN(150,ROUNDDOWN(BS8*11+BT8*13+BU8*19,0)),0)</f>
        <v>0</v>
      </c>
      <c r="BW8" s="245"/>
      <c r="BX8" s="246">
        <f>IF(D8="改修",MIN(500,BH8+BL8+BQ8+BV8,INT(CQ8*10/2)),0)</f>
        <v>0</v>
      </c>
      <c r="BY8" s="277"/>
      <c r="BZ8" s="280" t="s">
        <v>8</v>
      </c>
      <c r="CA8" s="278"/>
      <c r="CB8" s="280" t="s">
        <v>234</v>
      </c>
      <c r="CC8" s="278"/>
      <c r="CD8" s="281" t="s">
        <v>7</v>
      </c>
      <c r="CE8" s="277"/>
      <c r="CF8" s="280" t="s">
        <v>8</v>
      </c>
      <c r="CG8" s="278"/>
      <c r="CH8" s="280" t="s">
        <v>234</v>
      </c>
      <c r="CI8" s="278"/>
      <c r="CJ8" s="281" t="s">
        <v>7</v>
      </c>
      <c r="CK8" s="244">
        <v>43198</v>
      </c>
      <c r="CL8" s="250">
        <f t="shared" ref="CL8:CL10" si="56">BD8+BX8</f>
        <v>560</v>
      </c>
      <c r="CM8" s="272" t="s">
        <v>380</v>
      </c>
      <c r="CN8" s="272" t="s">
        <v>381</v>
      </c>
      <c r="CO8" s="241" t="s">
        <v>405</v>
      </c>
      <c r="CP8" s="272">
        <v>100</v>
      </c>
      <c r="CQ8" s="285">
        <v>2200</v>
      </c>
      <c r="CR8" s="273" t="s">
        <v>383</v>
      </c>
      <c r="CS8" s="244"/>
      <c r="CT8" s="243"/>
      <c r="CU8" s="243"/>
      <c r="CV8" s="244"/>
      <c r="CW8" s="244"/>
      <c r="CX8" s="243"/>
      <c r="CY8" s="243"/>
      <c r="CZ8" s="243"/>
      <c r="DA8" s="243"/>
      <c r="DB8" s="243"/>
      <c r="DC8" s="243"/>
      <c r="DD8" s="243"/>
      <c r="DE8" s="243"/>
      <c r="DF8" s="243"/>
      <c r="DG8" s="243"/>
      <c r="DH8" s="243"/>
      <c r="DI8" s="243"/>
      <c r="DJ8" s="243"/>
      <c r="DK8" s="243"/>
      <c r="DL8" s="243"/>
      <c r="DM8"/>
      <c r="DN8" s="245"/>
      <c r="DO8" s="245"/>
      <c r="DP8" s="245"/>
      <c r="DQ8" s="246">
        <f t="shared" si="2"/>
        <v>0</v>
      </c>
      <c r="DR8" s="246">
        <f t="shared" si="3"/>
        <v>0</v>
      </c>
      <c r="DS8" s="247" t="str">
        <f t="shared" si="18"/>
        <v/>
      </c>
      <c r="DT8" s="245"/>
      <c r="DU8" s="245"/>
      <c r="DV8" s="248">
        <f t="shared" si="19"/>
        <v>0</v>
      </c>
      <c r="DW8" s="246">
        <f t="shared" si="4"/>
        <v>0</v>
      </c>
      <c r="DX8" s="247" t="str">
        <f t="shared" si="20"/>
        <v/>
      </c>
      <c r="DY8" s="245"/>
      <c r="DZ8" s="245"/>
      <c r="EA8" s="248">
        <f t="shared" si="21"/>
        <v>0</v>
      </c>
      <c r="EB8" s="246">
        <f t="shared" si="5"/>
        <v>0</v>
      </c>
      <c r="EC8" s="247" t="str">
        <f t="shared" si="22"/>
        <v/>
      </c>
      <c r="ED8" s="245"/>
      <c r="EE8" s="247">
        <f t="shared" si="6"/>
        <v>0</v>
      </c>
      <c r="EF8" s="247" t="str">
        <f t="shared" si="23"/>
        <v/>
      </c>
      <c r="EG8" s="245"/>
      <c r="EH8" s="245"/>
      <c r="EI8" s="247">
        <f t="shared" si="24"/>
        <v>0</v>
      </c>
      <c r="EJ8" s="246">
        <f t="shared" si="7"/>
        <v>0</v>
      </c>
      <c r="EK8" s="246">
        <f t="shared" si="8"/>
        <v>0</v>
      </c>
      <c r="EL8" s="247" t="str">
        <f t="shared" si="25"/>
        <v/>
      </c>
      <c r="EM8" s="245"/>
      <c r="EN8" s="245"/>
      <c r="EO8" s="246" t="e">
        <f>IF(AND(DQ8&gt;0,EL8=1,#REF!=""),100,0)</f>
        <v>#REF!</v>
      </c>
      <c r="EP8" s="246" t="e">
        <f t="shared" si="9"/>
        <v>#REF!</v>
      </c>
      <c r="EQ8" s="247" t="str">
        <f t="shared" si="26"/>
        <v/>
      </c>
      <c r="ER8" s="245"/>
      <c r="ES8" s="245"/>
      <c r="ET8" s="246">
        <f t="shared" si="10"/>
        <v>0</v>
      </c>
      <c r="EU8" s="246">
        <f t="shared" si="11"/>
        <v>0</v>
      </c>
      <c r="EV8" s="247" t="str">
        <f t="shared" si="27"/>
        <v/>
      </c>
      <c r="EW8" s="245"/>
      <c r="EX8" s="245"/>
      <c r="EY8" s="245"/>
      <c r="EZ8" s="245"/>
      <c r="FA8" s="245"/>
      <c r="FB8" s="245"/>
      <c r="FC8" s="245"/>
      <c r="FD8" s="247">
        <f t="shared" si="28"/>
        <v>0</v>
      </c>
      <c r="FE8" s="246">
        <f t="shared" si="29"/>
        <v>0</v>
      </c>
      <c r="FF8" s="246">
        <f t="shared" si="12"/>
        <v>0</v>
      </c>
      <c r="FG8" s="245"/>
      <c r="FH8" s="245"/>
      <c r="FI8" s="245"/>
      <c r="FJ8" s="245"/>
      <c r="FK8" s="246">
        <f t="shared" si="13"/>
        <v>0</v>
      </c>
      <c r="FL8" s="246">
        <f t="shared" si="14"/>
        <v>560</v>
      </c>
      <c r="FM8" s="245"/>
      <c r="FN8" s="251"/>
      <c r="FO8" s="251"/>
      <c r="FP8" s="245"/>
      <c r="FQ8" s="245"/>
      <c r="FR8" s="246">
        <f t="shared" si="30"/>
        <v>0</v>
      </c>
      <c r="FS8" s="246">
        <f>MIN(BH8,FR8)</f>
        <v>0</v>
      </c>
      <c r="FT8" s="247" t="str">
        <f t="shared" si="31"/>
        <v/>
      </c>
      <c r="FU8" s="245"/>
      <c r="FV8" s="245"/>
      <c r="FW8" s="246" t="e">
        <f>IF(AND(FR8&gt;0,FT8=1,#REF!=""),100,0)</f>
        <v>#REF!</v>
      </c>
      <c r="FX8" s="246" t="e">
        <f>MIN(BL8,FW8)</f>
        <v>#REF!</v>
      </c>
      <c r="FY8" s="247" t="str">
        <f t="shared" si="32"/>
        <v/>
      </c>
      <c r="FZ8" s="245"/>
      <c r="GA8" s="245"/>
      <c r="GB8" s="245"/>
      <c r="GC8" s="246">
        <f t="shared" si="33"/>
        <v>0</v>
      </c>
      <c r="GD8" s="246">
        <f>MIN(BQ8,GC8)</f>
        <v>0</v>
      </c>
      <c r="GE8" s="247" t="str">
        <f t="shared" si="34"/>
        <v/>
      </c>
      <c r="GF8" s="245"/>
      <c r="GG8" s="245"/>
      <c r="GH8" s="245"/>
      <c r="GI8" s="246">
        <f t="shared" si="35"/>
        <v>0</v>
      </c>
      <c r="GJ8" s="246">
        <f>MIN(BV8,GI8)</f>
        <v>0</v>
      </c>
      <c r="GK8" s="245"/>
      <c r="GL8" s="245"/>
      <c r="GM8" s="246">
        <f>IF(D8="改修",MIN(500,FS8+FX8+GD8+GJ8,INT(CQ8*10/2)),0)</f>
        <v>0</v>
      </c>
      <c r="GN8" s="246">
        <f>BX8-GM8</f>
        <v>0</v>
      </c>
      <c r="GO8" s="243"/>
      <c r="GP8" s="244"/>
      <c r="GQ8" s="244"/>
      <c r="GR8" s="244"/>
      <c r="GS8" s="250">
        <f t="shared" si="15"/>
        <v>0</v>
      </c>
      <c r="GT8" s="250">
        <f t="shared" si="16"/>
        <v>0</v>
      </c>
      <c r="GU8" s="250">
        <f t="shared" si="36"/>
        <v>0</v>
      </c>
    </row>
    <row r="9" spans="1:881" s="252" customFormat="1" ht="12.9" hidden="1" customHeight="1" x14ac:dyDescent="0.2">
      <c r="B9" s="239" t="str">
        <f t="shared" si="0"/>
        <v>支払済</v>
      </c>
      <c r="C9" s="240" t="s">
        <v>400</v>
      </c>
      <c r="D9" s="241" t="s">
        <v>372</v>
      </c>
      <c r="E9" s="242" t="str">
        <f t="shared" si="17"/>
        <v>建売購入</v>
      </c>
      <c r="F9" s="243"/>
      <c r="G9" s="243"/>
      <c r="H9" s="244">
        <v>43403</v>
      </c>
      <c r="I9" s="272" t="s">
        <v>406</v>
      </c>
      <c r="J9" s="273" t="s">
        <v>407</v>
      </c>
      <c r="K9" s="272"/>
      <c r="L9" s="273" t="s">
        <v>408</v>
      </c>
      <c r="M9" s="273" t="s">
        <v>409</v>
      </c>
      <c r="N9" s="272" t="s">
        <v>404</v>
      </c>
      <c r="O9" s="247">
        <v>25</v>
      </c>
      <c r="P9" s="247">
        <v>18</v>
      </c>
      <c r="Q9" s="246">
        <f t="shared" si="37"/>
        <v>150</v>
      </c>
      <c r="R9" s="247">
        <f t="shared" si="38"/>
        <v>1</v>
      </c>
      <c r="S9" s="247">
        <v>13</v>
      </c>
      <c r="T9" s="248">
        <f t="shared" si="39"/>
        <v>100</v>
      </c>
      <c r="U9" s="247">
        <f t="shared" si="40"/>
        <v>1</v>
      </c>
      <c r="V9" s="247"/>
      <c r="W9" s="247"/>
      <c r="X9" s="247"/>
      <c r="Y9" s="247"/>
      <c r="Z9" s="247">
        <v>2</v>
      </c>
      <c r="AA9" s="248">
        <f t="shared" si="41"/>
        <v>40</v>
      </c>
      <c r="AB9" s="247" t="str">
        <f t="shared" si="42"/>
        <v/>
      </c>
      <c r="AC9" s="247"/>
      <c r="AD9" s="247">
        <f t="shared" si="43"/>
        <v>0</v>
      </c>
      <c r="AE9" s="247">
        <f t="shared" si="44"/>
        <v>1</v>
      </c>
      <c r="AF9" s="247">
        <v>45</v>
      </c>
      <c r="AG9" s="247">
        <f>IF(AND(Q9&gt;0,AF9&gt;=1),MIN(INT(AF9)*2,150),0)</f>
        <v>90</v>
      </c>
      <c r="AH9" s="246">
        <f>IF(OR(AG9&gt;0,AD9&gt;0),MIN(AG9+AD9,150),0)</f>
        <v>90</v>
      </c>
      <c r="AI9" s="247">
        <f t="shared" si="45"/>
        <v>1</v>
      </c>
      <c r="AJ9" s="247"/>
      <c r="AK9" s="247">
        <v>1</v>
      </c>
      <c r="AL9" s="246">
        <f>IF(AND(Q9&gt;0,AI9=1,),100,0)</f>
        <v>0</v>
      </c>
      <c r="AM9" s="247" t="str">
        <f t="shared" si="46"/>
        <v/>
      </c>
      <c r="AN9" s="247"/>
      <c r="AO9" s="247"/>
      <c r="AP9" s="246">
        <f>IF(AND(Q9&gt;0,AI9=1,AM9=1),100,0)</f>
        <v>0</v>
      </c>
      <c r="AQ9" s="247" t="str">
        <f t="shared" si="47"/>
        <v/>
      </c>
      <c r="AR9" s="247"/>
      <c r="AS9" s="247"/>
      <c r="AT9" s="247"/>
      <c r="AU9" s="247"/>
      <c r="AV9" s="247"/>
      <c r="AW9" s="247"/>
      <c r="AX9" s="247"/>
      <c r="AY9" s="247">
        <f t="shared" si="48"/>
        <v>0</v>
      </c>
      <c r="AZ9" s="246">
        <f t="shared" si="49"/>
        <v>0</v>
      </c>
      <c r="BA9" s="245"/>
      <c r="BB9" s="245"/>
      <c r="BC9" s="245"/>
      <c r="BD9" s="246">
        <f t="shared" si="1"/>
        <v>380</v>
      </c>
      <c r="BE9" s="245"/>
      <c r="BF9" s="249"/>
      <c r="BG9" s="245"/>
      <c r="BH9" s="246">
        <f t="shared" si="50"/>
        <v>0</v>
      </c>
      <c r="BI9" s="247" t="str">
        <f t="shared" si="51"/>
        <v/>
      </c>
      <c r="BJ9" s="245"/>
      <c r="BK9" s="245"/>
      <c r="BL9" s="246" t="e">
        <f>IF(AND(BH9&gt;0,BI9=1,#REF!=""),100,0)</f>
        <v>#REF!</v>
      </c>
      <c r="BM9" s="247" t="str">
        <f t="shared" si="52"/>
        <v/>
      </c>
      <c r="BN9" s="245"/>
      <c r="BO9" s="245"/>
      <c r="BP9" s="245"/>
      <c r="BQ9" s="246">
        <f t="shared" si="53"/>
        <v>0</v>
      </c>
      <c r="BR9" s="247" t="str">
        <f t="shared" si="54"/>
        <v/>
      </c>
      <c r="BS9" s="245"/>
      <c r="BT9" s="245"/>
      <c r="BU9" s="245"/>
      <c r="BV9" s="246">
        <f t="shared" si="55"/>
        <v>0</v>
      </c>
      <c r="BW9" s="245"/>
      <c r="BX9" s="246">
        <f>IF(D9="改修",MIN(500,BH9+BL9+BQ9+BV9,INT(CQ9*10/2)),0)</f>
        <v>0</v>
      </c>
      <c r="BY9" s="277"/>
      <c r="BZ9" s="280" t="s">
        <v>8</v>
      </c>
      <c r="CA9" s="278"/>
      <c r="CB9" s="280" t="s">
        <v>234</v>
      </c>
      <c r="CC9" s="278"/>
      <c r="CD9" s="281" t="s">
        <v>7</v>
      </c>
      <c r="CE9" s="277"/>
      <c r="CF9" s="280" t="s">
        <v>8</v>
      </c>
      <c r="CG9" s="278"/>
      <c r="CH9" s="280" t="s">
        <v>234</v>
      </c>
      <c r="CI9" s="278"/>
      <c r="CJ9" s="281" t="s">
        <v>7</v>
      </c>
      <c r="CK9" s="244">
        <v>43409</v>
      </c>
      <c r="CL9" s="250">
        <f t="shared" si="56"/>
        <v>380</v>
      </c>
      <c r="CM9" s="272" t="s">
        <v>380</v>
      </c>
      <c r="CN9" s="272" t="s">
        <v>381</v>
      </c>
      <c r="CO9" s="241" t="s">
        <v>405</v>
      </c>
      <c r="CP9" s="272">
        <v>100</v>
      </c>
      <c r="CQ9" s="285">
        <v>2200</v>
      </c>
      <c r="CR9" s="273" t="s">
        <v>383</v>
      </c>
      <c r="CS9" s="244"/>
      <c r="CT9" s="243"/>
      <c r="CU9" s="243"/>
      <c r="CV9" s="244"/>
      <c r="CW9" s="244"/>
      <c r="CX9" s="243"/>
      <c r="CY9" s="243"/>
      <c r="CZ9" s="243"/>
      <c r="DA9" s="243"/>
      <c r="DB9" s="243"/>
      <c r="DC9" s="243"/>
      <c r="DD9" s="243"/>
      <c r="DE9" s="243"/>
      <c r="DF9" s="243"/>
      <c r="DG9" s="243"/>
      <c r="DH9" s="243"/>
      <c r="DI9" s="243"/>
      <c r="DJ9" s="243"/>
      <c r="DK9" s="243"/>
      <c r="DL9" s="243"/>
      <c r="DM9"/>
      <c r="DN9" s="247">
        <v>25</v>
      </c>
      <c r="DO9" s="247">
        <v>18</v>
      </c>
      <c r="DP9" s="245" t="s">
        <v>410</v>
      </c>
      <c r="DQ9" s="246">
        <f t="shared" si="2"/>
        <v>150</v>
      </c>
      <c r="DR9" s="246">
        <f t="shared" si="3"/>
        <v>150</v>
      </c>
      <c r="DS9" s="247">
        <f t="shared" si="18"/>
        <v>1</v>
      </c>
      <c r="DT9" s="247">
        <v>13</v>
      </c>
      <c r="DU9" s="245" t="s">
        <v>410</v>
      </c>
      <c r="DV9" s="248">
        <f t="shared" si="19"/>
        <v>100</v>
      </c>
      <c r="DW9" s="246">
        <f t="shared" si="4"/>
        <v>100</v>
      </c>
      <c r="DX9" s="247">
        <f t="shared" si="20"/>
        <v>1</v>
      </c>
      <c r="DY9" s="247">
        <v>2</v>
      </c>
      <c r="DZ9" s="245" t="s">
        <v>411</v>
      </c>
      <c r="EA9" s="248">
        <f t="shared" si="21"/>
        <v>40</v>
      </c>
      <c r="EB9" s="246">
        <f t="shared" si="5"/>
        <v>40</v>
      </c>
      <c r="EC9" s="247" t="str">
        <f t="shared" si="22"/>
        <v/>
      </c>
      <c r="ED9" s="247"/>
      <c r="EE9" s="247">
        <f t="shared" si="6"/>
        <v>0</v>
      </c>
      <c r="EF9" s="247">
        <f t="shared" si="23"/>
        <v>1</v>
      </c>
      <c r="EG9" s="247">
        <v>45</v>
      </c>
      <c r="EH9" s="245" t="s">
        <v>412</v>
      </c>
      <c r="EI9" s="247">
        <f t="shared" si="24"/>
        <v>90</v>
      </c>
      <c r="EJ9" s="246">
        <f t="shared" si="7"/>
        <v>90</v>
      </c>
      <c r="EK9" s="246">
        <f t="shared" si="8"/>
        <v>90</v>
      </c>
      <c r="EL9" s="247">
        <f t="shared" si="25"/>
        <v>1</v>
      </c>
      <c r="EM9" s="247"/>
      <c r="EN9" s="247">
        <v>1</v>
      </c>
      <c r="EO9" s="246" t="e">
        <f>IF(AND(DQ9&gt;0,EL9=1,#REF!=""),100,0)</f>
        <v>#REF!</v>
      </c>
      <c r="EP9" s="246" t="e">
        <f t="shared" si="9"/>
        <v>#REF!</v>
      </c>
      <c r="EQ9" s="247" t="str">
        <f t="shared" si="26"/>
        <v/>
      </c>
      <c r="ER9" s="247"/>
      <c r="ES9" s="247"/>
      <c r="ET9" s="246">
        <f t="shared" si="10"/>
        <v>0</v>
      </c>
      <c r="EU9" s="246">
        <f t="shared" si="11"/>
        <v>0</v>
      </c>
      <c r="EV9" s="247" t="str">
        <f t="shared" si="27"/>
        <v/>
      </c>
      <c r="EW9" s="247"/>
      <c r="EX9" s="247"/>
      <c r="EY9" s="247"/>
      <c r="EZ9" s="247"/>
      <c r="FA9" s="247"/>
      <c r="FB9" s="247"/>
      <c r="FC9" s="247"/>
      <c r="FD9" s="247">
        <f t="shared" si="28"/>
        <v>0</v>
      </c>
      <c r="FE9" s="246">
        <f t="shared" si="29"/>
        <v>0</v>
      </c>
      <c r="FF9" s="246">
        <f t="shared" si="12"/>
        <v>0</v>
      </c>
      <c r="FG9" s="245"/>
      <c r="FH9" s="245"/>
      <c r="FI9" s="245"/>
      <c r="FJ9" s="245"/>
      <c r="FK9" s="246" t="e">
        <f t="shared" si="13"/>
        <v>#REF!</v>
      </c>
      <c r="FL9" s="246" t="e">
        <f t="shared" si="14"/>
        <v>#REF!</v>
      </c>
      <c r="FM9" s="245"/>
      <c r="FN9" s="251"/>
      <c r="FO9" s="251"/>
      <c r="FP9" s="245"/>
      <c r="FQ9" s="245"/>
      <c r="FR9" s="246">
        <f t="shared" si="30"/>
        <v>0</v>
      </c>
      <c r="FS9" s="246">
        <f>MIN(BH9,FR9)</f>
        <v>0</v>
      </c>
      <c r="FT9" s="247" t="str">
        <f t="shared" si="31"/>
        <v/>
      </c>
      <c r="FU9" s="245"/>
      <c r="FV9" s="245"/>
      <c r="FW9" s="246" t="e">
        <f>IF(AND(FR9&gt;0,FT9=1,#REF!=""),100,0)</f>
        <v>#REF!</v>
      </c>
      <c r="FX9" s="246" t="e">
        <f>MIN(BL9,FW9)</f>
        <v>#REF!</v>
      </c>
      <c r="FY9" s="247" t="str">
        <f t="shared" si="32"/>
        <v/>
      </c>
      <c r="FZ9" s="245"/>
      <c r="GA9" s="245"/>
      <c r="GB9" s="245"/>
      <c r="GC9" s="246">
        <f t="shared" si="33"/>
        <v>0</v>
      </c>
      <c r="GD9" s="246">
        <f>MIN(BQ9,GC9)</f>
        <v>0</v>
      </c>
      <c r="GE9" s="247" t="str">
        <f t="shared" si="34"/>
        <v/>
      </c>
      <c r="GF9" s="245"/>
      <c r="GG9" s="245"/>
      <c r="GH9" s="245"/>
      <c r="GI9" s="246">
        <f t="shared" si="35"/>
        <v>0</v>
      </c>
      <c r="GJ9" s="246">
        <f>MIN(BV9,GI9)</f>
        <v>0</v>
      </c>
      <c r="GK9" s="245"/>
      <c r="GL9" s="245"/>
      <c r="GM9" s="246">
        <f>IF(D9="改修",MIN(500,FS9+FX9+GD9+GJ9,INT(CQ9*10/2)),0)</f>
        <v>0</v>
      </c>
      <c r="GN9" s="246">
        <f>BX9-GM9</f>
        <v>0</v>
      </c>
      <c r="GO9" s="243" t="s">
        <v>388</v>
      </c>
      <c r="GP9" s="244">
        <v>43403</v>
      </c>
      <c r="GQ9" s="244">
        <v>43409</v>
      </c>
      <c r="GR9" s="244">
        <v>43429</v>
      </c>
      <c r="GS9" s="250">
        <f t="shared" si="15"/>
        <v>380</v>
      </c>
      <c r="GT9" s="250" t="e">
        <f t="shared" si="16"/>
        <v>#REF!</v>
      </c>
      <c r="GU9" s="250" t="e">
        <f t="shared" si="36"/>
        <v>#REF!</v>
      </c>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3"/>
      <c r="NI9" s="113"/>
      <c r="NJ9" s="113"/>
      <c r="NK9" s="113"/>
      <c r="NL9" s="113"/>
      <c r="NM9" s="113"/>
      <c r="NN9" s="113"/>
      <c r="NO9" s="113"/>
      <c r="NP9" s="113"/>
      <c r="NQ9" s="113"/>
      <c r="NR9" s="113"/>
      <c r="NS9" s="113"/>
      <c r="NT9" s="113"/>
      <c r="NU9" s="113"/>
      <c r="NV9" s="113"/>
      <c r="NW9" s="113"/>
      <c r="NX9" s="113"/>
      <c r="NY9" s="113"/>
      <c r="NZ9" s="113"/>
      <c r="OA9" s="113"/>
      <c r="OB9" s="113"/>
      <c r="OC9" s="113"/>
      <c r="OD9" s="113"/>
      <c r="OE9" s="113"/>
      <c r="OF9" s="113"/>
      <c r="OG9" s="113"/>
      <c r="OH9" s="113"/>
      <c r="OI9" s="113"/>
      <c r="OJ9" s="113"/>
      <c r="OK9" s="113"/>
      <c r="OL9" s="113"/>
      <c r="OM9" s="113"/>
      <c r="ON9" s="113"/>
      <c r="OO9" s="113"/>
      <c r="OP9" s="113"/>
      <c r="OQ9" s="113"/>
      <c r="OR9" s="113"/>
      <c r="OS9" s="113"/>
      <c r="OT9" s="113"/>
      <c r="OU9" s="113"/>
      <c r="OV9" s="113"/>
      <c r="OW9" s="113"/>
      <c r="OX9" s="113"/>
      <c r="OY9" s="113"/>
      <c r="OZ9" s="113"/>
      <c r="PA9" s="113"/>
      <c r="PB9" s="113"/>
      <c r="PC9" s="113"/>
      <c r="PD9" s="113"/>
      <c r="PE9" s="113"/>
      <c r="PF9" s="113"/>
      <c r="PG9" s="113"/>
      <c r="PH9" s="113"/>
      <c r="PI9" s="113"/>
      <c r="PJ9" s="113"/>
      <c r="PK9" s="113"/>
      <c r="PL9" s="113"/>
      <c r="PM9" s="113"/>
      <c r="PN9" s="113"/>
      <c r="PO9" s="113"/>
      <c r="PP9" s="113"/>
      <c r="PQ9" s="113"/>
      <c r="PR9" s="113"/>
      <c r="PS9" s="113"/>
      <c r="PT9" s="113"/>
      <c r="PU9" s="113"/>
      <c r="PV9" s="113"/>
      <c r="PW9" s="113"/>
      <c r="PX9" s="113"/>
      <c r="PY9" s="113"/>
      <c r="PZ9" s="113"/>
      <c r="QA9" s="113"/>
      <c r="QB9" s="113"/>
      <c r="QC9" s="113"/>
      <c r="QD9" s="113"/>
      <c r="QE9" s="113"/>
      <c r="QF9" s="113"/>
      <c r="QG9" s="113"/>
      <c r="QH9" s="113"/>
      <c r="QI9" s="113"/>
      <c r="QJ9" s="113"/>
      <c r="QK9" s="113"/>
      <c r="QL9" s="113"/>
      <c r="QM9" s="113"/>
      <c r="QN9" s="113"/>
      <c r="QO9" s="113"/>
      <c r="QP9" s="113"/>
      <c r="QQ9" s="113"/>
      <c r="QR9" s="113"/>
      <c r="QS9" s="113"/>
      <c r="QT9" s="113"/>
      <c r="QU9" s="113"/>
      <c r="QV9" s="113"/>
      <c r="QW9" s="113"/>
      <c r="QX9" s="113"/>
      <c r="QY9" s="113"/>
      <c r="QZ9" s="113"/>
      <c r="RA9" s="113"/>
      <c r="RB9" s="113"/>
      <c r="RC9" s="113"/>
      <c r="RD9" s="113"/>
      <c r="RE9" s="113"/>
      <c r="RF9" s="113"/>
      <c r="RG9" s="113"/>
      <c r="RH9" s="113"/>
      <c r="RI9" s="113"/>
      <c r="RJ9" s="113"/>
      <c r="RK9" s="113"/>
      <c r="RL9" s="113"/>
      <c r="RM9" s="113"/>
      <c r="RN9" s="113"/>
      <c r="RO9" s="113"/>
      <c r="RP9" s="113"/>
      <c r="RQ9" s="113"/>
      <c r="RR9" s="113"/>
      <c r="RS9" s="113"/>
      <c r="RT9" s="113"/>
      <c r="RU9" s="113"/>
      <c r="RV9" s="113"/>
      <c r="RW9" s="113"/>
      <c r="RX9" s="113"/>
      <c r="RY9" s="113"/>
      <c r="RZ9" s="113"/>
      <c r="SA9" s="113"/>
      <c r="SB9" s="113"/>
      <c r="SC9" s="113"/>
      <c r="SD9" s="113"/>
      <c r="SE9" s="113"/>
      <c r="SF9" s="113"/>
      <c r="SG9" s="113"/>
      <c r="SH9" s="113"/>
      <c r="SI9" s="113"/>
      <c r="SJ9" s="113"/>
      <c r="SK9" s="113"/>
      <c r="SL9" s="113"/>
      <c r="SM9" s="113"/>
      <c r="SN9" s="113"/>
      <c r="SO9" s="113"/>
      <c r="SP9" s="113"/>
      <c r="SQ9" s="113"/>
      <c r="SR9" s="113"/>
      <c r="SS9" s="113"/>
      <c r="ST9" s="113"/>
      <c r="SU9" s="113"/>
      <c r="SV9" s="113"/>
      <c r="SW9" s="113"/>
      <c r="SX9" s="113"/>
      <c r="SY9" s="113"/>
      <c r="SZ9" s="113"/>
      <c r="TA9" s="113"/>
      <c r="TB9" s="113"/>
      <c r="TC9" s="113"/>
      <c r="TD9" s="113"/>
      <c r="TE9" s="113"/>
      <c r="TF9" s="113"/>
      <c r="TG9" s="113"/>
      <c r="TH9" s="113"/>
      <c r="TI9" s="113"/>
      <c r="TJ9" s="113"/>
      <c r="TK9" s="113"/>
      <c r="TL9" s="113"/>
      <c r="TM9" s="113"/>
      <c r="TN9" s="113"/>
      <c r="TO9" s="113"/>
      <c r="TP9" s="113"/>
      <c r="TQ9" s="113"/>
      <c r="TR9" s="113"/>
      <c r="TS9" s="113"/>
      <c r="TT9" s="113"/>
      <c r="TU9" s="113"/>
      <c r="TV9" s="113"/>
      <c r="TW9" s="113"/>
      <c r="TX9" s="113"/>
      <c r="TY9" s="113"/>
      <c r="TZ9" s="113"/>
      <c r="UA9" s="113"/>
      <c r="UB9" s="113"/>
      <c r="UC9" s="113"/>
      <c r="UD9" s="113"/>
      <c r="UE9" s="113"/>
      <c r="UF9" s="113"/>
      <c r="UG9" s="113"/>
      <c r="UH9" s="113"/>
      <c r="UI9" s="113"/>
      <c r="UJ9" s="113"/>
      <c r="UK9" s="113"/>
      <c r="UL9" s="113"/>
      <c r="UM9" s="113"/>
      <c r="UN9" s="113"/>
      <c r="UO9" s="113"/>
      <c r="UP9" s="113"/>
      <c r="UQ9" s="113"/>
      <c r="UR9" s="113"/>
      <c r="US9" s="113"/>
      <c r="UT9" s="113"/>
      <c r="UU9" s="113"/>
      <c r="UV9" s="113"/>
      <c r="UW9" s="113"/>
      <c r="UX9" s="113"/>
      <c r="UY9" s="113"/>
      <c r="UZ9" s="113"/>
      <c r="VA9" s="113"/>
      <c r="VB9" s="113"/>
      <c r="VC9" s="113"/>
      <c r="VD9" s="113"/>
      <c r="VE9" s="113"/>
      <c r="VF9" s="113"/>
      <c r="VG9" s="113"/>
      <c r="VH9" s="113"/>
      <c r="VI9" s="113"/>
      <c r="VJ9" s="113"/>
      <c r="VK9" s="113"/>
      <c r="VL9" s="113"/>
      <c r="VM9" s="113"/>
      <c r="VN9" s="113"/>
      <c r="VO9" s="113"/>
      <c r="VP9" s="113"/>
      <c r="VQ9" s="113"/>
      <c r="VR9" s="113"/>
      <c r="VS9" s="113"/>
      <c r="VT9" s="113"/>
      <c r="VU9" s="113"/>
      <c r="VV9" s="113"/>
      <c r="VW9" s="113"/>
      <c r="VX9" s="113"/>
      <c r="VY9" s="113"/>
      <c r="VZ9" s="113"/>
      <c r="WA9" s="113"/>
      <c r="WB9" s="113"/>
      <c r="WC9" s="113"/>
      <c r="WD9" s="113"/>
      <c r="WE9" s="113"/>
      <c r="WF9" s="113"/>
      <c r="WG9" s="113"/>
      <c r="WH9" s="113"/>
      <c r="WI9" s="113"/>
      <c r="WJ9" s="113"/>
      <c r="WK9" s="113"/>
      <c r="WL9" s="113"/>
      <c r="WM9" s="113"/>
      <c r="WN9" s="113"/>
      <c r="WO9" s="113"/>
      <c r="WP9" s="113"/>
      <c r="WQ9" s="113"/>
      <c r="WR9" s="113"/>
      <c r="WS9" s="113"/>
      <c r="WT9" s="113"/>
      <c r="WU9" s="113"/>
      <c r="WV9" s="113"/>
      <c r="WW9" s="113"/>
      <c r="WX9" s="113"/>
      <c r="WY9" s="113"/>
      <c r="WZ9" s="113"/>
      <c r="XA9" s="113"/>
      <c r="XB9" s="113"/>
      <c r="XC9" s="113"/>
      <c r="XD9" s="113"/>
      <c r="XE9" s="113"/>
      <c r="XF9" s="113"/>
      <c r="XG9" s="113"/>
      <c r="XH9" s="113"/>
      <c r="XI9" s="113"/>
      <c r="XJ9" s="113"/>
      <c r="XK9" s="113"/>
      <c r="XL9" s="113"/>
      <c r="XM9" s="113"/>
      <c r="XN9" s="113"/>
      <c r="XO9" s="113"/>
      <c r="XP9" s="113"/>
      <c r="XQ9" s="113"/>
      <c r="XR9" s="113"/>
      <c r="XS9" s="113"/>
      <c r="XT9" s="113"/>
      <c r="XU9" s="113"/>
      <c r="XV9" s="113"/>
      <c r="XW9" s="113"/>
      <c r="XX9" s="113"/>
      <c r="XY9" s="113"/>
      <c r="XZ9" s="113"/>
      <c r="YA9" s="113"/>
      <c r="YB9" s="113"/>
      <c r="YC9" s="113"/>
      <c r="YD9" s="113"/>
      <c r="YE9" s="113"/>
      <c r="YF9" s="113"/>
      <c r="YG9" s="113"/>
      <c r="YH9" s="113"/>
      <c r="YI9" s="113"/>
      <c r="YJ9" s="113"/>
      <c r="YK9" s="113"/>
      <c r="YL9" s="113"/>
      <c r="YM9" s="113"/>
      <c r="YN9" s="113"/>
      <c r="YO9" s="113"/>
      <c r="YP9" s="113"/>
      <c r="YQ9" s="113"/>
      <c r="YR9" s="113"/>
      <c r="YS9" s="113"/>
      <c r="YT9" s="113"/>
      <c r="YU9" s="113"/>
      <c r="YV9" s="113"/>
      <c r="YW9" s="113"/>
      <c r="YX9" s="113"/>
      <c r="YY9" s="113"/>
      <c r="YZ9" s="113"/>
      <c r="ZA9" s="113"/>
      <c r="ZB9" s="113"/>
      <c r="ZC9" s="113"/>
      <c r="ZD9" s="113"/>
      <c r="ZE9" s="113"/>
      <c r="ZF9" s="113"/>
      <c r="ZG9" s="113"/>
      <c r="ZH9" s="113"/>
      <c r="ZI9" s="113"/>
      <c r="ZJ9" s="113"/>
      <c r="ZK9" s="113"/>
      <c r="ZL9" s="113"/>
      <c r="ZM9" s="113"/>
      <c r="ZN9" s="113"/>
      <c r="ZO9" s="113"/>
      <c r="ZP9" s="113"/>
      <c r="ZQ9" s="113"/>
      <c r="ZR9" s="113"/>
      <c r="ZS9" s="113"/>
      <c r="ZT9" s="113"/>
      <c r="ZU9" s="113"/>
      <c r="ZV9" s="113"/>
      <c r="ZW9" s="113"/>
      <c r="ZX9" s="113"/>
      <c r="ZY9" s="113"/>
      <c r="ZZ9" s="113"/>
      <c r="AAA9" s="113"/>
      <c r="AAB9" s="113"/>
      <c r="AAC9" s="113"/>
      <c r="AAD9" s="113"/>
      <c r="AAE9" s="113"/>
      <c r="AAF9" s="113"/>
      <c r="AAG9" s="113"/>
      <c r="AAH9" s="113"/>
      <c r="AAI9" s="113"/>
      <c r="AAJ9" s="113"/>
      <c r="AAK9" s="113"/>
      <c r="AAL9" s="113"/>
      <c r="AAM9" s="113"/>
      <c r="AAN9" s="113"/>
      <c r="AAO9" s="113"/>
      <c r="AAP9" s="113"/>
      <c r="AAQ9" s="113"/>
      <c r="AAR9" s="113"/>
      <c r="AAS9" s="113"/>
      <c r="AAT9" s="113"/>
      <c r="AAU9" s="113"/>
      <c r="AAV9" s="113"/>
      <c r="AAW9" s="113"/>
      <c r="AAX9" s="113"/>
      <c r="AAY9" s="113"/>
      <c r="AAZ9" s="113"/>
      <c r="ABA9" s="113"/>
      <c r="ABB9" s="113"/>
      <c r="ABC9" s="113"/>
      <c r="ABD9" s="113"/>
      <c r="ABE9" s="113"/>
      <c r="ABF9" s="113"/>
      <c r="ABG9" s="113"/>
      <c r="ABH9" s="113"/>
      <c r="ABI9" s="113"/>
      <c r="ABJ9" s="113"/>
      <c r="ABK9" s="113"/>
      <c r="ABL9" s="113"/>
      <c r="ABM9" s="113"/>
      <c r="ABN9" s="113"/>
      <c r="ABO9" s="113"/>
      <c r="ABP9" s="113"/>
      <c r="ABQ9" s="113"/>
      <c r="ABR9" s="113"/>
      <c r="ABS9" s="113"/>
      <c r="ABT9" s="113"/>
      <c r="ABU9" s="113"/>
      <c r="ABV9" s="113"/>
      <c r="ABW9" s="113"/>
      <c r="ABX9" s="113"/>
      <c r="ABY9" s="113"/>
      <c r="ABZ9" s="113"/>
      <c r="ACA9" s="113"/>
      <c r="ACB9" s="113"/>
      <c r="ACC9" s="113"/>
      <c r="ACD9" s="113"/>
      <c r="ACE9" s="113"/>
      <c r="ACF9" s="113"/>
      <c r="ACG9" s="113"/>
      <c r="ACH9" s="113"/>
      <c r="ACI9" s="113"/>
      <c r="ACJ9" s="113"/>
      <c r="ACK9" s="113"/>
      <c r="ACL9" s="113"/>
      <c r="ACM9" s="113"/>
      <c r="ACN9" s="113"/>
      <c r="ACO9" s="113"/>
      <c r="ACP9" s="113"/>
      <c r="ACQ9" s="113"/>
      <c r="ACR9" s="113"/>
      <c r="ACS9" s="113"/>
      <c r="ACT9" s="113"/>
      <c r="ACU9" s="113"/>
      <c r="ACV9" s="113"/>
      <c r="ACW9" s="113"/>
      <c r="ACX9" s="113"/>
      <c r="ACY9" s="113"/>
      <c r="ACZ9" s="113"/>
      <c r="ADA9" s="113"/>
      <c r="ADB9" s="113"/>
      <c r="ADC9" s="113"/>
      <c r="ADD9" s="113"/>
      <c r="ADE9" s="113"/>
      <c r="ADF9" s="113"/>
      <c r="ADG9" s="113"/>
      <c r="ADH9" s="113"/>
      <c r="ADI9" s="113"/>
      <c r="ADJ9" s="113"/>
      <c r="ADK9" s="113"/>
      <c r="ADL9" s="113"/>
      <c r="ADM9" s="113"/>
      <c r="ADN9" s="113"/>
      <c r="ADO9" s="113"/>
      <c r="ADP9" s="113"/>
      <c r="ADQ9" s="113"/>
      <c r="ADR9" s="113"/>
      <c r="ADS9" s="113"/>
      <c r="ADT9" s="113"/>
      <c r="ADU9" s="113"/>
      <c r="ADV9" s="113"/>
      <c r="ADW9" s="113"/>
      <c r="ADX9" s="113"/>
      <c r="ADY9" s="113"/>
      <c r="ADZ9" s="113"/>
      <c r="AEA9" s="113"/>
      <c r="AEB9" s="113"/>
      <c r="AEC9" s="113"/>
      <c r="AED9" s="113"/>
      <c r="AEE9" s="113"/>
      <c r="AEF9" s="113"/>
      <c r="AEG9" s="113"/>
      <c r="AEH9" s="113"/>
      <c r="AEI9" s="113"/>
      <c r="AEJ9" s="113"/>
      <c r="AEK9" s="113"/>
      <c r="AEL9" s="113"/>
      <c r="AEM9" s="113"/>
      <c r="AEN9" s="113"/>
      <c r="AEO9" s="113"/>
      <c r="AEP9" s="113"/>
      <c r="AEQ9" s="113"/>
      <c r="AER9" s="113"/>
      <c r="AES9" s="113"/>
      <c r="AET9" s="113"/>
      <c r="AEU9" s="113"/>
      <c r="AEV9" s="113"/>
      <c r="AEW9" s="113"/>
      <c r="AEX9" s="113"/>
      <c r="AEY9" s="113"/>
      <c r="AEZ9" s="113"/>
      <c r="AFA9" s="113"/>
      <c r="AFB9" s="113"/>
      <c r="AFC9" s="113"/>
      <c r="AFD9" s="113"/>
      <c r="AFE9" s="113"/>
      <c r="AFF9" s="113"/>
      <c r="AFG9" s="113"/>
      <c r="AFH9" s="113"/>
      <c r="AFI9" s="113"/>
      <c r="AFJ9" s="113"/>
      <c r="AFK9" s="113"/>
      <c r="AFL9" s="113"/>
      <c r="AFM9" s="113"/>
      <c r="AFN9" s="113"/>
      <c r="AFO9" s="113"/>
      <c r="AFP9" s="113"/>
      <c r="AFQ9" s="113"/>
      <c r="AFR9" s="113"/>
      <c r="AFS9" s="113"/>
      <c r="AFT9" s="113"/>
      <c r="AFU9" s="113"/>
      <c r="AFV9" s="113"/>
      <c r="AFW9" s="113"/>
      <c r="AFX9" s="113"/>
      <c r="AFY9" s="113"/>
      <c r="AFZ9" s="113"/>
      <c r="AGA9" s="113"/>
      <c r="AGB9" s="113"/>
      <c r="AGC9" s="113"/>
      <c r="AGD9" s="113"/>
      <c r="AGE9" s="113"/>
      <c r="AGF9" s="113"/>
      <c r="AGG9" s="113"/>
      <c r="AGH9" s="113"/>
      <c r="AGI9" s="113"/>
      <c r="AGJ9" s="113"/>
      <c r="AGK9" s="113"/>
      <c r="AGL9" s="113"/>
      <c r="AGM9" s="113"/>
      <c r="AGN9" s="113"/>
      <c r="AGO9" s="113"/>
      <c r="AGP9" s="113"/>
      <c r="AGQ9" s="113"/>
      <c r="AGR9" s="113"/>
      <c r="AGS9" s="113"/>
      <c r="AGT9" s="113"/>
      <c r="AGU9" s="113"/>
      <c r="AGV9" s="113"/>
      <c r="AGW9" s="113"/>
    </row>
    <row r="10" spans="1:881" ht="12" customHeight="1" x14ac:dyDescent="0.2">
      <c r="B10" s="253" t="str">
        <f t="shared" si="0"/>
        <v/>
      </c>
      <c r="C10" s="254"/>
      <c r="D10" s="255"/>
      <c r="E10" s="256" t="str">
        <f t="shared" si="17"/>
        <v/>
      </c>
      <c r="F10" s="257"/>
      <c r="G10" s="257"/>
      <c r="H10" s="258"/>
      <c r="I10" s="257"/>
      <c r="J10" s="255"/>
      <c r="K10" s="257"/>
      <c r="L10" s="255"/>
      <c r="M10" s="255"/>
      <c r="N10" s="257"/>
      <c r="O10" s="259"/>
      <c r="P10" s="259"/>
      <c r="Q10" s="259">
        <f t="shared" si="37"/>
        <v>0</v>
      </c>
      <c r="R10" s="259" t="str">
        <f t="shared" si="38"/>
        <v/>
      </c>
      <c r="S10" s="259"/>
      <c r="T10" s="260">
        <f t="shared" si="39"/>
        <v>0</v>
      </c>
      <c r="U10" s="259" t="str">
        <f t="shared" si="40"/>
        <v/>
      </c>
      <c r="V10" s="259"/>
      <c r="W10" s="259"/>
      <c r="X10" s="259"/>
      <c r="Y10" s="259"/>
      <c r="Z10" s="259"/>
      <c r="AA10" s="260">
        <f t="shared" si="41"/>
        <v>0</v>
      </c>
      <c r="AB10" s="259" t="str">
        <f t="shared" si="42"/>
        <v/>
      </c>
      <c r="AC10" s="259"/>
      <c r="AD10" s="259">
        <f t="shared" si="43"/>
        <v>0</v>
      </c>
      <c r="AE10" s="259" t="str">
        <f t="shared" si="44"/>
        <v/>
      </c>
      <c r="AF10" s="259"/>
      <c r="AG10" s="259">
        <f>IF(AND(Q10&gt;0,AF10&gt;=1),MIN(INT(AF10)*2,150),0)</f>
        <v>0</v>
      </c>
      <c r="AH10" s="259">
        <f>IF(OR(AG10&gt;0,AD10&gt;0),MIN(AG10+AD10,150),0)</f>
        <v>0</v>
      </c>
      <c r="AI10" s="259" t="str">
        <f t="shared" si="45"/>
        <v/>
      </c>
      <c r="AJ10" s="259"/>
      <c r="AK10" s="259"/>
      <c r="AL10" s="259">
        <f>IF(AND(Q10&gt;0,AI10=1,),100,0)</f>
        <v>0</v>
      </c>
      <c r="AM10" s="259" t="str">
        <f t="shared" si="46"/>
        <v/>
      </c>
      <c r="AN10" s="259"/>
      <c r="AO10" s="259"/>
      <c r="AP10" s="259">
        <f>IF(AND(Q10&gt;0,AI10=1,AM10=1),100,0)</f>
        <v>0</v>
      </c>
      <c r="AQ10" s="259" t="str">
        <f t="shared" si="47"/>
        <v/>
      </c>
      <c r="AR10" s="259"/>
      <c r="AS10" s="259"/>
      <c r="AT10" s="259"/>
      <c r="AU10" s="259"/>
      <c r="AV10" s="259"/>
      <c r="AW10" s="259"/>
      <c r="AX10" s="259"/>
      <c r="AY10" s="259">
        <f t="shared" si="48"/>
        <v>0</v>
      </c>
      <c r="AZ10" s="259">
        <f t="shared" si="49"/>
        <v>0</v>
      </c>
      <c r="BA10" s="259"/>
      <c r="BB10" s="259"/>
      <c r="BC10" s="259"/>
      <c r="BD10" s="259">
        <f t="shared" si="1"/>
        <v>0</v>
      </c>
      <c r="BE10" s="259"/>
      <c r="BF10" s="261"/>
      <c r="BG10" s="259"/>
      <c r="BH10" s="259">
        <f t="shared" si="50"/>
        <v>0</v>
      </c>
      <c r="BI10" s="259" t="str">
        <f t="shared" si="51"/>
        <v/>
      </c>
      <c r="BJ10" s="259"/>
      <c r="BK10" s="259"/>
      <c r="BL10" s="259" t="e">
        <f>IF(AND(BH10&gt;0,BI10=1,#REF!=""),100,0)</f>
        <v>#REF!</v>
      </c>
      <c r="BM10" s="259" t="str">
        <f t="shared" si="52"/>
        <v/>
      </c>
      <c r="BN10" s="259"/>
      <c r="BO10" s="259"/>
      <c r="BP10" s="259"/>
      <c r="BQ10" s="259">
        <f t="shared" si="53"/>
        <v>0</v>
      </c>
      <c r="BR10" s="259" t="str">
        <f t="shared" si="54"/>
        <v/>
      </c>
      <c r="BS10" s="259"/>
      <c r="BT10" s="259"/>
      <c r="BU10" s="259"/>
      <c r="BV10" s="259">
        <f t="shared" si="55"/>
        <v>0</v>
      </c>
      <c r="BW10" s="259"/>
      <c r="BX10" s="259">
        <f>IF(D10="改修",MIN(500,BH10+BL10+BQ10+BV10,INT(CQ10*10/2)),0)</f>
        <v>0</v>
      </c>
      <c r="BY10" s="274"/>
      <c r="BZ10" s="275"/>
      <c r="CA10" s="275"/>
      <c r="CB10" s="275"/>
      <c r="CC10" s="275"/>
      <c r="CD10" s="276"/>
      <c r="CE10" s="274"/>
      <c r="CF10" s="275"/>
      <c r="CG10" s="275"/>
      <c r="CH10" s="275"/>
      <c r="CI10" s="275"/>
      <c r="CJ10" s="276"/>
      <c r="CK10" s="258"/>
      <c r="CL10" s="262">
        <f t="shared" si="56"/>
        <v>0</v>
      </c>
      <c r="CM10" s="257"/>
      <c r="CN10" s="257"/>
      <c r="CO10" s="255"/>
      <c r="CP10" s="257"/>
      <c r="CQ10" s="263"/>
      <c r="CR10" s="255"/>
      <c r="CS10" s="258"/>
      <c r="CT10" s="257"/>
      <c r="CU10" s="257"/>
      <c r="CV10" s="258"/>
      <c r="CW10" s="258"/>
      <c r="CX10" s="257"/>
      <c r="CY10" s="257"/>
      <c r="CZ10" s="257"/>
      <c r="DA10" s="257"/>
      <c r="DB10" s="257"/>
      <c r="DC10" s="257"/>
      <c r="DD10" s="257"/>
      <c r="DE10" s="257"/>
      <c r="DF10" s="257"/>
      <c r="DG10" s="257"/>
      <c r="DH10" s="257"/>
      <c r="DI10" s="257"/>
      <c r="DJ10" s="257"/>
      <c r="DK10" s="257"/>
      <c r="DL10" s="257"/>
      <c r="DM10" s="264"/>
      <c r="DN10" s="259"/>
      <c r="DO10" s="259"/>
      <c r="DP10" s="259"/>
      <c r="DQ10" s="259">
        <f t="shared" si="2"/>
        <v>0</v>
      </c>
      <c r="DR10" s="259">
        <f t="shared" si="3"/>
        <v>0</v>
      </c>
      <c r="DS10" s="259" t="str">
        <f t="shared" si="18"/>
        <v/>
      </c>
      <c r="DT10" s="259"/>
      <c r="DU10" s="259"/>
      <c r="DV10" s="260">
        <f t="shared" si="19"/>
        <v>0</v>
      </c>
      <c r="DW10" s="259">
        <f t="shared" si="4"/>
        <v>0</v>
      </c>
      <c r="DX10" s="259" t="str">
        <f t="shared" si="20"/>
        <v/>
      </c>
      <c r="DY10" s="259"/>
      <c r="DZ10" s="259"/>
      <c r="EA10" s="260">
        <f t="shared" si="21"/>
        <v>0</v>
      </c>
      <c r="EB10" s="259">
        <f t="shared" si="5"/>
        <v>0</v>
      </c>
      <c r="EC10" s="259" t="str">
        <f t="shared" si="22"/>
        <v/>
      </c>
      <c r="ED10" s="259"/>
      <c r="EE10" s="259">
        <f t="shared" si="6"/>
        <v>0</v>
      </c>
      <c r="EF10" s="259" t="str">
        <f t="shared" si="23"/>
        <v/>
      </c>
      <c r="EG10" s="259"/>
      <c r="EH10" s="259"/>
      <c r="EI10" s="259">
        <f t="shared" si="24"/>
        <v>0</v>
      </c>
      <c r="EJ10" s="259">
        <f t="shared" si="7"/>
        <v>0</v>
      </c>
      <c r="EK10" s="259">
        <f t="shared" si="8"/>
        <v>0</v>
      </c>
      <c r="EL10" s="259" t="str">
        <f t="shared" si="25"/>
        <v/>
      </c>
      <c r="EM10" s="259"/>
      <c r="EN10" s="259"/>
      <c r="EO10" s="259" t="e">
        <f>IF(AND(DQ10&gt;0,EL10=1,#REF!=""),100,0)</f>
        <v>#REF!</v>
      </c>
      <c r="EP10" s="259" t="e">
        <f t="shared" si="9"/>
        <v>#REF!</v>
      </c>
      <c r="EQ10" s="259" t="str">
        <f t="shared" si="26"/>
        <v/>
      </c>
      <c r="ER10" s="259"/>
      <c r="ES10" s="259"/>
      <c r="ET10" s="259">
        <f t="shared" si="10"/>
        <v>0</v>
      </c>
      <c r="EU10" s="259">
        <f t="shared" si="11"/>
        <v>0</v>
      </c>
      <c r="EV10" s="259" t="str">
        <f t="shared" si="27"/>
        <v/>
      </c>
      <c r="EW10" s="259"/>
      <c r="EX10" s="259"/>
      <c r="EY10" s="259"/>
      <c r="EZ10" s="259"/>
      <c r="FA10" s="259"/>
      <c r="FB10" s="259"/>
      <c r="FC10" s="259"/>
      <c r="FD10" s="259">
        <f t="shared" si="28"/>
        <v>0</v>
      </c>
      <c r="FE10" s="259">
        <f t="shared" si="29"/>
        <v>0</v>
      </c>
      <c r="FF10" s="259">
        <f t="shared" si="12"/>
        <v>0</v>
      </c>
      <c r="FG10" s="259"/>
      <c r="FH10" s="259"/>
      <c r="FI10" s="259"/>
      <c r="FJ10" s="259"/>
      <c r="FK10" s="259">
        <f t="shared" si="13"/>
        <v>0</v>
      </c>
      <c r="FL10" s="259">
        <f t="shared" si="14"/>
        <v>0</v>
      </c>
      <c r="FM10" s="259"/>
      <c r="FN10" s="265"/>
      <c r="FO10" s="265"/>
      <c r="FP10" s="259"/>
      <c r="FQ10" s="259"/>
      <c r="FR10" s="259">
        <f t="shared" si="30"/>
        <v>0</v>
      </c>
      <c r="FS10" s="259">
        <f>MIN(BH10,FR10)</f>
        <v>0</v>
      </c>
      <c r="FT10" s="259" t="str">
        <f t="shared" si="31"/>
        <v/>
      </c>
      <c r="FU10" s="259"/>
      <c r="FV10" s="259"/>
      <c r="FW10" s="259" t="e">
        <f>IF(AND(FR10&gt;0,FT10=1,#REF!=""),100,0)</f>
        <v>#REF!</v>
      </c>
      <c r="FX10" s="259" t="e">
        <f>MIN(BL10,FW10)</f>
        <v>#REF!</v>
      </c>
      <c r="FY10" s="259" t="str">
        <f t="shared" si="32"/>
        <v/>
      </c>
      <c r="FZ10" s="259"/>
      <c r="GA10" s="259"/>
      <c r="GB10" s="259"/>
      <c r="GC10" s="259">
        <f t="shared" si="33"/>
        <v>0</v>
      </c>
      <c r="GD10" s="259">
        <f>MIN(BQ10,GC10)</f>
        <v>0</v>
      </c>
      <c r="GE10" s="259" t="str">
        <f t="shared" si="34"/>
        <v/>
      </c>
      <c r="GF10" s="259"/>
      <c r="GG10" s="259"/>
      <c r="GH10" s="259"/>
      <c r="GI10" s="259">
        <f t="shared" si="35"/>
        <v>0</v>
      </c>
      <c r="GJ10" s="259">
        <f>MIN(BV10,GI10)</f>
        <v>0</v>
      </c>
      <c r="GK10" s="259"/>
      <c r="GL10" s="259"/>
      <c r="GM10" s="259">
        <f>IF(D10="改修",MIN(500,FS10+FX10+GD10+GJ10,INT(CQ10*10/2)),0)</f>
        <v>0</v>
      </c>
      <c r="GN10" s="259">
        <f>BX10-GM10</f>
        <v>0</v>
      </c>
      <c r="GO10" s="257"/>
      <c r="GP10" s="258"/>
      <c r="GQ10" s="258"/>
      <c r="GR10" s="258"/>
      <c r="GS10" s="250">
        <f t="shared" si="15"/>
        <v>0</v>
      </c>
      <c r="GT10" s="250">
        <f t="shared" si="16"/>
        <v>0</v>
      </c>
      <c r="GU10" s="250">
        <f t="shared" si="36"/>
        <v>0</v>
      </c>
    </row>
    <row r="11" spans="1:881" s="252" customFormat="1" ht="30" customHeight="1" outlineLevel="1" x14ac:dyDescent="0.2">
      <c r="A11" s="252" t="s">
        <v>426</v>
      </c>
      <c r="B11" s="239" t="str">
        <f t="shared" si="0"/>
        <v/>
      </c>
      <c r="C11" s="266"/>
      <c r="D11" s="273" t="s">
        <v>372</v>
      </c>
      <c r="E11" s="242" t="str">
        <f t="shared" si="17"/>
        <v/>
      </c>
      <c r="F11" s="243"/>
      <c r="G11" s="241"/>
      <c r="H11" s="244"/>
      <c r="I11" s="272" t="str">
        <f>IF('【様式第６号】事業計画書兼チェックシート（新築）'!N12="","",'【様式第６号】事業計画書兼チェックシート（新築）'!N12)</f>
        <v/>
      </c>
      <c r="J11" s="273" t="str">
        <f>IF('【様式第６号】事業計画書兼チェックシート（新築）'!O10="","",'【様式第６号】事業計画書兼チェックシート（新築）'!O10)</f>
        <v/>
      </c>
      <c r="K11" s="272" t="str">
        <f>IF('【様式第６号】事業計画書兼チェックシート（新築）'!N11="","",'【様式第６号】事業計画書兼チェックシート（新築）'!N11)</f>
        <v/>
      </c>
      <c r="L11" s="273" t="str">
        <f>IF('【様式第６号】事業計画書兼チェックシート（新築）'!N13="","",'【様式第６号】事業計画書兼チェックシート（新築）'!N13)</f>
        <v/>
      </c>
      <c r="M11" s="273" t="str">
        <f>IF('【様式第６号】事業計画書兼チェックシート（新築）'!M28="","",'【様式第６号】事業計画書兼チェックシート（新築）'!M28)</f>
        <v/>
      </c>
      <c r="N11" s="272" t="str">
        <f>IF('【様式第６号】事業計画書兼チェックシート（新築）'!I29="","",'【様式第６号】事業計画書兼チェックシート（新築）'!I29)</f>
        <v/>
      </c>
      <c r="O11" s="247" t="str">
        <f>IF('【様式第６号】事業計画書兼チェックシート（新築）'!Q101="","",'【様式第６号】事業計画書兼チェックシート（新築）'!Q101)</f>
        <v/>
      </c>
      <c r="P11" s="247">
        <f>IF('【様式第６号】事業計画書兼チェックシート（新築）'!I31="専用住宅",IF('【様式第６号】事業計画書兼チェックシート（新築）'!Q102="",0,'【様式第６号】事業計画書兼チェックシート（新築）'!Q102),'【様式第６号】事業計画書兼チェックシート（新築）'!U102)</f>
        <v>0</v>
      </c>
      <c r="Q11" s="246">
        <f>IF(P11="",0,IF(P11&gt;=10,150,0))</f>
        <v>0</v>
      </c>
      <c r="R11" s="247" t="str">
        <f>IF(S11="","",IF(S11&gt;=1,1,""))</f>
        <v/>
      </c>
      <c r="S11" s="247">
        <f>IF('【様式第６号】事業計画書兼チェックシート（新築）'!I31="専用住宅",IF('【様式第６号】事業計画書兼チェックシート（新築）'!Q103="",0,'【様式第６号】事業計画書兼チェックシート（新築）'!Q103),'【様式第６号】事業計画書兼チェックシート（新築）'!U103)</f>
        <v>0</v>
      </c>
      <c r="T11" s="248">
        <f t="shared" si="39"/>
        <v>0</v>
      </c>
      <c r="U11" s="247" t="str">
        <f>IF(V11="","",IF(V11&gt;=1,1,""))</f>
        <v/>
      </c>
      <c r="V11" s="247">
        <f>IF('【様式第６号】事業計画書兼チェックシート（新築）'!I31="専用住宅",IF('【様式第６号】事業計画書兼チェックシート（新築）'!Q104="",0,'【様式第６号】事業計画書兼チェックシート（新築）'!Q104),'【様式第６号】事業計画書兼チェックシート（新築）'!U104)</f>
        <v>0</v>
      </c>
      <c r="W11" s="247">
        <f>IF(AND(Q11&gt;0,V11&gt;=1),MIN(INT(V11)*30,300),0)</f>
        <v>0</v>
      </c>
      <c r="X11" s="247" t="str">
        <f>IF(Y11="","",IF(Y11&gt;=1,1,""))</f>
        <v/>
      </c>
      <c r="Y11" s="247">
        <f>IF('【様式第６号】事業計画書兼チェックシート（新築）'!I31="専用住宅",IF('【様式第６号】事業計画書兼チェックシート（新築）'!Q106="",0,'【様式第６号】事業計画書兼チェックシート（新築）'!Q106),'【様式第６号】事業計画書兼チェックシート（新築）'!U106)</f>
        <v>0</v>
      </c>
      <c r="Z11" s="247">
        <f>IF(AND(Q11&gt;0,Y11&gt;=1),MIN(INT(Y11)*20,300),0)</f>
        <v>0</v>
      </c>
      <c r="AA11" s="248">
        <f>IF(AND(Q11&gt;0,V11+Y11&gt;=1),MIN(INT(W11+Z11),300),0)</f>
        <v>0</v>
      </c>
      <c r="AB11" s="247" t="str">
        <f>IF(AC11="","",IF(AC11&gt;=1,1,""))</f>
        <v/>
      </c>
      <c r="AC11" s="247">
        <f>IF('【様式第６号】事業計画書兼チェックシート（新築）'!I31="専用住宅",IF('【様式第６号】事業計画書兼チェックシート（新築）'!Q108="",0,'【様式第６号】事業計画書兼チェックシート（新築）'!Q108),'【様式第６号】事業計画書兼チェックシート（新築）'!U108)</f>
        <v>0</v>
      </c>
      <c r="AD11" s="247">
        <f>IF(AC11="",0,IF(AC11&gt;=1,50,0))</f>
        <v>0</v>
      </c>
      <c r="AE11" s="247" t="str">
        <f>IF(AF11="","",IF(AF11&gt;=1,1,""))</f>
        <v/>
      </c>
      <c r="AF11" s="247">
        <f>IF('【様式第６号】事業計画書兼チェックシート（新築）'!I31="専用住宅",IF('【様式第６号】事業計画書兼チェックシート（新築）'!Q109="",0,'【様式第６号】事業計画書兼チェックシート（新築）'!Q109),'【様式第６号】事業計画書兼チェックシート（新築）'!U109)</f>
        <v>0</v>
      </c>
      <c r="AG11" s="247">
        <f>IF(AND(Q11&gt;0,AF11&gt;=1),MIN(INT(AF11)*3,200),0)</f>
        <v>0</v>
      </c>
      <c r="AH11" s="246">
        <f>IF(OR(AG11&gt;0,AD11&gt;0),MIN(AG11+AD11,200),0)</f>
        <v>0</v>
      </c>
      <c r="AI11" s="286" t="str">
        <f>IF(OR(AJ11=1,AK11=1),1,"")</f>
        <v/>
      </c>
      <c r="AJ11" s="247">
        <f>IF('【様式第６号】事業計画書兼チェックシート（新築）'!Y129="",0,IF('【様式第６号】事業計画書兼チェックシート（新築）'!B131="","",1))</f>
        <v>0</v>
      </c>
      <c r="AK11" s="247">
        <f>IF('【様式第６号】事業計画書兼チェックシート（新築）'!Y129="",0,IF('【様式第６号】事業計画書兼チェックシート（新築）'!P131="","",1))</f>
        <v>0</v>
      </c>
      <c r="AL11" s="287" t="str">
        <f>IFERROR('【様式第６号】事業計画書兼チェックシート（新築）'!Y129*10,"0")</f>
        <v>0</v>
      </c>
      <c r="AM11" s="247" t="str">
        <f>IF(OR(AN11=1,AO11=1),1,"")</f>
        <v/>
      </c>
      <c r="AN11" s="247">
        <f>IF('【様式第６号】事業計画書兼チェックシート（新築）'!Y144="",0,IF('【様式第６号】事業計画書兼チェックシート（新築）'!B154="","",1))</f>
        <v>0</v>
      </c>
      <c r="AO11" s="247">
        <f>IF('【様式第６号】事業計画書兼チェックシート（新築）'!Y144="",0,IF('【様式第６号】事業計画書兼チェックシート（新築）'!B154="",1,""))</f>
        <v>0</v>
      </c>
      <c r="AP11" s="288" t="str">
        <f>IFERROR('【様式第６号】事業計画書兼チェックシート（新築）'!Y144*10,"0")</f>
        <v>0</v>
      </c>
      <c r="AQ11" s="247" t="str">
        <f t="shared" si="47"/>
        <v/>
      </c>
      <c r="AR11" s="247" t="str">
        <f>IF('【様式第６号】事業計画書兼チェックシート（新築）'!F179="","",'【様式第６号】事業計画書兼チェックシート（新築）'!F179)</f>
        <v/>
      </c>
      <c r="AS11" s="247" t="str">
        <f>IF('【様式第６号】事業計画書兼チェックシート（新築）'!F184="","",'【様式第６号】事業計画書兼チェックシート（新築）'!F184)</f>
        <v/>
      </c>
      <c r="AT11" s="247" t="str">
        <f>IF('【様式第６号】事業計画書兼チェックシート（新築）'!F191="","",'【様式第６号】事業計画書兼チェックシート（新築）'!F191)</f>
        <v/>
      </c>
      <c r="AU11" s="247" t="str">
        <f>IF('【様式第６号】事業計画書兼チェックシート（新築）'!F199="","",'【様式第６号】事業計画書兼チェックシート（新築）'!F199)</f>
        <v/>
      </c>
      <c r="AV11" s="247" t="str">
        <f>IF('【様式第６号】事業計画書兼チェックシート（新築）'!F207="","",'【様式第６号】事業計画書兼チェックシート（新築）'!F207)</f>
        <v/>
      </c>
      <c r="AW11" s="247" t="str">
        <f>IF('【様式第６号】事業計画書兼チェックシート（新築）'!F217="","",'【様式第６号】事業計画書兼チェックシート（新築）'!F217)</f>
        <v/>
      </c>
      <c r="AX11" s="247" t="str">
        <f>IF('【様式第６号】事業計画書兼チェックシート（新築）'!F224="","",'【様式第６号】事業計画書兼チェックシート（新築）'!F224)</f>
        <v/>
      </c>
      <c r="AY11" s="247">
        <f t="shared" si="48"/>
        <v>0</v>
      </c>
      <c r="AZ11" s="246">
        <f>IF(AY11&gt;=4,200,0)</f>
        <v>0</v>
      </c>
      <c r="BA11" s="247" t="str">
        <f>IF('【様式第６号】事業計画書兼チェックシート（新築）'!N200="","",'【様式第６号】事業計画書兼チェックシート（新築）'!N200)</f>
        <v>　</v>
      </c>
      <c r="BB11" s="315" t="str">
        <f>IF('【様式第６号】事業計画書兼チェックシート（新築）'!R193="","",'【様式第６号】事業計画書兼チェックシート（新築）'!R193)</f>
        <v>　</v>
      </c>
      <c r="BC11" s="315" t="str">
        <f>IF('【様式第６号】事業計画書兼チェックシート（新築）'!R194="","",'【様式第６号】事業計画書兼チェックシート（新築）'!R194)</f>
        <v>　</v>
      </c>
      <c r="BD11" s="314">
        <f t="shared" si="1"/>
        <v>0</v>
      </c>
      <c r="BE11" s="245"/>
      <c r="BF11" s="249"/>
      <c r="BG11" s="245"/>
      <c r="BH11" s="246"/>
      <c r="BI11" s="247"/>
      <c r="BJ11" s="245"/>
      <c r="BK11" s="245"/>
      <c r="BL11" s="246"/>
      <c r="BM11" s="247"/>
      <c r="BN11" s="245"/>
      <c r="BO11" s="245"/>
      <c r="BP11" s="245"/>
      <c r="BQ11" s="246"/>
      <c r="BR11" s="247"/>
      <c r="BS11" s="245"/>
      <c r="BT11" s="245"/>
      <c r="BU11" s="245"/>
      <c r="BV11" s="246"/>
      <c r="BW11" s="245"/>
      <c r="BX11" s="246"/>
      <c r="BY11" s="279" t="str">
        <f>IF('【様式第６号】事業計画書兼チェックシート（新築）'!N37="","",'【様式第６号】事業計画書兼チェックシート（新築）'!N37)</f>
        <v/>
      </c>
      <c r="BZ11" s="280" t="s">
        <v>8</v>
      </c>
      <c r="CA11" s="280" t="str">
        <f>IF('【様式第６号】事業計画書兼チェックシート（新築）'!S37="","",'【様式第６号】事業計画書兼チェックシート（新築）'!S37)</f>
        <v/>
      </c>
      <c r="CB11" s="280" t="s">
        <v>234</v>
      </c>
      <c r="CC11" s="280" t="str">
        <f>IF('【様式第６号】事業計画書兼チェックシート（新築）'!V37="","",'【様式第６号】事業計画書兼チェックシート（新築）'!V37)</f>
        <v/>
      </c>
      <c r="CD11" s="281" t="s">
        <v>7</v>
      </c>
      <c r="CE11" s="279" t="str">
        <f>IF('【様式第６号】事業計画書兼チェックシート（新築）'!N38="","",'【様式第６号】事業計画書兼チェックシート（新築）'!N38)</f>
        <v/>
      </c>
      <c r="CF11" s="280" t="s">
        <v>8</v>
      </c>
      <c r="CG11" s="280" t="str">
        <f>IF('【様式第６号】事業計画書兼チェックシート（新築）'!S38="","",'【様式第６号】事業計画書兼チェックシート（新築）'!S38)</f>
        <v/>
      </c>
      <c r="CH11" s="280" t="s">
        <v>234</v>
      </c>
      <c r="CI11" s="280" t="str">
        <f>IF('【様式第６号】事業計画書兼チェックシート（新築）'!V38="","",'【様式第６号】事業計画書兼チェックシート（新築）'!V38)</f>
        <v/>
      </c>
      <c r="CJ11" s="281" t="s">
        <v>7</v>
      </c>
      <c r="CK11" s="243"/>
      <c r="CL11" s="250">
        <f>BD11+BX11</f>
        <v>0</v>
      </c>
      <c r="CM11" s="272" t="str">
        <f>IF('【様式第６号】事業計画書兼チェックシート（新築）'!I41="","",'【様式第６号】事業計画書兼チェックシート（新築）'!I41)</f>
        <v/>
      </c>
      <c r="CN11" s="272" t="str">
        <f>IF('【様式第６号】事業計画書兼チェックシート（新築）'!I42="","",'【様式第６号】事業計画書兼チェックシート（新築）'!I42)</f>
        <v/>
      </c>
      <c r="CO11" s="272" t="str">
        <f>IF('【様式第６号】事業計画書兼チェックシート（新築）'!B96="",IF('【様式第６号】事業計画書兼チェックシート（新築）'!I93="","",'【様式第６号】事業計画書兼チェックシート（新築）'!I93),"手刻み")</f>
        <v/>
      </c>
      <c r="CP11" s="272" t="str">
        <f>IF('【様式第６号】事業計画書兼チェックシート（新築）'!I32="","",'【様式第６号】事業計画書兼チェックシート（新築）'!I32)</f>
        <v/>
      </c>
      <c r="CQ11" s="272" t="str">
        <f>IF('【様式第６号】事業計画書兼チェックシート（新築）'!S31="","",'【様式第６号】事業計画書兼チェックシート（新築）'!S31)</f>
        <v/>
      </c>
      <c r="CR11" s="272" t="str">
        <f>IF('【様式第６号】事業計画書兼チェックシート（新築）'!I46="","",'【様式第６号】事業計画書兼チェックシート（新築）'!I46)</f>
        <v/>
      </c>
      <c r="CS11" s="243"/>
      <c r="CT11" s="243"/>
      <c r="CU11" s="243"/>
      <c r="CV11" s="244"/>
      <c r="CW11" s="244"/>
      <c r="CX11" s="243"/>
      <c r="CY11" s="243"/>
      <c r="CZ11" s="272" t="str">
        <f>IF('【様式第６号】事業計画書兼チェックシート（新築）'!B68="","","○")</f>
        <v/>
      </c>
      <c r="DA11" s="272" t="str">
        <f>IF('【様式第６号】事業計画書兼チェックシート（新築）'!B70="","","○")</f>
        <v/>
      </c>
      <c r="DB11" s="272" t="str">
        <f>IF('【様式第６号】事業計画書兼チェックシート（新築）'!B72="","","○")</f>
        <v/>
      </c>
      <c r="DC11" s="272" t="str">
        <f>IF('【様式第６号】事業計画書兼チェックシート（新築）'!D79="","",'【様式第６号】事業計画書兼チェックシート（新築）'!D79)</f>
        <v/>
      </c>
      <c r="DD11" s="272" t="str">
        <f>IF('【様式第６号】事業計画書兼チェックシート（新築）'!P79="","",'【様式第６号】事業計画書兼チェックシート（新築）'!P79)</f>
        <v/>
      </c>
      <c r="DE11" s="272" t="str">
        <f>IF('【様式第６号】事業計画書兼チェックシート（新築）'!D80="","",'【様式第６号】事業計画書兼チェックシート（新築）'!D80)</f>
        <v/>
      </c>
      <c r="DF11" s="272" t="str">
        <f>IF('【様式第６号】事業計画書兼チェックシート（新築）'!P80="","",'【様式第６号】事業計画書兼チェックシート（新築）'!P80)</f>
        <v/>
      </c>
      <c r="DG11" s="272" t="str">
        <f>IF('【様式第６号】事業計画書兼チェックシート（新築）'!D81="","",'【様式第６号】事業計画書兼チェックシート（新築）'!D81)</f>
        <v/>
      </c>
      <c r="DH11" s="272" t="str">
        <f>IF('【様式第６号】事業計画書兼チェックシート（新築）'!P81="","",'【様式第６号】事業計画書兼チェックシート（新築）'!P81)</f>
        <v/>
      </c>
      <c r="DI11" s="272" t="str">
        <f>IF('【様式第６号】事業計画書兼チェックシート（新築）'!D82="","",'【様式第６号】事業計画書兼チェックシート（新築）'!D82)</f>
        <v/>
      </c>
      <c r="DJ11" s="272" t="str">
        <f>IF('【様式第６号】事業計画書兼チェックシート（新築）'!P82="","",'【様式第６号】事業計画書兼チェックシート（新築）'!P82)</f>
        <v/>
      </c>
      <c r="DK11" s="272" t="str">
        <f>IF('【様式第６号】事業計画書兼チェックシート（新築）'!D83="","",'【様式第６号】事業計画書兼チェックシート（新築）'!D83)</f>
        <v/>
      </c>
      <c r="DL11" s="272" t="str">
        <f>IF('【様式第６号】事業計画書兼チェックシート（新築）'!P83="","",'【様式第６号】事業計画書兼チェックシート（新築）'!P83)</f>
        <v/>
      </c>
      <c r="DM11"/>
      <c r="DN11" s="247" t="e">
        <f>IF(#REF!="","",#REF!)</f>
        <v>#REF!</v>
      </c>
      <c r="DO11" s="247" t="e">
        <f>IF(#REF!="",0,#REF!)</f>
        <v>#REF!</v>
      </c>
      <c r="DP11" s="245"/>
      <c r="DQ11" s="246" t="e">
        <f>IF(DO11&gt;=10,150,0)</f>
        <v>#REF!</v>
      </c>
      <c r="DR11" s="246" t="e">
        <f t="shared" si="3"/>
        <v>#REF!</v>
      </c>
      <c r="DS11" s="247" t="e">
        <f>IF(DT11="","",IF(DT11&gt;=1,1,""))</f>
        <v>#REF!</v>
      </c>
      <c r="DT11" s="247" t="e">
        <f>IF(#REF!="",0,#REF!)</f>
        <v>#REF!</v>
      </c>
      <c r="DU11" s="245"/>
      <c r="DV11" s="248" t="e">
        <f>IF(DQ11=0,0,IF(DT11&gt;=25,MIN(250,ROUNDDOWN(DT11*10,-1)),IF(DT11&gt;=20,MIN(200,ROUNDDOWN(DT11*10,-1)),IF(DT11&gt;=15,MIN(150,ROUNDDOWN(DT11*10,-1)),MIN(100,ROUNDDOWN(DT11*10,-1))))))</f>
        <v>#REF!</v>
      </c>
      <c r="DW11" s="246" t="e">
        <f t="shared" si="4"/>
        <v>#REF!</v>
      </c>
      <c r="DX11" s="247" t="e">
        <f>IF(DY11="","",IF(DY11&gt;=1,1,""))</f>
        <v>#REF!</v>
      </c>
      <c r="DY11" s="247" t="e">
        <f>IF(#REF!="",0,#REF!)</f>
        <v>#REF!</v>
      </c>
      <c r="DZ11" s="245"/>
      <c r="EA11" s="248" t="e">
        <f>IF(AND(DQ11&gt;0,DY11&gt;=1),MIN(INT(DY11)*20,200),0)</f>
        <v>#REF!</v>
      </c>
      <c r="EB11" s="246" t="e">
        <f t="shared" si="5"/>
        <v>#REF!</v>
      </c>
      <c r="EC11" s="247" t="e">
        <f t="shared" si="22"/>
        <v>#REF!</v>
      </c>
      <c r="ED11" s="247" t="e">
        <f>IF(#REF!="",0,#REF!)</f>
        <v>#REF!</v>
      </c>
      <c r="EE11" s="247" t="e">
        <f t="shared" si="6"/>
        <v>#REF!</v>
      </c>
      <c r="EF11" s="247" t="e">
        <f>IF(EG11="","",IF(EG11&gt;=1,1,""))</f>
        <v>#REF!</v>
      </c>
      <c r="EG11" s="247" t="e">
        <f>IF(#REF!="",0,#REF!)</f>
        <v>#REF!</v>
      </c>
      <c r="EH11" s="245"/>
      <c r="EI11" s="247" t="e">
        <f t="shared" si="24"/>
        <v>#REF!</v>
      </c>
      <c r="EJ11" s="246" t="e">
        <f t="shared" si="7"/>
        <v>#REF!</v>
      </c>
      <c r="EK11" s="246" t="e">
        <f t="shared" si="8"/>
        <v>#REF!</v>
      </c>
      <c r="EL11" s="247" t="e">
        <f t="shared" si="25"/>
        <v>#REF!</v>
      </c>
      <c r="EM11" s="247" t="e">
        <f>IF(#REF!="",IF(#REF!="","",1),0)</f>
        <v>#REF!</v>
      </c>
      <c r="EN11" s="247" t="e">
        <f>IF(#REF!="",IF(#REF!="","",1),0)</f>
        <v>#REF!</v>
      </c>
      <c r="EO11" s="246" t="e">
        <f>IF(AND(DQ11&gt;0,EL11=1,#REF!=""),100,0)</f>
        <v>#REF!</v>
      </c>
      <c r="EP11" s="246" t="e">
        <f t="shared" si="9"/>
        <v>#REF!</v>
      </c>
      <c r="EQ11" s="247" t="e">
        <f t="shared" si="26"/>
        <v>#REF!</v>
      </c>
      <c r="ER11" s="247" t="e">
        <f>IF(#REF!="","",IF(#REF!="","",1))</f>
        <v>#REF!</v>
      </c>
      <c r="ES11" s="247" t="e">
        <f>IF(#REF!="","",IF(#REF!="",1,""))</f>
        <v>#REF!</v>
      </c>
      <c r="ET11" s="246" t="e">
        <f t="shared" si="10"/>
        <v>#REF!</v>
      </c>
      <c r="EU11" s="246" t="e">
        <f t="shared" si="11"/>
        <v>#REF!</v>
      </c>
      <c r="EV11" s="247" t="e">
        <f t="shared" si="27"/>
        <v>#REF!</v>
      </c>
      <c r="EW11" s="247" t="e">
        <f>IF(#REF!="","",#REF!)</f>
        <v>#REF!</v>
      </c>
      <c r="EX11" s="247" t="e">
        <f>IF(#REF!="","",#REF!)</f>
        <v>#REF!</v>
      </c>
      <c r="EY11" s="247" t="e">
        <f>IF(#REF!="","",#REF!)</f>
        <v>#REF!</v>
      </c>
      <c r="EZ11" s="247" t="e">
        <f>IF(#REF!="","",#REF!)</f>
        <v>#REF!</v>
      </c>
      <c r="FA11" s="247" t="e">
        <f>IF(#REF!="","",#REF!)</f>
        <v>#REF!</v>
      </c>
      <c r="FB11" s="247" t="e">
        <f>IF(#REF!="","",#REF!)</f>
        <v>#REF!</v>
      </c>
      <c r="FC11" s="247" t="e">
        <f>IF(#REF!="","",#REF!)</f>
        <v>#REF!</v>
      </c>
      <c r="FD11" s="247" t="e">
        <f t="shared" si="28"/>
        <v>#REF!</v>
      </c>
      <c r="FE11" s="246" t="e">
        <f t="shared" si="29"/>
        <v>#REF!</v>
      </c>
      <c r="FF11" s="246" t="e">
        <f t="shared" si="12"/>
        <v>#REF!</v>
      </c>
      <c r="FG11" s="245"/>
      <c r="FH11" s="245"/>
      <c r="FI11" s="245"/>
      <c r="FJ11" s="245"/>
      <c r="FK11" s="246" t="e">
        <f t="shared" si="13"/>
        <v>#REF!</v>
      </c>
      <c r="FL11" s="246" t="e">
        <f t="shared" si="14"/>
        <v>#REF!</v>
      </c>
      <c r="FM11" s="245"/>
      <c r="FN11" s="251"/>
      <c r="FO11" s="251"/>
      <c r="FP11" s="245"/>
      <c r="FQ11" s="245"/>
      <c r="FR11" s="246"/>
      <c r="FS11" s="246"/>
      <c r="FT11" s="247"/>
      <c r="FU11" s="245"/>
      <c r="FV11" s="245"/>
      <c r="FW11" s="246"/>
      <c r="FX11" s="246"/>
      <c r="FY11" s="247"/>
      <c r="FZ11" s="245"/>
      <c r="GA11" s="245"/>
      <c r="GB11" s="245"/>
      <c r="GC11" s="246"/>
      <c r="GD11" s="246"/>
      <c r="GE11" s="247"/>
      <c r="GF11" s="245"/>
      <c r="GG11" s="245"/>
      <c r="GH11" s="245"/>
      <c r="GI11" s="246"/>
      <c r="GJ11" s="246"/>
      <c r="GK11" s="245"/>
      <c r="GL11" s="245"/>
      <c r="GM11" s="246"/>
      <c r="GN11" s="246"/>
      <c r="GO11" s="243"/>
      <c r="GP11" s="244"/>
      <c r="GQ11" s="244"/>
      <c r="GR11" s="244"/>
      <c r="GS11" s="250">
        <f t="shared" si="15"/>
        <v>0</v>
      </c>
      <c r="GT11" s="250" t="e">
        <f t="shared" si="16"/>
        <v>#REF!</v>
      </c>
      <c r="GU11" s="250" t="e">
        <f t="shared" si="36"/>
        <v>#REF!</v>
      </c>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3"/>
      <c r="JW11" s="113"/>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3"/>
      <c r="LP11" s="113"/>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3"/>
      <c r="NI11" s="113"/>
      <c r="NJ11" s="113"/>
      <c r="NK11" s="113"/>
      <c r="NL11" s="113"/>
      <c r="NM11" s="113"/>
      <c r="NN11" s="113"/>
      <c r="NO11" s="113"/>
      <c r="NP11" s="113"/>
      <c r="NQ11" s="113"/>
      <c r="NR11" s="113"/>
      <c r="NS11" s="113"/>
      <c r="NT11" s="113"/>
      <c r="NU11" s="113"/>
      <c r="NV11" s="113"/>
      <c r="NW11" s="113"/>
      <c r="NX11" s="113"/>
      <c r="NY11" s="113"/>
      <c r="NZ11" s="113"/>
      <c r="OA11" s="113"/>
      <c r="OB11" s="113"/>
      <c r="OC11" s="113"/>
      <c r="OD11" s="113"/>
      <c r="OE11" s="113"/>
      <c r="OF11" s="113"/>
      <c r="OG11" s="113"/>
      <c r="OH11" s="113"/>
      <c r="OI11" s="113"/>
      <c r="OJ11" s="113"/>
      <c r="OK11" s="113"/>
      <c r="OL11" s="113"/>
      <c r="OM11" s="113"/>
      <c r="ON11" s="113"/>
      <c r="OO11" s="113"/>
      <c r="OP11" s="113"/>
      <c r="OQ11" s="113"/>
      <c r="OR11" s="113"/>
      <c r="OS11" s="113"/>
      <c r="OT11" s="113"/>
      <c r="OU11" s="113"/>
      <c r="OV11" s="113"/>
      <c r="OW11" s="113"/>
      <c r="OX11" s="113"/>
      <c r="OY11" s="113"/>
      <c r="OZ11" s="113"/>
      <c r="PA11" s="113"/>
      <c r="PB11" s="113"/>
      <c r="PC11" s="113"/>
      <c r="PD11" s="113"/>
      <c r="PE11" s="113"/>
      <c r="PF11" s="113"/>
      <c r="PG11" s="113"/>
      <c r="PH11" s="113"/>
      <c r="PI11" s="113"/>
      <c r="PJ11" s="113"/>
      <c r="PK11" s="113"/>
      <c r="PL11" s="113"/>
      <c r="PM11" s="113"/>
      <c r="PN11" s="113"/>
      <c r="PO11" s="113"/>
      <c r="PP11" s="113"/>
      <c r="PQ11" s="113"/>
      <c r="PR11" s="113"/>
      <c r="PS11" s="113"/>
      <c r="PT11" s="113"/>
      <c r="PU11" s="113"/>
      <c r="PV11" s="113"/>
      <c r="PW11" s="113"/>
      <c r="PX11" s="113"/>
      <c r="PY11" s="113"/>
      <c r="PZ11" s="113"/>
      <c r="QA11" s="113"/>
      <c r="QB11" s="113"/>
      <c r="QC11" s="113"/>
      <c r="QD11" s="113"/>
      <c r="QE11" s="113"/>
      <c r="QF11" s="113"/>
      <c r="QG11" s="113"/>
      <c r="QH11" s="113"/>
      <c r="QI11" s="113"/>
      <c r="QJ11" s="113"/>
      <c r="QK11" s="113"/>
      <c r="QL11" s="113"/>
      <c r="QM11" s="113"/>
      <c r="QN11" s="113"/>
      <c r="QO11" s="113"/>
      <c r="QP11" s="113"/>
      <c r="QQ11" s="113"/>
      <c r="QR11" s="113"/>
      <c r="QS11" s="113"/>
      <c r="QT11" s="113"/>
      <c r="QU11" s="113"/>
      <c r="QV11" s="113"/>
      <c r="QW11" s="113"/>
      <c r="QX11" s="113"/>
      <c r="QY11" s="113"/>
      <c r="QZ11" s="113"/>
      <c r="RA11" s="113"/>
      <c r="RB11" s="113"/>
      <c r="RC11" s="113"/>
      <c r="RD11" s="113"/>
      <c r="RE11" s="113"/>
      <c r="RF11" s="113"/>
      <c r="RG11" s="113"/>
      <c r="RH11" s="113"/>
      <c r="RI11" s="113"/>
      <c r="RJ11" s="113"/>
      <c r="RK11" s="113"/>
      <c r="RL11" s="113"/>
      <c r="RM11" s="113"/>
      <c r="RN11" s="113"/>
      <c r="RO11" s="113"/>
      <c r="RP11" s="113"/>
      <c r="RQ11" s="113"/>
      <c r="RR11" s="113"/>
      <c r="RS11" s="113"/>
      <c r="RT11" s="113"/>
      <c r="RU11" s="113"/>
      <c r="RV11" s="113"/>
      <c r="RW11" s="113"/>
      <c r="RX11" s="113"/>
      <c r="RY11" s="113"/>
      <c r="RZ11" s="113"/>
      <c r="SA11" s="113"/>
      <c r="SB11" s="113"/>
      <c r="SC11" s="113"/>
      <c r="SD11" s="113"/>
      <c r="SE11" s="113"/>
      <c r="SF11" s="113"/>
      <c r="SG11" s="113"/>
      <c r="SH11" s="113"/>
      <c r="SI11" s="113"/>
      <c r="SJ11" s="113"/>
      <c r="SK11" s="113"/>
      <c r="SL11" s="113"/>
      <c r="SM11" s="113"/>
      <c r="SN11" s="113"/>
      <c r="SO11" s="113"/>
      <c r="SP11" s="113"/>
      <c r="SQ11" s="113"/>
      <c r="SR11" s="113"/>
      <c r="SS11" s="113"/>
      <c r="ST11" s="113"/>
      <c r="SU11" s="113"/>
      <c r="SV11" s="113"/>
      <c r="SW11" s="113"/>
      <c r="SX11" s="113"/>
      <c r="SY11" s="113"/>
      <c r="SZ11" s="113"/>
      <c r="TA11" s="113"/>
      <c r="TB11" s="113"/>
      <c r="TC11" s="113"/>
      <c r="TD11" s="113"/>
      <c r="TE11" s="113"/>
      <c r="TF11" s="113"/>
      <c r="TG11" s="113"/>
      <c r="TH11" s="113"/>
      <c r="TI11" s="113"/>
      <c r="TJ11" s="113"/>
      <c r="TK11" s="113"/>
      <c r="TL11" s="113"/>
      <c r="TM11" s="113"/>
      <c r="TN11" s="113"/>
      <c r="TO11" s="113"/>
      <c r="TP11" s="113"/>
      <c r="TQ11" s="113"/>
      <c r="TR11" s="113"/>
      <c r="TS11" s="113"/>
      <c r="TT11" s="113"/>
      <c r="TU11" s="113"/>
      <c r="TV11" s="113"/>
      <c r="TW11" s="113"/>
      <c r="TX11" s="113"/>
      <c r="TY11" s="113"/>
      <c r="TZ11" s="113"/>
      <c r="UA11" s="113"/>
      <c r="UB11" s="113"/>
      <c r="UC11" s="113"/>
      <c r="UD11" s="113"/>
      <c r="UE11" s="113"/>
      <c r="UF11" s="113"/>
      <c r="UG11" s="113"/>
      <c r="UH11" s="113"/>
      <c r="UI11" s="113"/>
      <c r="UJ11" s="113"/>
      <c r="UK11" s="113"/>
      <c r="UL11" s="113"/>
      <c r="UM11" s="113"/>
      <c r="UN11" s="113"/>
      <c r="UO11" s="113"/>
      <c r="UP11" s="113"/>
      <c r="UQ11" s="113"/>
      <c r="UR11" s="113"/>
      <c r="US11" s="113"/>
      <c r="UT11" s="113"/>
      <c r="UU11" s="113"/>
      <c r="UV11" s="113"/>
      <c r="UW11" s="113"/>
      <c r="UX11" s="113"/>
      <c r="UY11" s="113"/>
      <c r="UZ11" s="113"/>
      <c r="VA11" s="113"/>
      <c r="VB11" s="113"/>
      <c r="VC11" s="113"/>
      <c r="VD11" s="113"/>
      <c r="VE11" s="113"/>
      <c r="VF11" s="113"/>
      <c r="VG11" s="113"/>
      <c r="VH11" s="113"/>
      <c r="VI11" s="113"/>
      <c r="VJ11" s="113"/>
      <c r="VK11" s="113"/>
      <c r="VL11" s="113"/>
      <c r="VM11" s="113"/>
      <c r="VN11" s="113"/>
      <c r="VO11" s="113"/>
      <c r="VP11" s="113"/>
      <c r="VQ11" s="113"/>
      <c r="VR11" s="113"/>
      <c r="VS11" s="113"/>
      <c r="VT11" s="113"/>
      <c r="VU11" s="113"/>
      <c r="VV11" s="113"/>
      <c r="VW11" s="113"/>
      <c r="VX11" s="113"/>
      <c r="VY11" s="113"/>
      <c r="VZ11" s="113"/>
      <c r="WA11" s="113"/>
      <c r="WB11" s="113"/>
      <c r="WC11" s="113"/>
      <c r="WD11" s="113"/>
      <c r="WE11" s="113"/>
      <c r="WF11" s="113"/>
      <c r="WG11" s="113"/>
      <c r="WH11" s="113"/>
      <c r="WI11" s="113"/>
      <c r="WJ11" s="113"/>
      <c r="WK11" s="113"/>
      <c r="WL11" s="113"/>
      <c r="WM11" s="113"/>
      <c r="WN11" s="113"/>
      <c r="WO11" s="113"/>
      <c r="WP11" s="113"/>
      <c r="WQ11" s="113"/>
      <c r="WR11" s="113"/>
      <c r="WS11" s="113"/>
      <c r="WT11" s="113"/>
      <c r="WU11" s="113"/>
      <c r="WV11" s="113"/>
      <c r="WW11" s="113"/>
      <c r="WX11" s="113"/>
      <c r="WY11" s="113"/>
      <c r="WZ11" s="113"/>
      <c r="XA11" s="113"/>
      <c r="XB11" s="113"/>
      <c r="XC11" s="113"/>
      <c r="XD11" s="113"/>
      <c r="XE11" s="113"/>
      <c r="XF11" s="113"/>
      <c r="XG11" s="113"/>
      <c r="XH11" s="113"/>
      <c r="XI11" s="113"/>
      <c r="XJ11" s="113"/>
      <c r="XK11" s="113"/>
      <c r="XL11" s="113"/>
      <c r="XM11" s="113"/>
      <c r="XN11" s="113"/>
      <c r="XO11" s="113"/>
      <c r="XP11" s="113"/>
      <c r="XQ11" s="113"/>
      <c r="XR11" s="113"/>
      <c r="XS11" s="113"/>
      <c r="XT11" s="113"/>
      <c r="XU11" s="113"/>
      <c r="XV11" s="113"/>
      <c r="XW11" s="113"/>
      <c r="XX11" s="113"/>
      <c r="XY11" s="113"/>
      <c r="XZ11" s="113"/>
      <c r="YA11" s="113"/>
      <c r="YB11" s="113"/>
      <c r="YC11" s="113"/>
      <c r="YD11" s="113"/>
      <c r="YE11" s="113"/>
      <c r="YF11" s="113"/>
      <c r="YG11" s="113"/>
      <c r="YH11" s="113"/>
      <c r="YI11" s="113"/>
      <c r="YJ11" s="113"/>
      <c r="YK11" s="113"/>
      <c r="YL11" s="113"/>
      <c r="YM11" s="113"/>
      <c r="YN11" s="113"/>
      <c r="YO11" s="113"/>
      <c r="YP11" s="113"/>
      <c r="YQ11" s="113"/>
      <c r="YR11" s="113"/>
      <c r="YS11" s="113"/>
      <c r="YT11" s="113"/>
      <c r="YU11" s="113"/>
      <c r="YV11" s="113"/>
      <c r="YW11" s="113"/>
      <c r="YX11" s="113"/>
      <c r="YY11" s="113"/>
      <c r="YZ11" s="113"/>
      <c r="ZA11" s="113"/>
      <c r="ZB11" s="113"/>
      <c r="ZC11" s="113"/>
      <c r="ZD11" s="113"/>
      <c r="ZE11" s="113"/>
      <c r="ZF11" s="113"/>
      <c r="ZG11" s="113"/>
      <c r="ZH11" s="113"/>
      <c r="ZI11" s="113"/>
      <c r="ZJ11" s="113"/>
      <c r="ZK11" s="113"/>
      <c r="ZL11" s="113"/>
      <c r="ZM11" s="113"/>
      <c r="ZN11" s="113"/>
      <c r="ZO11" s="113"/>
      <c r="ZP11" s="113"/>
      <c r="ZQ11" s="113"/>
      <c r="ZR11" s="113"/>
      <c r="ZS11" s="113"/>
      <c r="ZT11" s="113"/>
      <c r="ZU11" s="113"/>
      <c r="ZV11" s="113"/>
      <c r="ZW11" s="113"/>
      <c r="ZX11" s="113"/>
      <c r="ZY11" s="113"/>
      <c r="ZZ11" s="113"/>
      <c r="AAA11" s="113"/>
      <c r="AAB11" s="113"/>
      <c r="AAC11" s="113"/>
      <c r="AAD11" s="113"/>
      <c r="AAE11" s="113"/>
      <c r="AAF11" s="113"/>
      <c r="AAG11" s="113"/>
      <c r="AAH11" s="113"/>
      <c r="AAI11" s="113"/>
      <c r="AAJ11" s="113"/>
      <c r="AAK11" s="113"/>
      <c r="AAL11" s="113"/>
      <c r="AAM11" s="113"/>
      <c r="AAN11" s="113"/>
      <c r="AAO11" s="113"/>
      <c r="AAP11" s="113"/>
      <c r="AAQ11" s="113"/>
      <c r="AAR11" s="113"/>
      <c r="AAS11" s="113"/>
      <c r="AAT11" s="113"/>
      <c r="AAU11" s="113"/>
      <c r="AAV11" s="113"/>
      <c r="AAW11" s="113"/>
      <c r="AAX11" s="113"/>
      <c r="AAY11" s="113"/>
      <c r="AAZ11" s="113"/>
      <c r="ABA11" s="113"/>
      <c r="ABB11" s="113"/>
      <c r="ABC11" s="113"/>
      <c r="ABD11" s="113"/>
      <c r="ABE11" s="113"/>
      <c r="ABF11" s="113"/>
      <c r="ABG11" s="113"/>
      <c r="ABH11" s="113"/>
      <c r="ABI11" s="113"/>
      <c r="ABJ11" s="113"/>
      <c r="ABK11" s="113"/>
      <c r="ABL11" s="113"/>
      <c r="ABM11" s="113"/>
      <c r="ABN11" s="113"/>
      <c r="ABO11" s="113"/>
      <c r="ABP11" s="113"/>
      <c r="ABQ11" s="113"/>
      <c r="ABR11" s="113"/>
      <c r="ABS11" s="113"/>
      <c r="ABT11" s="113"/>
      <c r="ABU11" s="113"/>
      <c r="ABV11" s="113"/>
      <c r="ABW11" s="113"/>
      <c r="ABX11" s="113"/>
      <c r="ABY11" s="113"/>
      <c r="ABZ11" s="113"/>
      <c r="ACA11" s="113"/>
      <c r="ACB11" s="113"/>
      <c r="ACC11" s="113"/>
      <c r="ACD11" s="113"/>
      <c r="ACE11" s="113"/>
      <c r="ACF11" s="113"/>
      <c r="ACG11" s="113"/>
      <c r="ACH11" s="113"/>
      <c r="ACI11" s="113"/>
      <c r="ACJ11" s="113"/>
      <c r="ACK11" s="113"/>
      <c r="ACL11" s="113"/>
      <c r="ACM11" s="113"/>
      <c r="ACN11" s="113"/>
      <c r="ACO11" s="113"/>
      <c r="ACP11" s="113"/>
      <c r="ACQ11" s="113"/>
      <c r="ACR11" s="113"/>
      <c r="ACS11" s="113"/>
      <c r="ACT11" s="113"/>
      <c r="ACU11" s="113"/>
      <c r="ACV11" s="113"/>
      <c r="ACW11" s="113"/>
      <c r="ACX11" s="113"/>
      <c r="ACY11" s="113"/>
      <c r="ACZ11" s="113"/>
      <c r="ADA11" s="113"/>
      <c r="ADB11" s="113"/>
      <c r="ADC11" s="113"/>
      <c r="ADD11" s="113"/>
      <c r="ADE11" s="113"/>
      <c r="ADF11" s="113"/>
      <c r="ADG11" s="113"/>
      <c r="ADH11" s="113"/>
      <c r="ADI11" s="113"/>
      <c r="ADJ11" s="113"/>
      <c r="ADK11" s="113"/>
      <c r="ADL11" s="113"/>
      <c r="ADM11" s="113"/>
      <c r="ADN11" s="113"/>
      <c r="ADO11" s="113"/>
      <c r="ADP11" s="113"/>
      <c r="ADQ11" s="113"/>
      <c r="ADR11" s="113"/>
      <c r="ADS11" s="113"/>
      <c r="ADT11" s="113"/>
      <c r="ADU11" s="113"/>
      <c r="ADV11" s="113"/>
      <c r="ADW11" s="113"/>
      <c r="ADX11" s="113"/>
      <c r="ADY11" s="113"/>
      <c r="ADZ11" s="113"/>
      <c r="AEA11" s="113"/>
      <c r="AEB11" s="113"/>
      <c r="AEC11" s="113"/>
      <c r="AED11" s="113"/>
      <c r="AEE11" s="113"/>
      <c r="AEF11" s="113"/>
      <c r="AEG11" s="113"/>
      <c r="AEH11" s="113"/>
      <c r="AEI11" s="113"/>
      <c r="AEJ11" s="113"/>
      <c r="AEK11" s="113"/>
      <c r="AEL11" s="113"/>
      <c r="AEM11" s="113"/>
      <c r="AEN11" s="113"/>
      <c r="AEO11" s="113"/>
      <c r="AEP11" s="113"/>
      <c r="AEQ11" s="113"/>
      <c r="AER11" s="113"/>
      <c r="AES11" s="113"/>
      <c r="AET11" s="113"/>
      <c r="AEU11" s="113"/>
      <c r="AEV11" s="113"/>
      <c r="AEW11" s="113"/>
      <c r="AEX11" s="113"/>
      <c r="AEY11" s="113"/>
      <c r="AEZ11" s="113"/>
      <c r="AFA11" s="113"/>
      <c r="AFB11" s="113"/>
      <c r="AFC11" s="113"/>
      <c r="AFD11" s="113"/>
      <c r="AFE11" s="113"/>
      <c r="AFF11" s="113"/>
      <c r="AFG11" s="113"/>
      <c r="AFH11" s="113"/>
      <c r="AFI11" s="113"/>
      <c r="AFJ11" s="113"/>
      <c r="AFK11" s="113"/>
      <c r="AFL11" s="113"/>
      <c r="AFM11" s="113"/>
      <c r="AFN11" s="113"/>
      <c r="AFO11" s="113"/>
      <c r="AFP11" s="113"/>
      <c r="AFQ11" s="113"/>
      <c r="AFR11" s="113"/>
      <c r="AFS11" s="113"/>
      <c r="AFT11" s="113"/>
      <c r="AFU11" s="113"/>
      <c r="AFV11" s="113"/>
      <c r="AFW11" s="113"/>
      <c r="AFX11" s="113"/>
      <c r="AFY11" s="113"/>
      <c r="AFZ11" s="113"/>
      <c r="AGA11" s="113"/>
      <c r="AGB11" s="113"/>
      <c r="AGC11" s="113"/>
      <c r="AGD11" s="113"/>
      <c r="AGE11" s="113"/>
      <c r="AGF11" s="113"/>
      <c r="AGG11" s="113"/>
      <c r="AGH11" s="113"/>
      <c r="AGI11" s="113"/>
      <c r="AGJ11" s="113"/>
      <c r="AGK11" s="113"/>
      <c r="AGL11" s="113"/>
      <c r="AGM11" s="113"/>
      <c r="AGN11" s="113"/>
      <c r="AGO11" s="113"/>
      <c r="AGP11" s="113"/>
      <c r="AGQ11" s="113"/>
      <c r="AGR11" s="113"/>
      <c r="AGS11" s="113"/>
      <c r="AGT11" s="113"/>
      <c r="AGU11" s="113"/>
      <c r="AGV11" s="113"/>
      <c r="AGW11" s="113"/>
    </row>
    <row r="12" spans="1:881" ht="30" customHeight="1" outlineLevel="1" x14ac:dyDescent="0.2">
      <c r="B12" s="289" t="s">
        <v>465</v>
      </c>
      <c r="DN12" s="289" t="s">
        <v>425</v>
      </c>
    </row>
    <row r="13" spans="1:881" s="252" customFormat="1" ht="30" hidden="1" customHeight="1" x14ac:dyDescent="0.2">
      <c r="B13" s="267">
        <f>SUBTOTAL(3,B11:B11)</f>
        <v>1</v>
      </c>
      <c r="C13" s="268" t="s">
        <v>413</v>
      </c>
      <c r="D13" s="269">
        <f>SUBTOTAL(3,D11:D11)</f>
        <v>1</v>
      </c>
      <c r="E13" s="269">
        <f>SUBTOTAL(3,E11:E11)</f>
        <v>1</v>
      </c>
      <c r="G13" s="269">
        <f>SUBTOTAL(3,G11:G11)</f>
        <v>0</v>
      </c>
      <c r="H13" s="270"/>
      <c r="J13" s="271"/>
      <c r="K13" s="267">
        <f>SUBTOTAL(3,K11:K11)</f>
        <v>1</v>
      </c>
      <c r="L13" s="271"/>
      <c r="M13" s="271"/>
      <c r="O13" s="267">
        <f t="shared" ref="O13:AQ13" si="57">SUBTOTAL(9,O11:O11)</f>
        <v>0</v>
      </c>
      <c r="P13" s="267">
        <f t="shared" si="57"/>
        <v>0</v>
      </c>
      <c r="Q13" s="267">
        <f t="shared" si="57"/>
        <v>0</v>
      </c>
      <c r="R13" s="267">
        <f t="shared" si="57"/>
        <v>0</v>
      </c>
      <c r="S13" s="267">
        <f t="shared" si="57"/>
        <v>0</v>
      </c>
      <c r="T13" s="267">
        <f t="shared" si="57"/>
        <v>0</v>
      </c>
      <c r="U13" s="267">
        <f t="shared" si="57"/>
        <v>0</v>
      </c>
      <c r="V13" s="267"/>
      <c r="W13" s="267"/>
      <c r="X13" s="267"/>
      <c r="Y13" s="267"/>
      <c r="Z13" s="267">
        <f>SUBTOTAL(9,V11:V11)</f>
        <v>0</v>
      </c>
      <c r="AA13" s="267">
        <f t="shared" si="57"/>
        <v>0</v>
      </c>
      <c r="AB13" s="267">
        <f t="shared" si="57"/>
        <v>0</v>
      </c>
      <c r="AC13" s="267">
        <f t="shared" si="57"/>
        <v>0</v>
      </c>
      <c r="AD13" s="267">
        <f t="shared" si="57"/>
        <v>0</v>
      </c>
      <c r="AE13" s="267">
        <f t="shared" si="57"/>
        <v>0</v>
      </c>
      <c r="AF13" s="267">
        <f t="shared" si="57"/>
        <v>0</v>
      </c>
      <c r="AG13" s="267">
        <f t="shared" si="57"/>
        <v>0</v>
      </c>
      <c r="AH13" s="267">
        <f>SUBTOTAL(9,AH11:AH11)</f>
        <v>0</v>
      </c>
      <c r="AI13" s="267">
        <f t="shared" si="57"/>
        <v>0</v>
      </c>
      <c r="AJ13" s="267">
        <f t="shared" si="57"/>
        <v>0</v>
      </c>
      <c r="AK13" s="267">
        <f t="shared" si="57"/>
        <v>0</v>
      </c>
      <c r="AL13" s="267">
        <f t="shared" si="57"/>
        <v>0</v>
      </c>
      <c r="AM13" s="267">
        <f t="shared" si="57"/>
        <v>0</v>
      </c>
      <c r="AN13" s="267">
        <f t="shared" si="57"/>
        <v>0</v>
      </c>
      <c r="AO13" s="267">
        <f t="shared" si="57"/>
        <v>0</v>
      </c>
      <c r="AP13" s="267">
        <f t="shared" si="57"/>
        <v>0</v>
      </c>
      <c r="AQ13" s="267">
        <f t="shared" si="57"/>
        <v>0</v>
      </c>
      <c r="AR13" s="267">
        <f t="shared" ref="AR13:AX13" si="58">SUBTOTAL(3,AR11:AR11)</f>
        <v>1</v>
      </c>
      <c r="AS13" s="267">
        <f t="shared" si="58"/>
        <v>1</v>
      </c>
      <c r="AT13" s="267">
        <f t="shared" si="58"/>
        <v>1</v>
      </c>
      <c r="AU13" s="267">
        <f t="shared" si="58"/>
        <v>1</v>
      </c>
      <c r="AV13" s="267">
        <f t="shared" si="58"/>
        <v>1</v>
      </c>
      <c r="AW13" s="267">
        <f t="shared" si="58"/>
        <v>1</v>
      </c>
      <c r="AX13" s="267">
        <f t="shared" si="58"/>
        <v>1</v>
      </c>
      <c r="AY13" s="267">
        <f>SUBTOTAL(9,AY11:AY11)</f>
        <v>0</v>
      </c>
      <c r="AZ13" s="267">
        <f>SUBTOTAL(9,AZ11:AZ11)</f>
        <v>0</v>
      </c>
      <c r="BA13" s="267">
        <f>SUBTOTAL(3,BA11:BA11)</f>
        <v>1</v>
      </c>
      <c r="BB13" s="267">
        <f>SUBTOTAL(3,BB11:BB11)</f>
        <v>1</v>
      </c>
      <c r="BC13" s="267">
        <f>SUBTOTAL(3,BC11:BC11)</f>
        <v>1</v>
      </c>
      <c r="BD13" s="267">
        <f t="shared" ref="BD13:BR13" si="59">SUBTOTAL(9,BD11:BD11)</f>
        <v>0</v>
      </c>
      <c r="BE13" s="267">
        <f t="shared" si="59"/>
        <v>0</v>
      </c>
      <c r="BF13" s="267">
        <f t="shared" si="59"/>
        <v>0</v>
      </c>
      <c r="BG13" s="267">
        <f t="shared" si="59"/>
        <v>0</v>
      </c>
      <c r="BH13" s="267">
        <f t="shared" si="59"/>
        <v>0</v>
      </c>
      <c r="BI13" s="267">
        <f t="shared" si="59"/>
        <v>0</v>
      </c>
      <c r="BJ13" s="267">
        <f t="shared" si="59"/>
        <v>0</v>
      </c>
      <c r="BK13" s="267">
        <f t="shared" si="59"/>
        <v>0</v>
      </c>
      <c r="BL13" s="267">
        <f t="shared" si="59"/>
        <v>0</v>
      </c>
      <c r="BM13" s="267">
        <f t="shared" si="59"/>
        <v>0</v>
      </c>
      <c r="BN13" s="267">
        <f t="shared" si="59"/>
        <v>0</v>
      </c>
      <c r="BO13" s="267">
        <f t="shared" si="59"/>
        <v>0</v>
      </c>
      <c r="BP13" s="267">
        <f t="shared" si="59"/>
        <v>0</v>
      </c>
      <c r="BQ13" s="267">
        <f t="shared" si="59"/>
        <v>0</v>
      </c>
      <c r="BR13" s="267">
        <f t="shared" si="59"/>
        <v>0</v>
      </c>
      <c r="BS13" s="267">
        <f>SUBTOTAL(3,BS11:BS11)</f>
        <v>0</v>
      </c>
      <c r="BT13" s="267">
        <f>SUBTOTAL(3,BT11:BT11)</f>
        <v>0</v>
      </c>
      <c r="BU13" s="267">
        <f>SUBTOTAL(3,BU11:BU11)</f>
        <v>0</v>
      </c>
      <c r="BV13" s="267">
        <f>SUBTOTAL(9,BV11:BV11)</f>
        <v>0</v>
      </c>
      <c r="BW13" s="267">
        <f>SUBTOTAL(3,BW11:BW11)</f>
        <v>0</v>
      </c>
      <c r="BX13" s="267">
        <f>SUBTOTAL(9,BX11:BX11)</f>
        <v>0</v>
      </c>
      <c r="BY13" s="270"/>
      <c r="BZ13" s="270"/>
      <c r="CA13" s="270"/>
      <c r="CB13" s="270"/>
      <c r="CC13" s="270"/>
      <c r="CD13" s="270"/>
      <c r="CE13" s="270"/>
      <c r="CF13" s="270"/>
      <c r="CG13" s="270"/>
      <c r="CH13" s="270"/>
      <c r="CI13" s="270"/>
      <c r="CJ13" s="270"/>
      <c r="CK13" s="270"/>
      <c r="CL13" s="267">
        <f>SUBTOTAL(9,CL11:CL11)</f>
        <v>0</v>
      </c>
      <c r="CM13" s="267">
        <f>SUBTOTAL(3,CM11:CM11)</f>
        <v>1</v>
      </c>
      <c r="CO13" s="269">
        <f>SUBTOTAL(3,CO11:CO11)</f>
        <v>1</v>
      </c>
      <c r="CP13" s="267">
        <f>SUBTOTAL(9,CP11:CP11)</f>
        <v>0</v>
      </c>
      <c r="CQ13" s="267">
        <f>SUBTOTAL(9,CQ11:CQ11)</f>
        <v>0</v>
      </c>
      <c r="CR13" s="271"/>
      <c r="CS13" s="270"/>
      <c r="CV13" s="270"/>
      <c r="CW13" s="270"/>
      <c r="DC13" s="267">
        <f>SUBTOTAL(3,DC11:DC11)</f>
        <v>1</v>
      </c>
      <c r="DE13" s="267">
        <f>SUBTOTAL(3,DE11:DE11)</f>
        <v>1</v>
      </c>
      <c r="DG13" s="267">
        <f>SUBTOTAL(3,DG11:DG11)</f>
        <v>1</v>
      </c>
      <c r="DI13" s="267">
        <f>SUBTOTAL(3,DI11:DI11)</f>
        <v>1</v>
      </c>
      <c r="DK13" s="267">
        <f>SUBTOTAL(3,DK11:DK11)</f>
        <v>1</v>
      </c>
      <c r="DN13" s="267" t="e">
        <f>SUBTOTAL(9,DN11:DN11)</f>
        <v>#REF!</v>
      </c>
      <c r="DO13" s="267" t="e">
        <f>SUBTOTAL(9,DO11:DO11)</f>
        <v>#REF!</v>
      </c>
      <c r="DP13" s="267">
        <f>SUBTOTAL(3,DP11:DP11)</f>
        <v>0</v>
      </c>
      <c r="DQ13" s="267" t="e">
        <f>SUBTOTAL(9,DQ11:DQ11)</f>
        <v>#REF!</v>
      </c>
      <c r="DR13" s="267" t="e">
        <f>SUBTOTAL(9,DR11:DR11)</f>
        <v>#REF!</v>
      </c>
      <c r="DS13" s="267" t="e">
        <f>SUBTOTAL(9,DS11:DS11)</f>
        <v>#REF!</v>
      </c>
      <c r="DT13" s="267" t="e">
        <f>SUBTOTAL(9,DT11:DT11)</f>
        <v>#REF!</v>
      </c>
      <c r="DU13" s="267">
        <f>SUBTOTAL(3,DU11:DU11)</f>
        <v>0</v>
      </c>
      <c r="DV13" s="267" t="e">
        <f>SUBTOTAL(9,DV11:DV11)</f>
        <v>#REF!</v>
      </c>
      <c r="DW13" s="267" t="e">
        <f>SUBTOTAL(9,DW11:DW11)</f>
        <v>#REF!</v>
      </c>
      <c r="DX13" s="267" t="e">
        <f>SUBTOTAL(9,DX11:DX11)</f>
        <v>#REF!</v>
      </c>
      <c r="DY13" s="267" t="e">
        <f>SUBTOTAL(9,DY11:DY11)</f>
        <v>#REF!</v>
      </c>
      <c r="DZ13" s="267">
        <f>SUBTOTAL(3,DZ11:DZ11)</f>
        <v>0</v>
      </c>
      <c r="EA13" s="267" t="e">
        <f>SUBTOTAL(9,EA11:EA11)</f>
        <v>#REF!</v>
      </c>
      <c r="EB13" s="267" t="e">
        <f>SUBTOTAL(9,EB11:EB11)</f>
        <v>#REF!</v>
      </c>
      <c r="EC13" s="267" t="e">
        <f>SUBTOTAL(9,EC11:EC11)</f>
        <v>#REF!</v>
      </c>
      <c r="ED13" s="267" t="e">
        <f>SUBTOTAL(9,ED11:ED11)</f>
        <v>#REF!</v>
      </c>
      <c r="EE13" s="267">
        <f>SUBTOTAL(3,EE11:EE11)</f>
        <v>1</v>
      </c>
      <c r="EF13" s="267" t="e">
        <f t="shared" ref="EF13:EV13" si="60">SUBTOTAL(9,EF11:EF11)</f>
        <v>#REF!</v>
      </c>
      <c r="EG13" s="267" t="e">
        <f t="shared" si="60"/>
        <v>#REF!</v>
      </c>
      <c r="EH13" s="267">
        <f t="shared" si="60"/>
        <v>0</v>
      </c>
      <c r="EI13" s="267" t="e">
        <f t="shared" si="60"/>
        <v>#REF!</v>
      </c>
      <c r="EJ13" s="267" t="e">
        <f t="shared" si="60"/>
        <v>#REF!</v>
      </c>
      <c r="EK13" s="267" t="e">
        <f t="shared" si="60"/>
        <v>#REF!</v>
      </c>
      <c r="EL13" s="267" t="e">
        <f t="shared" si="60"/>
        <v>#REF!</v>
      </c>
      <c r="EM13" s="267" t="e">
        <f t="shared" si="60"/>
        <v>#REF!</v>
      </c>
      <c r="EN13" s="267" t="e">
        <f t="shared" si="60"/>
        <v>#REF!</v>
      </c>
      <c r="EO13" s="267" t="e">
        <f t="shared" si="60"/>
        <v>#REF!</v>
      </c>
      <c r="EP13" s="267" t="e">
        <f t="shared" si="60"/>
        <v>#REF!</v>
      </c>
      <c r="EQ13" s="267" t="e">
        <f t="shared" si="60"/>
        <v>#REF!</v>
      </c>
      <c r="ER13" s="267" t="e">
        <f t="shared" si="60"/>
        <v>#REF!</v>
      </c>
      <c r="ES13" s="267" t="e">
        <f t="shared" si="60"/>
        <v>#REF!</v>
      </c>
      <c r="ET13" s="267" t="e">
        <f t="shared" si="60"/>
        <v>#REF!</v>
      </c>
      <c r="EU13" s="267" t="e">
        <f t="shared" si="60"/>
        <v>#REF!</v>
      </c>
      <c r="EV13" s="267" t="e">
        <f t="shared" si="60"/>
        <v>#REF!</v>
      </c>
      <c r="EW13" s="267">
        <f t="shared" ref="EW13:FC13" si="61">SUBTOTAL(3,EW11:EW11)</f>
        <v>1</v>
      </c>
      <c r="EX13" s="267">
        <f t="shared" si="61"/>
        <v>1</v>
      </c>
      <c r="EY13" s="267">
        <f t="shared" si="61"/>
        <v>1</v>
      </c>
      <c r="EZ13" s="267">
        <f t="shared" si="61"/>
        <v>1</v>
      </c>
      <c r="FA13" s="267">
        <f t="shared" si="61"/>
        <v>1</v>
      </c>
      <c r="FB13" s="267">
        <f t="shared" si="61"/>
        <v>1</v>
      </c>
      <c r="FC13" s="267">
        <f t="shared" si="61"/>
        <v>1</v>
      </c>
      <c r="FD13" s="267" t="e">
        <f>SUBTOTAL(9,FD11:FD11)</f>
        <v>#REF!</v>
      </c>
      <c r="FE13" s="267" t="e">
        <f>SUBTOTAL(9,FE11:FE11)</f>
        <v>#REF!</v>
      </c>
      <c r="FF13" s="267" t="e">
        <f>SUBTOTAL(9,FF11:FF11)</f>
        <v>#REF!</v>
      </c>
      <c r="FG13" s="267">
        <f>SUBTOTAL(3,FG11:FG11)</f>
        <v>0</v>
      </c>
      <c r="FH13" s="267">
        <f>SUBTOTAL(3,FH11:FH11)</f>
        <v>0</v>
      </c>
      <c r="FI13" s="267">
        <f>SUBTOTAL(3,FI11:FI11)</f>
        <v>0</v>
      </c>
      <c r="FJ13" s="267">
        <f>SUBTOTAL(3,FJ11:FJ11)</f>
        <v>0</v>
      </c>
      <c r="FK13" s="267" t="e">
        <f>SUBTOTAL(9,FK11:FK11)</f>
        <v>#REF!</v>
      </c>
      <c r="FL13" s="267" t="e">
        <f>SUBTOTAL(9,FL11:FL11)</f>
        <v>#REF!</v>
      </c>
      <c r="FM13" s="267">
        <f>SUBTOTAL(9,FM11:FM11)</f>
        <v>0</v>
      </c>
      <c r="FN13" s="267">
        <f>SUBTOTAL(9,FN11:FN11)</f>
        <v>0</v>
      </c>
      <c r="FO13" s="267">
        <f>SUBTOTAL(3,FO11:FO11)</f>
        <v>0</v>
      </c>
      <c r="FP13" s="267">
        <f>SUBTOTAL(9,FP11:FP11)</f>
        <v>0</v>
      </c>
      <c r="FQ13" s="267">
        <f>SUBTOTAL(3,FQ11:FQ11)</f>
        <v>0</v>
      </c>
      <c r="FR13" s="267">
        <f t="shared" ref="FR13:GE13" si="62">SUBTOTAL(9,FR11:FR11)</f>
        <v>0</v>
      </c>
      <c r="FS13" s="267">
        <f t="shared" si="62"/>
        <v>0</v>
      </c>
      <c r="FT13" s="267">
        <f t="shared" si="62"/>
        <v>0</v>
      </c>
      <c r="FU13" s="267">
        <f t="shared" si="62"/>
        <v>0</v>
      </c>
      <c r="FV13" s="267">
        <f t="shared" si="62"/>
        <v>0</v>
      </c>
      <c r="FW13" s="267">
        <f t="shared" si="62"/>
        <v>0</v>
      </c>
      <c r="FX13" s="267">
        <f t="shared" si="62"/>
        <v>0</v>
      </c>
      <c r="FY13" s="267">
        <f t="shared" si="62"/>
        <v>0</v>
      </c>
      <c r="FZ13" s="267">
        <f t="shared" si="62"/>
        <v>0</v>
      </c>
      <c r="GA13" s="267">
        <f t="shared" si="62"/>
        <v>0</v>
      </c>
      <c r="GB13" s="267">
        <f t="shared" si="62"/>
        <v>0</v>
      </c>
      <c r="GC13" s="267">
        <f t="shared" si="62"/>
        <v>0</v>
      </c>
      <c r="GD13" s="267">
        <f t="shared" si="62"/>
        <v>0</v>
      </c>
      <c r="GE13" s="267">
        <f t="shared" si="62"/>
        <v>0</v>
      </c>
      <c r="GF13" s="267">
        <f>SUBTOTAL(3,GF11:GF11)</f>
        <v>0</v>
      </c>
      <c r="GG13" s="267">
        <f>SUBTOTAL(3,GG11:GG11)</f>
        <v>0</v>
      </c>
      <c r="GH13" s="267">
        <f>SUBTOTAL(3,GH11:GH11)</f>
        <v>0</v>
      </c>
      <c r="GI13" s="267">
        <f>SUBTOTAL(9,GI11:GI11)</f>
        <v>0</v>
      </c>
      <c r="GJ13" s="267">
        <f>SUBTOTAL(9,GJ11:GJ11)</f>
        <v>0</v>
      </c>
      <c r="GK13" s="267">
        <f>SUBTOTAL(3,GK11:GK11)</f>
        <v>0</v>
      </c>
      <c r="GL13" s="267">
        <f>SUBTOTAL(3,GL11:GL11)</f>
        <v>0</v>
      </c>
      <c r="GM13" s="267">
        <f>SUBTOTAL(9,GM11:GM11)</f>
        <v>0</v>
      </c>
      <c r="GN13" s="267">
        <f>SUBTOTAL(9,GN11:GN11)</f>
        <v>0</v>
      </c>
      <c r="GP13" s="270"/>
      <c r="GQ13" s="270"/>
      <c r="GR13" s="270"/>
      <c r="GS13" s="267">
        <f>SUBTOTAL(9,GS11:GS11)</f>
        <v>0</v>
      </c>
      <c r="GT13" s="267" t="e">
        <f>SUBTOTAL(9,GT11:GT11)</f>
        <v>#REF!</v>
      </c>
      <c r="GU13" s="267" t="e">
        <f>SUBTOTAL(9,GU11:GU11)</f>
        <v>#REF!</v>
      </c>
    </row>
    <row r="14" spans="1:881" ht="30" customHeight="1" x14ac:dyDescent="0.2"/>
    <row r="15" spans="1:881" ht="30" customHeight="1" x14ac:dyDescent="0.2"/>
    <row r="16" spans="1:88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ZhDsiwV3ZXX+ypK59HF70OiW5SH6nj+LX6oAm713NEk4aVO0V6oFNaJz8erkhdPC9K3YmoJirPwjCzQjAFGTw==" saltValue="/pg7pSjf3vhu01f0DVu2+Q==" spinCount="100000" sheet="1" objects="1" scenarios="1"/>
  <mergeCells count="8">
    <mergeCell ref="EF4:EI4"/>
    <mergeCell ref="AE4:AG4"/>
    <mergeCell ref="AB4:AD4"/>
    <mergeCell ref="BY5:CD5"/>
    <mergeCell ref="CE5:CJ5"/>
    <mergeCell ref="BD3:BD5"/>
    <mergeCell ref="EC4:EE4"/>
    <mergeCell ref="DC3:DL3"/>
  </mergeCells>
  <phoneticPr fontId="1"/>
  <conditionalFormatting sqref="O6:BD11">
    <cfRule type="expression" dxfId="3" priority="1">
      <formula>($D6="改修")</formula>
    </cfRule>
  </conditionalFormatting>
  <conditionalFormatting sqref="BE6:BX11">
    <cfRule type="expression" dxfId="2" priority="23">
      <formula>OR($D6="新築",$D6="登録")</formula>
    </cfRule>
  </conditionalFormatting>
  <conditionalFormatting sqref="DN6:FL11">
    <cfRule type="expression" dxfId="1" priority="4">
      <formula>OR($D6="改修",$D6="登録")</formula>
    </cfRule>
  </conditionalFormatting>
  <conditionalFormatting sqref="FM6:GN11">
    <cfRule type="expression" dxfId="0" priority="8">
      <formula>OR($D6="新築",$D6="登録")</formula>
    </cfRule>
  </conditionalFormatting>
  <dataValidations xWindow="1008" yWindow="779" count="56">
    <dataValidation type="list" allowBlank="1" showInputMessage="1" showErrorMessage="1" sqref="G11" xr:uid="{00000000-0002-0000-0500-000000000000}">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H6:GH11" xr:uid="{00000000-0002-0000-0500-00000100000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G6:GG11" xr:uid="{00000000-0002-0000-0500-000002000000}">
      <formula1>7</formula1>
    </dataValidation>
    <dataValidation allowBlank="1" showErrorMessage="1" sqref="GL6:GL11" xr:uid="{00000000-0002-0000-0500-000003000000}"/>
    <dataValidation operator="greaterThanOrEqual" allowBlank="1" showInputMessage="1" showErrorMessage="1" error="整数値で入力" sqref="FQ6:FQ11" xr:uid="{00000000-0002-0000-0500-000004000000}"/>
    <dataValidation allowBlank="1" showInputMessage="1" showErrorMessage="1" error="0.3以上が補助対象、実木材使用量以下の数値を入力" sqref="FO6:FO11" xr:uid="{00000000-0002-0000-0500-000005000000}"/>
    <dataValidation type="list" allowBlank="1" showInputMessage="1" showErrorMessage="1" prompt="EO列に畳事業者名を入力してください。" sqref="FB6:FB10" xr:uid="{00000000-0002-0000-0500-000006000000}">
      <formula1>"1"</formula1>
    </dataValidation>
    <dataValidation type="list" allowBlank="1" showInputMessage="1" showErrorMessage="1" prompt="EN列の木製建具事業者名も入力してください。" sqref="FA6:FA10" xr:uid="{00000000-0002-0000-0500-000007000000}">
      <formula1>"1,2"</formula1>
    </dataValidation>
    <dataValidation type="list" allowBlank="1" showInputMessage="1" showErrorMessage="1" prompt="EM列の左官材料の種類も選択してください。" sqref="EY6:EY10" xr:uid="{00000000-0002-0000-0500-000008000000}">
      <formula1>"1,2"</formula1>
    </dataValidation>
    <dataValidation type="list" allowBlank="1" showInputMessage="1" showErrorMessage="1" prompt="EL列の瓦の種類も選択してください。" sqref="EZ6:EZ10" xr:uid="{00000000-0002-0000-0500-000009000000}">
      <formula1>"2"</formula1>
    </dataValidation>
    <dataValidation type="list" allowBlank="1" showErrorMessage="1" sqref="FH6:FH11 GK6:GK11" xr:uid="{00000000-0002-0000-0500-00000A000000}">
      <formula1>"モルタル塗,漆喰塗,土壁塗,そとん壁,じゅらく塗,珪藻土塗,その他"</formula1>
    </dataValidation>
    <dataValidation type="list" allowBlank="1" showErrorMessage="1" sqref="FG6:FG11" xr:uid="{00000000-0002-0000-0500-00000B000000}">
      <formula1>"平板瓦,和瓦,S瓦"</formula1>
    </dataValidation>
    <dataValidation operator="greaterThanOrEqual" allowBlank="1" showInputMessage="1" showErrorMessage="1" error="県産材の実使用量より大きな値は入力しないでください。" sqref="EH6:EH10" xr:uid="{00000000-0002-0000-0500-00000C000000}"/>
    <dataValidation operator="lessThanOrEqual" allowBlank="1" showInputMessage="1" showErrorMessage="1" error="県産材の実使用量より大きな値は入力しないでください。" sqref="DZ6:DZ10" xr:uid="{00000000-0002-0000-0500-00000D000000}"/>
    <dataValidation operator="lessThanOrEqual" allowBlank="1" showInputMessage="1" showErrorMessage="1" error="県産材の実使用量より大きな値は入力しないでください（整数値入力）。" sqref="AJ11:AK11 S11 V11 AF11 AC11 AR11:AX11 AN11:AO11 DU6:DU10 BA11:BC11" xr:uid="{00000000-0002-0000-0500-00000E000000}"/>
    <dataValidation allowBlank="1" showInputMessage="1" showErrorMessage="1" error="実木材使用量より大きな値は入力しないでください。補助対象は10m3以上です（整数値で入力）。" sqref="P11 DP6:DP10" xr:uid="{00000000-0002-0000-0500-00000F00000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1" xr:uid="{00000000-0002-0000-0500-000010000000}">
      <formula1>7</formula1>
    </dataValidation>
    <dataValidation type="list" allowBlank="1" showInputMessage="1" showErrorMessage="1" prompt="AX列の左官材料の種類も選択してください。" sqref="AT6:AT10" xr:uid="{00000000-0002-0000-0500-000011000000}">
      <formula1>"1,2"</formula1>
    </dataValidation>
    <dataValidation type="list" allowBlank="1" showInputMessage="1" showErrorMessage="1" prompt="AW列の瓦の種類も選択してください。" sqref="AU6:AU10" xr:uid="{00000000-0002-0000-0500-000012000000}">
      <formula1>"2"</formula1>
    </dataValidation>
    <dataValidation allowBlank="1" showInputMessage="1" showErrorMessage="1" prompt="自動計算" sqref="E6:E11 Q6:R11 EE6:EF11 AY6:AZ11 AP6:AQ11 BH6:BI11 BQ6:BR11 BV6:BV11 BX6:BX11 CL6:CL11 AL6:AM11 BD6:BD11 AA6:AB11 B6:B11 BL6:BM11 FD6:FF11 GC6:GE11 FW6:FY11 FR6:FT11 DQ6:DS11 ET6:EV11 EO6:EQ11 DV6:DX11 FK6:FL11 GM6:GN11 GI6:GJ11 GS6:GU11 EA6:EC11 EI6:EL11 T6:U11 W6:Y11 V6:V10 Z11 AG6:AI11 AD6:AD11 AE6:AE11" xr:uid="{00000000-0002-0000-0500-000013000000}"/>
    <dataValidation type="list" allowBlank="1" showInputMessage="1" showErrorMessage="1" sqref="BW6:BW11 BB6:BC10" xr:uid="{00000000-0002-0000-0500-000014000000}">
      <formula1>"モルタル塗,漆喰塗,土壁塗,そとん壁,じゅらく塗,珪藻土塗,その他"</formula1>
    </dataValidation>
    <dataValidation type="list" allowBlank="1" showInputMessage="1" showErrorMessage="1" sqref="BA6:BA10" xr:uid="{00000000-0002-0000-0500-00001500000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500-000016000000}">
      <formula1>"新築,改修,登録"</formula1>
    </dataValidation>
    <dataValidation type="list" allowBlank="1" showInputMessage="1" showErrorMessage="1" sqref="CO6:CO10" xr:uid="{00000000-0002-0000-0500-00001700000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U6:BU11" xr:uid="{00000000-0002-0000-0500-000018000000}">
      <formula1>3</formula1>
    </dataValidation>
    <dataValidation type="whole" operator="greaterThanOrEqual" allowBlank="1" showInputMessage="1" showErrorMessage="1" error="７未満の値は入力しないでください。（補助対象となるのは最低７平方メートル以上です）" sqref="BS6:BS11 GF6:GF11" xr:uid="{00000000-0002-0000-0500-000019000000}">
      <formula1>7</formula1>
    </dataValidation>
    <dataValidation type="whole" operator="greaterThanOrEqual" allowBlank="1" showInputMessage="1" showErrorMessage="1" error="整数値で入力" sqref="BG6:BG11 FP6:FP11" xr:uid="{00000000-0002-0000-0500-00001A000000}">
      <formula1>0</formula1>
    </dataValidation>
    <dataValidation type="list" allowBlank="1" showInputMessage="1" showErrorMessage="1" sqref="AS6:AS10 EX6:EX10" xr:uid="{00000000-0002-0000-0500-00001B000000}">
      <formula1>"2"</formula1>
    </dataValidation>
    <dataValidation type="list" allowBlank="1" showInputMessage="1" showErrorMessage="1" sqref="AV6:AV10 AX6:AX10 FC6:FC10" xr:uid="{00000000-0002-0000-0500-00001C000000}">
      <formula1>"1,2"</formula1>
    </dataValidation>
    <dataValidation type="list" allowBlank="1" showInputMessage="1" showErrorMessage="1" sqref="AR6:AR10 EW6:EW10" xr:uid="{00000000-0002-0000-0500-00001D000000}">
      <formula1>"4"</formula1>
    </dataValidation>
    <dataValidation type="whole" operator="greaterThanOrEqual" allowBlank="1" showInputMessage="1" showErrorMessage="1" error="10以上の整数値を入力してください。" sqref="O6:O10 DN6:DN10" xr:uid="{00000000-0002-0000-0500-00001E000000}">
      <formula1>10</formula1>
    </dataValidation>
    <dataValidation type="whole" operator="greaterThanOrEqual" allowBlank="1" showInputMessage="1" showErrorMessage="1" error="県産材の実使用量より大きな値は入力しないでください。" sqref="AF6:AF10 EG6:EG10" xr:uid="{00000000-0002-0000-0500-00001F000000}">
      <formula1>0</formula1>
    </dataValidation>
    <dataValidation type="list" allowBlank="1" showInputMessage="1" showErrorMessage="1" sqref="M6:M10" xr:uid="{00000000-0002-0000-0500-000020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xr:uid="{00000000-0002-0000-0500-000021000000}">
      <formula1>"債,支→債,債→支"</formula1>
    </dataValidation>
    <dataValidation type="date" operator="greaterThanOrEqual" allowBlank="1" showInputMessage="1" showErrorMessage="1" error="日付以外の内容は入力できません" sqref="CJ10 BZ10 CA6:CA10 CB10 CC6:CC10 CD10 CF10 CG6:CG10 CH10 CI6:CI10 BY6:BY10" xr:uid="{00000000-0002-0000-0500-000022000000}">
      <formula1>1</formula1>
    </dataValidation>
    <dataValidation type="list" allowBlank="1" showInputMessage="1" showErrorMessage="1" sqref="CR6:CR10" xr:uid="{00000000-0002-0000-0500-000023000000}">
      <formula1>"要,不要"</formula1>
    </dataValidation>
    <dataValidation type="decimal" operator="greaterThanOrEqual" allowBlank="1" showInputMessage="1" showErrorMessage="1" error="数値以外は入力できません" sqref="CP6:CQ10" xr:uid="{00000000-0002-0000-0500-000024000000}">
      <formula1>0</formula1>
    </dataValidation>
    <dataValidation type="date" operator="greaterThanOrEqual" allowBlank="1" showInputMessage="1" showErrorMessage="1" error="日付以外は入力できません" sqref="CS6:CS10 CV6:CW11 GP6:GR11" xr:uid="{00000000-0002-0000-0500-000025000000}">
      <formula1>1</formula1>
    </dataValidation>
    <dataValidation type="date" operator="greaterThanOrEqual" allowBlank="1" showInputMessage="1" showErrorMessage="1" error="日付以外の値は入力できません" sqref="H6:H11" xr:uid="{00000000-0002-0000-0500-000026000000}">
      <formula1>1</formula1>
    </dataValidation>
    <dataValidation type="list" allowBlank="1" showInputMessage="1" showErrorMessage="1" sqref="GO6:GO11" xr:uid="{00000000-0002-0000-0500-000027000000}">
      <formula1>"実績,取下,取消"</formula1>
    </dataValidation>
    <dataValidation type="list" allowBlank="1" showInputMessage="1" showErrorMessage="1" sqref="CU6:CU11" xr:uid="{00000000-0002-0000-0500-000028000000}">
      <formula1>"若年子育て,三世代近居,三世代同居"</formula1>
    </dataValidation>
    <dataValidation type="list" allowBlank="1" showInputMessage="1" showErrorMessage="1" sqref="BJ6:BK11 BN6:BP11 AJ6:AK10 AW6:AW10 AN6:AO10 EM6:EN10 FZ6:GB11 FU6:FV11 ER6:ES10" xr:uid="{00000000-0002-0000-0500-000029000000}">
      <formula1>"1"</formula1>
    </dataValidation>
    <dataValidation type="decimal" operator="greaterThanOrEqual" allowBlank="1" showInputMessage="1" showErrorMessage="1" sqref="BE6:BE11 FM6:FM11" xr:uid="{00000000-0002-0000-0500-00002A000000}">
      <formula1>0</formula1>
    </dataValidation>
    <dataValidation type="whole" operator="lessThanOrEqual" allowBlank="1" showInputMessage="1" showErrorMessage="1" error="県産材の実使用量より大きな値は入力しないでください。" sqref="DY6:DY10" xr:uid="{00000000-0002-0000-0500-00002B000000}">
      <formula1>DT6</formula1>
    </dataValidation>
    <dataValidation imeMode="halfAlpha" allowBlank="1" showInputMessage="1" showErrorMessage="1" sqref="L1:L1048576 J1:J1048576" xr:uid="{00000000-0002-0000-0500-00002C000000}"/>
    <dataValidation type="whole" allowBlank="1" showInputMessage="1" showErrorMessage="1" error="実木材使用量より大きな値は入力しないでください。補助対象は10m3以上です（整数値で入力）。" sqref="P6:P10 DO6:DO10" xr:uid="{00000000-0002-0000-0500-00002D000000}">
      <formula1>10</formula1>
      <formula2>O6</formula2>
    </dataValidation>
    <dataValidation type="whole" operator="lessThanOrEqual" allowBlank="1" showInputMessage="1" showErrorMessage="1" error="県産材の実使用量より大きな値は入力しないでください（整数値入力）。" sqref="DT6:DT10" xr:uid="{00000000-0002-0000-0500-00002E000000}">
      <formula1>DO6</formula1>
    </dataValidation>
    <dataValidation type="decimal" allowBlank="1" showInputMessage="1" showErrorMessage="1" error="0.3以上が補助対象、実木材使用量以下の数値を入力" sqref="BF6:BF11 FN6:FN11" xr:uid="{00000000-0002-0000-0500-00002F000000}">
      <formula1>0.3</formula1>
      <formula2>BE6</formula2>
    </dataValidation>
    <dataValidation type="whole" operator="lessThanOrEqual" allowBlank="1" showInputMessage="1" showErrorMessage="1" error="県産材の実使用量より大きな値は入力しないでください（整数値入力）。" sqref="S6:S10" xr:uid="{00000000-0002-0000-0500-000030000000}">
      <formula1>P6</formula1>
    </dataValidation>
    <dataValidation type="date" operator="greaterThanOrEqual" allowBlank="1" showInputMessage="1" showErrorMessage="1" error="申請日より前の日付や、日付以外の内容は入力できません" sqref="CE6:CE10" xr:uid="{00000000-0002-0000-0500-000031000000}">
      <formula1>BY6</formula1>
    </dataValidation>
    <dataValidation type="date" operator="greaterThanOrEqual" allowBlank="1" showInputMessage="1" showErrorMessage="1" error="申請日より前の日付や、日付以外の内容は入力できません" sqref="CK6:CK10" xr:uid="{00000000-0002-0000-0500-000032000000}">
      <formula1>H6</formula1>
    </dataValidation>
    <dataValidation type="decimal" operator="lessThanOrEqual" allowBlank="1" showInputMessage="1" showErrorMessage="1" error="県産材の実使用量より大きな値は入力しないでください。" sqref="AC6:AC10 ED6:ED10" xr:uid="{00000000-0002-0000-0500-000033000000}">
      <formula1>S6</formula1>
    </dataValidation>
    <dataValidation operator="greaterThanOrEqual" allowBlank="1" showInputMessage="1" showErrorMessage="1" error="10以上の整数値を入力してください。" sqref="O11 DN11:DP11 DT11:DU11 DY11:DZ11 EG11:EH11 ED11 EM11:EN11 ER11:ES11 EW11:FC11 FI11:FJ11" xr:uid="{00000000-0002-0000-0500-000034000000}"/>
    <dataValidation operator="greaterThanOrEqual" allowBlank="1" showInputMessage="1" showErrorMessage="1" error="日付以外の内容は入力できません" sqref="CD6:CD9 BZ6:BZ9 CB6:CB9 CH6:CH9 CJ6:CJ9 CF6:CF9 BY11:CK11" xr:uid="{00000000-0002-0000-0500-000035000000}"/>
    <dataValidation operator="greaterThanOrEqual" allowBlank="1" showInputMessage="1" showErrorMessage="1" error="数値以外は入力できません" sqref="CP11:CT11 CX11:DB11" xr:uid="{00000000-0002-0000-0500-000036000000}"/>
    <dataValidation type="whole" operator="lessThanOrEqual" allowBlank="1" showInputMessage="1" showErrorMessage="1" error="県産材の実使用量より大きな値は入力しないでください。" sqref="Z6:Z10" xr:uid="{00000000-0002-0000-0500-000037000000}">
      <formula1>S6</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4"/>
  <sheetViews>
    <sheetView zoomScale="112" zoomScaleNormal="112" workbookViewId="0">
      <selection activeCell="K21" sqref="K21"/>
    </sheetView>
  </sheetViews>
  <sheetFormatPr defaultColWidth="9" defaultRowHeight="14.4" x14ac:dyDescent="0.2"/>
  <cols>
    <col min="1" max="1" width="5.6640625" style="296" customWidth="1"/>
    <col min="2" max="2" width="5.21875" style="296" bestFit="1" customWidth="1"/>
    <col min="3" max="3" width="2.44140625" style="296" bestFit="1" customWidth="1"/>
    <col min="4" max="4" width="3.33203125" style="296" bestFit="1" customWidth="1"/>
    <col min="5" max="5" width="2.44140625" style="296" bestFit="1" customWidth="1"/>
    <col min="6" max="6" width="3.33203125" style="296" bestFit="1" customWidth="1"/>
    <col min="7" max="7" width="2.44140625" style="296" bestFit="1" customWidth="1"/>
    <col min="8" max="8" width="3.33203125" style="296" bestFit="1" customWidth="1"/>
    <col min="9" max="10" width="12.6640625" style="296" customWidth="1"/>
    <col min="11" max="11" width="35.88671875" style="290" customWidth="1"/>
    <col min="12" max="12" width="9" style="290" bestFit="1" customWidth="1"/>
    <col min="13" max="13" width="9" style="290" customWidth="1"/>
    <col min="14" max="14" width="37.77734375" style="290" customWidth="1"/>
    <col min="15" max="18" width="9" style="290" customWidth="1"/>
    <col min="19" max="19" width="5.21875" style="296" bestFit="1" customWidth="1"/>
    <col min="20" max="20" width="2.44140625" style="296" bestFit="1" customWidth="1"/>
    <col min="21" max="21" width="3.33203125" style="296" bestFit="1" customWidth="1"/>
    <col min="22" max="22" width="2.44140625" style="296" bestFit="1" customWidth="1"/>
    <col min="23" max="23" width="3.33203125" style="296" bestFit="1" customWidth="1"/>
    <col min="24" max="24" width="2.44140625" style="296" bestFit="1" customWidth="1"/>
    <col min="25" max="25" width="3.33203125" style="296" bestFit="1" customWidth="1"/>
    <col min="26" max="26" width="5.21875" style="296" bestFit="1" customWidth="1"/>
    <col min="27" max="27" width="2.44140625" style="296" bestFit="1" customWidth="1"/>
    <col min="28" max="28" width="3.33203125" style="296" bestFit="1" customWidth="1"/>
    <col min="29" max="29" width="2.44140625" style="296" bestFit="1" customWidth="1"/>
    <col min="30" max="30" width="3.33203125" style="296" bestFit="1" customWidth="1"/>
    <col min="31" max="31" width="2.44140625" style="296" bestFit="1" customWidth="1"/>
    <col min="32" max="32" width="3.33203125" style="296" bestFit="1" customWidth="1"/>
    <col min="33" max="33" width="24.88671875" style="290" customWidth="1"/>
    <col min="34" max="34" width="30.77734375" style="290" customWidth="1"/>
    <col min="35" max="35" width="21" style="290" customWidth="1"/>
    <col min="36" max="39" width="12.21875" style="290" customWidth="1"/>
    <col min="40" max="40" width="5.21875" style="290" bestFit="1" customWidth="1"/>
    <col min="41" max="41" width="22" style="290" customWidth="1"/>
    <col min="42" max="42" width="5.21875" style="290" bestFit="1" customWidth="1"/>
    <col min="43" max="43" width="28.21875" style="290" customWidth="1"/>
    <col min="44" max="44" width="11.33203125" style="290" bestFit="1" customWidth="1"/>
    <col min="45" max="45" width="15.6640625" style="290" customWidth="1"/>
    <col min="46" max="46" width="17.88671875" style="290" bestFit="1" customWidth="1"/>
    <col min="47" max="47" width="10.6640625" style="290" customWidth="1"/>
    <col min="48" max="48" width="16.33203125" style="290" customWidth="1"/>
    <col min="49" max="49" width="17.33203125" style="290" customWidth="1"/>
    <col min="50" max="50" width="10.6640625" style="290" customWidth="1"/>
    <col min="51" max="53" width="13.6640625" style="297" customWidth="1"/>
    <col min="54" max="54" width="11.6640625" style="298" customWidth="1"/>
    <col min="55" max="16384" width="9" style="290"/>
  </cols>
  <sheetData>
    <row r="1" spans="1:54" ht="14.25" customHeight="1" x14ac:dyDescent="0.2">
      <c r="A1" s="563" t="s">
        <v>427</v>
      </c>
      <c r="B1" s="546" t="s">
        <v>428</v>
      </c>
      <c r="C1" s="547"/>
      <c r="D1" s="547"/>
      <c r="E1" s="547"/>
      <c r="F1" s="547"/>
      <c r="G1" s="547"/>
      <c r="H1" s="548"/>
      <c r="I1" s="565" t="s">
        <v>429</v>
      </c>
      <c r="J1" s="552" t="s">
        <v>435</v>
      </c>
      <c r="K1" s="553"/>
      <c r="L1" s="554"/>
      <c r="M1" s="552" t="s">
        <v>1</v>
      </c>
      <c r="N1" s="554"/>
      <c r="O1" s="303" t="s">
        <v>29</v>
      </c>
      <c r="P1" s="303" t="s">
        <v>118</v>
      </c>
      <c r="Q1" s="303" t="s">
        <v>151</v>
      </c>
      <c r="R1" s="303" t="s">
        <v>442</v>
      </c>
      <c r="S1" s="546" t="s">
        <v>445</v>
      </c>
      <c r="T1" s="547"/>
      <c r="U1" s="547"/>
      <c r="V1" s="547"/>
      <c r="W1" s="547"/>
      <c r="X1" s="547"/>
      <c r="Y1" s="548"/>
      <c r="Z1" s="546" t="s">
        <v>444</v>
      </c>
      <c r="AA1" s="547"/>
      <c r="AB1" s="547"/>
      <c r="AC1" s="547"/>
      <c r="AD1" s="547"/>
      <c r="AE1" s="547"/>
      <c r="AF1" s="548"/>
      <c r="AG1" s="552" t="s">
        <v>446</v>
      </c>
      <c r="AH1" s="553"/>
      <c r="AI1" s="554"/>
      <c r="AJ1" s="546" t="s">
        <v>240</v>
      </c>
      <c r="AK1" s="312"/>
      <c r="AL1" s="312"/>
      <c r="AM1" s="313"/>
      <c r="AN1" s="552" t="s">
        <v>447</v>
      </c>
      <c r="AO1" s="554"/>
      <c r="AP1" s="552" t="s">
        <v>450</v>
      </c>
      <c r="AQ1" s="554"/>
      <c r="AR1" s="303" t="s">
        <v>452</v>
      </c>
      <c r="AS1" s="552" t="s">
        <v>454</v>
      </c>
      <c r="AT1" s="554"/>
      <c r="AU1" s="558" t="s">
        <v>458</v>
      </c>
      <c r="AV1" s="556" t="s">
        <v>430</v>
      </c>
      <c r="AW1" s="558" t="s">
        <v>461</v>
      </c>
      <c r="AX1" s="556" t="s">
        <v>460</v>
      </c>
      <c r="AY1" s="561" t="s">
        <v>431</v>
      </c>
      <c r="AZ1" s="561" t="s">
        <v>432</v>
      </c>
      <c r="BA1" s="561" t="s">
        <v>433</v>
      </c>
      <c r="BB1" s="544" t="s">
        <v>459</v>
      </c>
    </row>
    <row r="2" spans="1:54" x14ac:dyDescent="0.2">
      <c r="A2" s="564"/>
      <c r="B2" s="549"/>
      <c r="C2" s="550"/>
      <c r="D2" s="550"/>
      <c r="E2" s="550"/>
      <c r="F2" s="550"/>
      <c r="G2" s="550"/>
      <c r="H2" s="551"/>
      <c r="I2" s="566"/>
      <c r="J2" s="301" t="s">
        <v>434</v>
      </c>
      <c r="K2" s="302" t="s">
        <v>12</v>
      </c>
      <c r="L2" s="302" t="s">
        <v>436</v>
      </c>
      <c r="M2" s="302" t="s">
        <v>438</v>
      </c>
      <c r="N2" s="302" t="s">
        <v>439</v>
      </c>
      <c r="O2" s="302"/>
      <c r="P2" s="302" t="s">
        <v>440</v>
      </c>
      <c r="Q2" s="302" t="s">
        <v>441</v>
      </c>
      <c r="R2" s="302" t="s">
        <v>443</v>
      </c>
      <c r="S2" s="549"/>
      <c r="T2" s="550"/>
      <c r="U2" s="550"/>
      <c r="V2" s="550"/>
      <c r="W2" s="550"/>
      <c r="X2" s="550"/>
      <c r="Y2" s="551"/>
      <c r="Z2" s="549"/>
      <c r="AA2" s="550"/>
      <c r="AB2" s="550"/>
      <c r="AC2" s="550"/>
      <c r="AD2" s="550"/>
      <c r="AE2" s="550"/>
      <c r="AF2" s="551"/>
      <c r="AG2" s="302" t="s">
        <v>3</v>
      </c>
      <c r="AH2" s="302" t="s">
        <v>4</v>
      </c>
      <c r="AI2" s="302" t="s">
        <v>43</v>
      </c>
      <c r="AJ2" s="555"/>
      <c r="AK2" s="301" t="s">
        <v>462</v>
      </c>
      <c r="AL2" s="301" t="s">
        <v>463</v>
      </c>
      <c r="AM2" s="301" t="s">
        <v>464</v>
      </c>
      <c r="AN2" s="302" t="s">
        <v>448</v>
      </c>
      <c r="AO2" s="302" t="s">
        <v>449</v>
      </c>
      <c r="AP2" s="302" t="s">
        <v>451</v>
      </c>
      <c r="AQ2" s="302" t="s">
        <v>57</v>
      </c>
      <c r="AR2" s="301" t="s">
        <v>453</v>
      </c>
      <c r="AS2" s="302" t="s">
        <v>455</v>
      </c>
      <c r="AT2" s="302" t="s">
        <v>456</v>
      </c>
      <c r="AU2" s="559"/>
      <c r="AV2" s="557"/>
      <c r="AW2" s="559"/>
      <c r="AX2" s="560"/>
      <c r="AY2" s="562"/>
      <c r="AZ2" s="562"/>
      <c r="BA2" s="562"/>
      <c r="BB2" s="545"/>
    </row>
    <row r="3" spans="1:54" x14ac:dyDescent="0.2">
      <c r="A3" s="291"/>
      <c r="B3" s="304" t="s">
        <v>236</v>
      </c>
      <c r="C3" s="305"/>
      <c r="D3" s="305" t="s">
        <v>8</v>
      </c>
      <c r="E3" s="305"/>
      <c r="F3" s="305" t="s">
        <v>234</v>
      </c>
      <c r="G3" s="305"/>
      <c r="H3" s="306" t="s">
        <v>7</v>
      </c>
      <c r="I3" s="299" t="str">
        <f>IF('【様式第６号】事業計画書兼チェックシート（新築）'!N12="","",'【様式第６号】事業計画書兼チェックシート（新築）'!N12)</f>
        <v/>
      </c>
      <c r="J3" s="299" t="str">
        <f>IF('【様式第６号】事業計画書兼チェックシート（新築）'!O10="","",'【様式第６号】事業計画書兼チェックシート（新築）'!O10)</f>
        <v/>
      </c>
      <c r="K3" s="300" t="str">
        <f>IF('【様式第６号】事業計画書兼チェックシート（新築）'!N11="","",'【様式第６号】事業計画書兼チェックシート（新築）'!N11)</f>
        <v/>
      </c>
      <c r="L3" s="300" t="str">
        <f>IF('【様式第６号】事業計画書兼チェックシート（新築）'!N13="","",'【様式第６号】事業計画書兼チェックシート（新築）'!N13)</f>
        <v/>
      </c>
      <c r="M3" s="300" t="str">
        <f>IF('【様式第６号】事業計画書兼チェックシート（新築）'!M28="","",'【様式第６号】事業計画書兼チェックシート（新築）'!M28)</f>
        <v/>
      </c>
      <c r="N3" s="300" t="str">
        <f>IF('【様式第６号】事業計画書兼チェックシート（新築）'!I29="","",'【様式第６号】事業計画書兼チェックシート（新築）'!I29)</f>
        <v/>
      </c>
      <c r="O3" s="300" t="str">
        <f>IF('【様式第６号】事業計画書兼チェックシート（新築）'!I31="","",'【様式第６号】事業計画書兼チェックシート（新築）'!I31)</f>
        <v/>
      </c>
      <c r="P3" s="300" t="str">
        <f>IF('【様式第６号】事業計画書兼チェックシート（新築）'!S31="","",'【様式第６号】事業計画書兼チェックシート（新築）'!S31)</f>
        <v/>
      </c>
      <c r="Q3" s="300" t="str">
        <f>IF('【様式第６号】事業計画書兼チェックシート（新築）'!I32="","",'【様式第６号】事業計画書兼チェックシート（新築）'!I32)</f>
        <v/>
      </c>
      <c r="R3" s="307" t="str">
        <f>IF(Q3="","",P3/Q3)</f>
        <v/>
      </c>
      <c r="S3" s="308" t="s">
        <v>236</v>
      </c>
      <c r="T3" s="309" t="str">
        <f>IF('【様式第６号】事業計画書兼チェックシート（新築）'!N37="","",'【様式第６号】事業計画書兼チェックシート（新築）'!N37)</f>
        <v/>
      </c>
      <c r="U3" s="309" t="s">
        <v>8</v>
      </c>
      <c r="V3" s="309" t="str">
        <f>IF('【様式第６号】事業計画書兼チェックシート（新築）'!S37="","",'【様式第６号】事業計画書兼チェックシート（新築）'!S37)</f>
        <v/>
      </c>
      <c r="W3" s="309" t="s">
        <v>234</v>
      </c>
      <c r="X3" s="309" t="str">
        <f>IF('【様式第６号】事業計画書兼チェックシート（新築）'!V37="","",'【様式第６号】事業計画書兼チェックシート（新築）'!V37)</f>
        <v/>
      </c>
      <c r="Y3" s="310" t="s">
        <v>7</v>
      </c>
      <c r="Z3" s="308" t="s">
        <v>236</v>
      </c>
      <c r="AA3" s="309" t="str">
        <f>IF('【様式第６号】事業計画書兼チェックシート（新築）'!N38="","",'【様式第６号】事業計画書兼チェックシート（新築）'!N38)</f>
        <v/>
      </c>
      <c r="AB3" s="309" t="s">
        <v>8</v>
      </c>
      <c r="AC3" s="309" t="str">
        <f>IF('【様式第６号】事業計画書兼チェックシート（新築）'!S38="","",'【様式第６号】事業計画書兼チェックシート（新築）'!S38)</f>
        <v/>
      </c>
      <c r="AD3" s="309" t="s">
        <v>234</v>
      </c>
      <c r="AE3" s="309" t="str">
        <f>IF('【様式第６号】事業計画書兼チェックシート（新築）'!V38="","",'【様式第６号】事業計画書兼チェックシート（新築）'!V38)</f>
        <v/>
      </c>
      <c r="AF3" s="310" t="s">
        <v>7</v>
      </c>
      <c r="AG3" s="300" t="str">
        <f>IF('【様式第６号】事業計画書兼チェックシート（新築）'!I41="","",'【様式第６号】事業計画書兼チェックシート（新築）'!I41)</f>
        <v/>
      </c>
      <c r="AH3" s="300" t="str">
        <f>IF('【様式第６号】事業計画書兼チェックシート（新築）'!I42="","",'【様式第６号】事業計画書兼チェックシート（新築）'!I42)</f>
        <v/>
      </c>
      <c r="AI3" s="300" t="str">
        <f>IF('【様式第６号】事業計画書兼チェックシート（新築）'!I43="","",'【様式第６号】事業計画書兼チェックシート（新築）'!I43)</f>
        <v/>
      </c>
      <c r="AJ3" s="300" t="str">
        <f>IF('【様式第６号】事業計画書兼チェックシート（新築）'!U52="","",'【様式第６号】事業計画書兼チェックシート（新築）'!U52)</f>
        <v/>
      </c>
      <c r="AK3" s="300">
        <f>IF(AJ3="T-G1",1,0)</f>
        <v>0</v>
      </c>
      <c r="AL3" s="300">
        <f>IF(AJ3="T-G2",1,0)</f>
        <v>0</v>
      </c>
      <c r="AM3" s="300">
        <f>IF(AJ3="T-G3",1,0)</f>
        <v>0</v>
      </c>
      <c r="AN3" s="300">
        <f>IF('【様式第６号】事業計画書兼チェックシート（新築）'!B55="",0,1)</f>
        <v>0</v>
      </c>
      <c r="AO3" s="300" t="str">
        <f>IF('【様式第６号】事業計画書兼チェックシート（新築）'!U55="","",'【様式第６号】事業計画書兼チェックシート（新築）'!U55)</f>
        <v/>
      </c>
      <c r="AP3" s="300">
        <f>IF('【様式第６号】事業計画書兼チェックシート（新築）'!B58="",0,1)</f>
        <v>0</v>
      </c>
      <c r="AQ3" s="300" t="str">
        <f>IF('【様式第６号】事業計画書兼チェックシート（新築）'!U58="","",'【様式第６号】事業計画書兼チェックシート（新築）'!U58)</f>
        <v/>
      </c>
      <c r="AR3" s="300">
        <f>IF('【様式第６号】事業計画書兼チェックシート（新築）'!B66="",0,1)</f>
        <v>0</v>
      </c>
      <c r="AS3" s="300">
        <f>IF('【様式第６号】事業計画書兼チェックシート（新築）'!B90="",0,1)</f>
        <v>0</v>
      </c>
      <c r="AT3" s="300">
        <f>IF('【様式第６号】事業計画書兼チェックシート（新築）'!B90="",IF('【様式第６号】事業計画書兼チェックシート（新築）'!B64="",0,1),0)</f>
        <v>0</v>
      </c>
      <c r="AU3" s="311">
        <f>IF('【様式第６号】事業計画書兼チェックシート（新築）'!T237="","",'【様式第６号】事業計画書兼チェックシート（新築）'!T237*10000)</f>
        <v>0</v>
      </c>
      <c r="AV3" s="292"/>
      <c r="AW3" s="292"/>
      <c r="AX3" s="293"/>
      <c r="AY3" s="294"/>
      <c r="AZ3" s="294"/>
      <c r="BA3" s="294"/>
      <c r="BB3" s="295"/>
    </row>
    <row r="4" spans="1:54" x14ac:dyDescent="0.2">
      <c r="B4" s="289" t="s">
        <v>465</v>
      </c>
    </row>
  </sheetData>
  <sheetProtection algorithmName="SHA-512" hashValue="fpjQBUpCknQOFRK1dQNhydvOE22X8TMHKJDa5QivKIpVYtPlnNlyzm/lSnDbIS3eyWXV4oPcs0gOXfd7/jDuQw==" saltValue="nDo5Z98kf6rykEMduguBgw==" spinCount="100000" sheet="1" objects="1" scenarios="1"/>
  <mergeCells count="20">
    <mergeCell ref="A1:A2"/>
    <mergeCell ref="I1:I2"/>
    <mergeCell ref="AP1:AQ1"/>
    <mergeCell ref="AS1:AT1"/>
    <mergeCell ref="BB1:BB2"/>
    <mergeCell ref="B1:H2"/>
    <mergeCell ref="J1:L1"/>
    <mergeCell ref="M1:N1"/>
    <mergeCell ref="S1:Y2"/>
    <mergeCell ref="Z1:AF2"/>
    <mergeCell ref="AG1:AI1"/>
    <mergeCell ref="AJ1:AJ2"/>
    <mergeCell ref="AN1:AO1"/>
    <mergeCell ref="AV1:AV2"/>
    <mergeCell ref="AW1:AW2"/>
    <mergeCell ref="AX1:AX2"/>
    <mergeCell ref="AY1:AY2"/>
    <mergeCell ref="AZ1:AZ2"/>
    <mergeCell ref="BA1:BA2"/>
    <mergeCell ref="AU1:AU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【様式第６号】事業計画書兼チェックシート（新築）</vt:lpstr>
      <vt:lpstr>【様式第６号】（別紙）補助金併用一覧</vt:lpstr>
      <vt:lpstr>【規則様式第１号】交付申請書（計画書連動）（住まいる）</vt:lpstr>
      <vt:lpstr>【規則様式第１号】交付申請書（計画書連動）（未来型）</vt:lpstr>
      <vt:lpstr>住まいる台帳コピー</vt:lpstr>
      <vt:lpstr>未来型台帳コピー</vt:lpstr>
      <vt:lpstr>'【規則様式第１号】交付申請書（計画書連動）（住まいる）'!Print_Area</vt:lpstr>
      <vt:lpstr>'【規則様式第１号】交付申請書（計画書連動）（未来型）'!Print_Area</vt:lpstr>
      <vt:lpstr>'【様式第６号】（別紙）補助金併用一覧'!Print_Area</vt:lpstr>
      <vt:lpstr>'【様式第６号】事業計画書兼チェックシート（新築）'!Print_Area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増井 祐介</cp:lastModifiedBy>
  <cp:lastPrinted>2023-01-16T06:41:31Z</cp:lastPrinted>
  <dcterms:created xsi:type="dcterms:W3CDTF">2017-01-19T07:37:02Z</dcterms:created>
  <dcterms:modified xsi:type="dcterms:W3CDTF">2025-04-01T06:54:19Z</dcterms:modified>
</cp:coreProperties>
</file>