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Z:\Desktop\"/>
    </mc:Choice>
  </mc:AlternateContent>
  <bookViews>
    <workbookView xWindow="0" yWindow="0" windowWidth="14370" windowHeight="6420" tabRatio="848"/>
  </bookViews>
  <sheets>
    <sheet name="【様式第６号】事業計画書兼チェックシート（新築）" sheetId="11" r:id="rId1"/>
    <sheet name="【様式第６号】（別紙）補助金併用一覧" sheetId="15" state="hidden" r:id="rId2"/>
    <sheet name="交付申請書（計画書連動）（住まいる）" sheetId="12" r:id="rId3"/>
    <sheet name="交付申請書（計画書連動）（未来型）" sheetId="18" r:id="rId4"/>
    <sheet name="様式11号（省エネ性能説明書）" sheetId="20" r:id="rId5"/>
    <sheet name="住まいる台帳コピー" sheetId="16" r:id="rId6"/>
    <sheet name="未来型台帳コピー" sheetId="17" r:id="rId7"/>
  </sheets>
  <externalReferences>
    <externalReference r:id="rId8"/>
  </externalReferences>
  <definedNames>
    <definedName name="_xlnm.Print_Area" localSheetId="1">'【様式第６号】（別紙）補助金併用一覧'!$A$1:$E$32</definedName>
    <definedName name="_xlnm.Print_Area" localSheetId="0">'【様式第６号】事業計画書兼チェックシート（新築）'!$A$1:$AA$263</definedName>
    <definedName name="_xlnm.Print_Area" localSheetId="2">'交付申請書（計画書連動）（住まいる）'!$A$1:$Z$40</definedName>
    <definedName name="_xlnm.Print_Area" localSheetId="3">'交付申請書（計画書連動）（未来型）'!$A$1:$Z$40</definedName>
    <definedName name="_xlnm.Print_Area" localSheetId="4">'様式11号（省エネ性能説明書）'!$A$1:$V$50</definedName>
  </definedNames>
  <calcPr calcId="162913"/>
</workbook>
</file>

<file path=xl/calcChain.xml><?xml version="1.0" encoding="utf-8"?>
<calcChain xmlns="http://schemas.openxmlformats.org/spreadsheetml/2006/main">
  <c r="BG28" i="11" l="1"/>
  <c r="DG11" i="16" l="1"/>
  <c r="D73" i="11"/>
  <c r="Y105" i="11" l="1"/>
  <c r="DF11" i="16" l="1"/>
  <c r="DJ11" i="16" l="1"/>
  <c r="DI11" i="16"/>
  <c r="DH11" i="16"/>
  <c r="G9" i="20"/>
  <c r="D9" i="20"/>
  <c r="DE11" i="16"/>
  <c r="DD11" i="16"/>
  <c r="DD13" i="16" s="1"/>
  <c r="DC11" i="16"/>
  <c r="DB11" i="16"/>
  <c r="DB13" i="16" s="1"/>
  <c r="DA11" i="16"/>
  <c r="CZ11" i="16"/>
  <c r="CZ13" i="16" s="1"/>
  <c r="CY11" i="16"/>
  <c r="CX11" i="16"/>
  <c r="CX13" i="16" s="1"/>
  <c r="CW11" i="16"/>
  <c r="CV11" i="16"/>
  <c r="CK11" i="16"/>
  <c r="AY11" i="16"/>
  <c r="AX11" i="16"/>
  <c r="AX13" i="16" s="1"/>
  <c r="AW11" i="16"/>
  <c r="D48" i="11" l="1"/>
  <c r="AB30" i="11" l="1"/>
  <c r="AB232" i="11"/>
  <c r="T232" i="11" s="1"/>
  <c r="AB58" i="11"/>
  <c r="AB55" i="11"/>
  <c r="AB52" i="11"/>
  <c r="H27" i="18"/>
  <c r="H26" i="18"/>
  <c r="O11" i="18"/>
  <c r="O10" i="18"/>
  <c r="O9" i="18"/>
  <c r="P8" i="18"/>
  <c r="W2" i="18"/>
  <c r="T2" i="18"/>
  <c r="Q2" i="18"/>
  <c r="M22" i="18" l="1"/>
  <c r="M21" i="18"/>
  <c r="AT3" i="17"/>
  <c r="AS3" i="17"/>
  <c r="AR3" i="17"/>
  <c r="AQ3" i="17"/>
  <c r="AP3" i="17"/>
  <c r="AO3" i="17"/>
  <c r="AN3" i="17"/>
  <c r="AJ3" i="17"/>
  <c r="AM3" i="17" s="1"/>
  <c r="AI3" i="17"/>
  <c r="AH3" i="17"/>
  <c r="AG3" i="17"/>
  <c r="Q3" i="17"/>
  <c r="R3" i="17" s="1"/>
  <c r="P3" i="17"/>
  <c r="O3" i="17"/>
  <c r="AE3" i="17"/>
  <c r="AC3" i="17"/>
  <c r="AA3" i="17"/>
  <c r="X3" i="17"/>
  <c r="V3" i="17"/>
  <c r="T3" i="17"/>
  <c r="AK3" i="17" l="1"/>
  <c r="AL3" i="17"/>
  <c r="N3" i="17" l="1"/>
  <c r="M3" i="17"/>
  <c r="L3" i="17"/>
  <c r="J3" i="17"/>
  <c r="K3" i="17"/>
  <c r="I3" i="17"/>
  <c r="AC11" i="16" l="1"/>
  <c r="Y11" i="16"/>
  <c r="V11" i="16"/>
  <c r="S11" i="16"/>
  <c r="P11" i="16"/>
  <c r="FA11" i="16"/>
  <c r="EZ11" i="16"/>
  <c r="EY11" i="16"/>
  <c r="EX11" i="16"/>
  <c r="EW11" i="16"/>
  <c r="EV11" i="16"/>
  <c r="EU11" i="16"/>
  <c r="EQ11" i="16"/>
  <c r="EP11" i="16"/>
  <c r="EL11" i="16"/>
  <c r="EK11" i="16"/>
  <c r="EE11" i="16"/>
  <c r="ED11" i="16" s="1"/>
  <c r="EB11" i="16"/>
  <c r="DW11" i="16"/>
  <c r="DV11" i="16" s="1"/>
  <c r="DR11" i="16"/>
  <c r="DQ11" i="16" s="1"/>
  <c r="DM11" i="16"/>
  <c r="DO11" i="16" s="1"/>
  <c r="DL11" i="16"/>
  <c r="GR10" i="16"/>
  <c r="GQ10" i="16"/>
  <c r="GK10" i="16"/>
  <c r="GC10" i="16"/>
  <c r="FW10" i="16"/>
  <c r="FR10" i="16"/>
  <c r="FP10" i="16"/>
  <c r="FI10" i="16"/>
  <c r="FB10" i="16"/>
  <c r="ET10" i="16" s="1"/>
  <c r="EO10" i="16"/>
  <c r="EJ10" i="16"/>
  <c r="ED10" i="16"/>
  <c r="EA10" i="16"/>
  <c r="DV10" i="16"/>
  <c r="DQ10" i="16"/>
  <c r="DO10" i="16"/>
  <c r="EG10" i="16" s="1"/>
  <c r="GK9" i="16"/>
  <c r="GC9" i="16"/>
  <c r="FW9" i="16"/>
  <c r="FR9" i="16"/>
  <c r="FP9" i="16"/>
  <c r="FB9" i="16"/>
  <c r="FC9" i="16" s="1"/>
  <c r="EO9" i="16"/>
  <c r="EJ9" i="16"/>
  <c r="ED9" i="16"/>
  <c r="EA9" i="16"/>
  <c r="DV9" i="16"/>
  <c r="DQ9" i="16"/>
  <c r="DO9" i="16"/>
  <c r="GR8" i="16"/>
  <c r="GQ8" i="16"/>
  <c r="GK8" i="16"/>
  <c r="GC8" i="16"/>
  <c r="FW8" i="16"/>
  <c r="FR8" i="16"/>
  <c r="FP8" i="16"/>
  <c r="FI8" i="16"/>
  <c r="FB8" i="16"/>
  <c r="ET8" i="16" s="1"/>
  <c r="EO8" i="16"/>
  <c r="EJ8" i="16"/>
  <c r="ED8" i="16"/>
  <c r="EA8" i="16"/>
  <c r="DV8" i="16"/>
  <c r="DQ8" i="16"/>
  <c r="DO8" i="16"/>
  <c r="DY8" i="16" s="1"/>
  <c r="GC7" i="16"/>
  <c r="FW7" i="16"/>
  <c r="FR7" i="16"/>
  <c r="FP7" i="16"/>
  <c r="FI7" i="16"/>
  <c r="FB7" i="16"/>
  <c r="ET7" i="16" s="1"/>
  <c r="EO7" i="16"/>
  <c r="EJ7" i="16"/>
  <c r="ED7" i="16"/>
  <c r="EA7" i="16"/>
  <c r="DV7" i="16"/>
  <c r="DQ7" i="16"/>
  <c r="DO7" i="16"/>
  <c r="GK6" i="16"/>
  <c r="GC6" i="16"/>
  <c r="FW6" i="16"/>
  <c r="FR6" i="16"/>
  <c r="FP6" i="16"/>
  <c r="FB6" i="16"/>
  <c r="FC6" i="16" s="1"/>
  <c r="EO6" i="16"/>
  <c r="EJ6" i="16"/>
  <c r="ED6" i="16"/>
  <c r="EA6" i="16"/>
  <c r="DV6" i="16"/>
  <c r="DQ6" i="16"/>
  <c r="DO6" i="16"/>
  <c r="EG6" i="16" s="1"/>
  <c r="ET6" i="16" l="1"/>
  <c r="FC10" i="16"/>
  <c r="DT10" i="16"/>
  <c r="GA7" i="16"/>
  <c r="DT6" i="16"/>
  <c r="GG6" i="16"/>
  <c r="ER9" i="16"/>
  <c r="FU9" i="16"/>
  <c r="GA8" i="16"/>
  <c r="GA10" i="16"/>
  <c r="GG7" i="16"/>
  <c r="EC10" i="16"/>
  <c r="EH10" i="16" s="1"/>
  <c r="EM8" i="16"/>
  <c r="EM7" i="16"/>
  <c r="EC7" i="16"/>
  <c r="EG8" i="16"/>
  <c r="GG9" i="16"/>
  <c r="ER10" i="16"/>
  <c r="GG10" i="16"/>
  <c r="EO11" i="16"/>
  <c r="EM10" i="16"/>
  <c r="GG8" i="16"/>
  <c r="FU6" i="16"/>
  <c r="GA9" i="16"/>
  <c r="DY10" i="16"/>
  <c r="GS10" i="16"/>
  <c r="EJ11" i="16"/>
  <c r="EM11" i="16" s="1"/>
  <c r="FB11" i="16"/>
  <c r="ET11" i="16" s="1"/>
  <c r="GA6" i="16"/>
  <c r="FU7" i="16"/>
  <c r="DT8" i="16"/>
  <c r="ER8" i="16"/>
  <c r="FC8" i="16"/>
  <c r="EC9" i="16"/>
  <c r="ER6" i="16"/>
  <c r="EM6" i="16"/>
  <c r="DY7" i="16"/>
  <c r="ER7" i="16"/>
  <c r="EC8" i="16"/>
  <c r="GS8" i="16"/>
  <c r="DY11" i="16"/>
  <c r="DT11" i="16"/>
  <c r="EG11" i="16"/>
  <c r="EC11" i="16"/>
  <c r="FC7" i="16"/>
  <c r="EC6" i="16"/>
  <c r="EH6" i="16" s="1"/>
  <c r="DT7" i="16"/>
  <c r="EG7" i="16"/>
  <c r="EH7" i="16" s="1"/>
  <c r="FU8" i="16"/>
  <c r="DT9" i="16"/>
  <c r="EG9" i="16"/>
  <c r="EM9" i="16"/>
  <c r="FU10" i="16"/>
  <c r="DY6" i="16"/>
  <c r="ET9" i="16"/>
  <c r="EA11" i="16"/>
  <c r="DY9" i="16"/>
  <c r="EH8" i="16" l="1"/>
  <c r="EH9" i="16"/>
  <c r="ER11" i="16"/>
  <c r="FC11" i="16"/>
  <c r="EH11" i="16"/>
  <c r="Q2" i="12" l="1"/>
  <c r="CN11" i="16" l="1"/>
  <c r="CM11" i="16"/>
  <c r="CM13" i="16" s="1"/>
  <c r="CL11" i="16"/>
  <c r="CL13" i="16" s="1"/>
  <c r="CJ11" i="16"/>
  <c r="CI11" i="16"/>
  <c r="CI13" i="16" s="1"/>
  <c r="CE11" i="16"/>
  <c r="CC11" i="16"/>
  <c r="CA11" i="16"/>
  <c r="BY11" i="16"/>
  <c r="BW11" i="16"/>
  <c r="BU11" i="16"/>
  <c r="AT11" i="16"/>
  <c r="AT13" i="16" s="1"/>
  <c r="AS11" i="16"/>
  <c r="AS13" i="16" s="1"/>
  <c r="AR11" i="16"/>
  <c r="AR13" i="16" s="1"/>
  <c r="Z11" i="16"/>
  <c r="AB11" i="16"/>
  <c r="V13" i="16"/>
  <c r="R11" i="16"/>
  <c r="P13" i="16"/>
  <c r="O11" i="16"/>
  <c r="O13" i="16" s="1"/>
  <c r="N11" i="16"/>
  <c r="M11" i="16"/>
  <c r="L11" i="16"/>
  <c r="K11" i="16"/>
  <c r="K13" i="16" s="1"/>
  <c r="J11" i="16"/>
  <c r="I11" i="16"/>
  <c r="B7" i="16"/>
  <c r="E7" i="16"/>
  <c r="Q7" i="16"/>
  <c r="R7" i="16"/>
  <c r="U7" i="16"/>
  <c r="AB7" i="16"/>
  <c r="X7" i="16"/>
  <c r="Z7" i="16"/>
  <c r="AE7" i="16"/>
  <c r="AI7" i="16"/>
  <c r="AU7" i="16"/>
  <c r="AM7" i="16" s="1"/>
  <c r="AZ7" i="16"/>
  <c r="BD7" i="16"/>
  <c r="BE7" i="16"/>
  <c r="BI7" i="16"/>
  <c r="BN7" i="16"/>
  <c r="B8" i="16"/>
  <c r="E8" i="16"/>
  <c r="Q8" i="16"/>
  <c r="R8" i="16"/>
  <c r="U8" i="16"/>
  <c r="AB8" i="16"/>
  <c r="X8" i="16"/>
  <c r="Z8" i="16"/>
  <c r="AE8" i="16"/>
  <c r="AI8" i="16"/>
  <c r="AU8" i="16"/>
  <c r="AM8" i="16" s="1"/>
  <c r="BD8" i="16"/>
  <c r="FQ8" i="16" s="1"/>
  <c r="BE8" i="16"/>
  <c r="BI8" i="16"/>
  <c r="BN8" i="16"/>
  <c r="BT8" i="16"/>
  <c r="GL8" i="16" s="1"/>
  <c r="B9" i="16"/>
  <c r="E9" i="16"/>
  <c r="Q9" i="16"/>
  <c r="R9" i="16"/>
  <c r="U9" i="16"/>
  <c r="AB9" i="16"/>
  <c r="X9" i="16"/>
  <c r="Z9" i="16"/>
  <c r="AE9" i="16"/>
  <c r="AI9" i="16"/>
  <c r="AU9" i="16"/>
  <c r="BD9" i="16"/>
  <c r="FQ9" i="16" s="1"/>
  <c r="BE9" i="16"/>
  <c r="BI9" i="16"/>
  <c r="BN9" i="16"/>
  <c r="BT9" i="16"/>
  <c r="GL9" i="16" s="1"/>
  <c r="B10" i="16"/>
  <c r="E10" i="16"/>
  <c r="Q10" i="16"/>
  <c r="R10" i="16"/>
  <c r="U10" i="16"/>
  <c r="AB10" i="16"/>
  <c r="X10" i="16"/>
  <c r="Z10" i="16"/>
  <c r="AE10" i="16"/>
  <c r="AI10" i="16"/>
  <c r="AU10" i="16"/>
  <c r="AM10" i="16" s="1"/>
  <c r="AZ10" i="16"/>
  <c r="FJ10" i="16" s="1"/>
  <c r="BD10" i="16"/>
  <c r="FQ10" i="16" s="1"/>
  <c r="BE10" i="16"/>
  <c r="BI10" i="16"/>
  <c r="BN10" i="16"/>
  <c r="BT10" i="16"/>
  <c r="GL10" i="16" s="1"/>
  <c r="B11" i="16"/>
  <c r="E11" i="16"/>
  <c r="EE13" i="16"/>
  <c r="FP13" i="16"/>
  <c r="GJ13" i="16"/>
  <c r="GI13" i="16"/>
  <c r="GF13" i="16"/>
  <c r="GE13" i="16"/>
  <c r="GD13" i="16"/>
  <c r="FZ13" i="16"/>
  <c r="FY13" i="16"/>
  <c r="FX13" i="16"/>
  <c r="FT13" i="16"/>
  <c r="FS13" i="16"/>
  <c r="FO13" i="16"/>
  <c r="FN13" i="16"/>
  <c r="FM13" i="16"/>
  <c r="FL13" i="16"/>
  <c r="FK13" i="16"/>
  <c r="FH13" i="16"/>
  <c r="FG13" i="16"/>
  <c r="FF13" i="16"/>
  <c r="FE13" i="16"/>
  <c r="FA13" i="16"/>
  <c r="EZ13" i="16"/>
  <c r="EY13" i="16"/>
  <c r="EX13" i="16"/>
  <c r="EW13" i="16"/>
  <c r="EV13" i="16"/>
  <c r="EU13" i="16"/>
  <c r="EQ13" i="16"/>
  <c r="EP13" i="16"/>
  <c r="EL13" i="16"/>
  <c r="EK13" i="16"/>
  <c r="EF13" i="16"/>
  <c r="EC13" i="16"/>
  <c r="EB13" i="16"/>
  <c r="DX13" i="16"/>
  <c r="DW13" i="16"/>
  <c r="DS13" i="16"/>
  <c r="DR13" i="16"/>
  <c r="DN13" i="16"/>
  <c r="DM13" i="16"/>
  <c r="DL13" i="16"/>
  <c r="CV13" i="16"/>
  <c r="CK13" i="16"/>
  <c r="BS13" i="16"/>
  <c r="BQ13" i="16"/>
  <c r="BP13" i="16"/>
  <c r="BO13" i="16"/>
  <c r="BL13" i="16"/>
  <c r="BK13" i="16"/>
  <c r="BJ13" i="16"/>
  <c r="BG13" i="16"/>
  <c r="BF13" i="16"/>
  <c r="BC13" i="16"/>
  <c r="BB13" i="16"/>
  <c r="BA13" i="16"/>
  <c r="AY13" i="16"/>
  <c r="AW13" i="16"/>
  <c r="G13" i="16"/>
  <c r="D13" i="16"/>
  <c r="BI13" i="16"/>
  <c r="BT6" i="16"/>
  <c r="GL6" i="16" s="1"/>
  <c r="BN6" i="16"/>
  <c r="BI6" i="16"/>
  <c r="BE6" i="16"/>
  <c r="BD6" i="16"/>
  <c r="FQ6" i="16" s="1"/>
  <c r="AU6" i="16"/>
  <c r="AM6" i="16" s="1"/>
  <c r="AI6" i="16"/>
  <c r="AE6" i="16"/>
  <c r="Z6" i="16"/>
  <c r="X6" i="16"/>
  <c r="AB6" i="16"/>
  <c r="U6" i="16"/>
  <c r="R6" i="16"/>
  <c r="Q6" i="16"/>
  <c r="E6" i="16"/>
  <c r="B6" i="16"/>
  <c r="BR9" i="16" l="1"/>
  <c r="GH9" i="16" s="1"/>
  <c r="DP10" i="16"/>
  <c r="AH10" i="16"/>
  <c r="EN10" i="16" s="1"/>
  <c r="BM9" i="16"/>
  <c r="GB9" i="16" s="1"/>
  <c r="T7" i="16"/>
  <c r="DU7" i="16" s="1"/>
  <c r="DP7" i="16"/>
  <c r="AH7" i="16"/>
  <c r="EN7" i="16" s="1"/>
  <c r="DP6" i="16"/>
  <c r="AH6" i="16"/>
  <c r="EN6" i="16" s="1"/>
  <c r="BH7" i="16"/>
  <c r="FV7" i="16" s="1"/>
  <c r="FQ7" i="16"/>
  <c r="FJ7" i="16"/>
  <c r="T9" i="16"/>
  <c r="DU9" i="16" s="1"/>
  <c r="DP9" i="16"/>
  <c r="AH9" i="16"/>
  <c r="EN9" i="16" s="1"/>
  <c r="T8" i="16"/>
  <c r="DU8" i="16" s="1"/>
  <c r="DP8" i="16"/>
  <c r="AH8" i="16"/>
  <c r="EN8" i="16" s="1"/>
  <c r="X11" i="16"/>
  <c r="X13" i="16" s="1"/>
  <c r="Y13" i="16"/>
  <c r="S13" i="16"/>
  <c r="W8" i="16"/>
  <c r="DZ8" i="16" s="1"/>
  <c r="Z13" i="16"/>
  <c r="AC13" i="16"/>
  <c r="BR10" i="16"/>
  <c r="GH10" i="16" s="1"/>
  <c r="CH10" i="16"/>
  <c r="Q11" i="16"/>
  <c r="U11" i="16"/>
  <c r="U13" i="16" s="1"/>
  <c r="BM10" i="16"/>
  <c r="GB10" i="16" s="1"/>
  <c r="BH10" i="16"/>
  <c r="FV10" i="16" s="1"/>
  <c r="BR7" i="16"/>
  <c r="BH6" i="16"/>
  <c r="FV6" i="16" s="1"/>
  <c r="W9" i="16"/>
  <c r="DZ9" i="16" s="1"/>
  <c r="BM7" i="16"/>
  <c r="GB7" i="16" s="1"/>
  <c r="AD8" i="16"/>
  <c r="AA8" i="16" s="1"/>
  <c r="EI8" i="16" s="1"/>
  <c r="AV8" i="16"/>
  <c r="FD8" i="16" s="1"/>
  <c r="AL8" i="16"/>
  <c r="ES8" i="16" s="1"/>
  <c r="AV7" i="16"/>
  <c r="FD7" i="16" s="1"/>
  <c r="W7" i="16"/>
  <c r="DZ7" i="16" s="1"/>
  <c r="AD9" i="16"/>
  <c r="AA9" i="16" s="1"/>
  <c r="EI9" i="16" s="1"/>
  <c r="AV6" i="16"/>
  <c r="FD6" i="16" s="1"/>
  <c r="AV10" i="16"/>
  <c r="FD10" i="16" s="1"/>
  <c r="BH9" i="16"/>
  <c r="FV9" i="16" s="1"/>
  <c r="AL9" i="16"/>
  <c r="ES9" i="16" s="1"/>
  <c r="AL7" i="16"/>
  <c r="ES7" i="16" s="1"/>
  <c r="EJ13" i="16"/>
  <c r="BR6" i="16"/>
  <c r="GH6" i="16" s="1"/>
  <c r="DQ13" i="16"/>
  <c r="AB13" i="16"/>
  <c r="R13" i="16"/>
  <c r="AV9" i="16"/>
  <c r="FD9" i="16" s="1"/>
  <c r="AM9" i="16"/>
  <c r="BH8" i="16"/>
  <c r="FV8" i="16" s="1"/>
  <c r="BR8" i="16"/>
  <c r="GH8" i="16" s="1"/>
  <c r="AL10" i="16"/>
  <c r="ES10" i="16" s="1"/>
  <c r="T10" i="16"/>
  <c r="DU10" i="16" s="1"/>
  <c r="AD10" i="16"/>
  <c r="AA10" i="16" s="1"/>
  <c r="EI10" i="16" s="1"/>
  <c r="W10" i="16"/>
  <c r="DZ10" i="16" s="1"/>
  <c r="BM8" i="16"/>
  <c r="GB8" i="16" s="1"/>
  <c r="AD7" i="16"/>
  <c r="AA7" i="16" s="1"/>
  <c r="EI7" i="16" s="1"/>
  <c r="GC13" i="16"/>
  <c r="B13" i="16"/>
  <c r="FW13" i="16"/>
  <c r="AL6" i="16"/>
  <c r="ES6" i="16" s="1"/>
  <c r="T6" i="16"/>
  <c r="DU6" i="16" s="1"/>
  <c r="BM6" i="16"/>
  <c r="GB6" i="16" s="1"/>
  <c r="BE13" i="16"/>
  <c r="DO13" i="16"/>
  <c r="FR13" i="16"/>
  <c r="W6" i="16"/>
  <c r="DZ6" i="16" s="1"/>
  <c r="BD13" i="16"/>
  <c r="AD6" i="16"/>
  <c r="AA6" i="16" s="1"/>
  <c r="EI6" i="16" s="1"/>
  <c r="E13" i="16"/>
  <c r="BN13" i="16"/>
  <c r="EA13" i="16"/>
  <c r="DV13" i="16"/>
  <c r="EO13" i="16"/>
  <c r="FB13" i="16"/>
  <c r="B96" i="11"/>
  <c r="AB96" i="11" s="1"/>
  <c r="T11" i="16" l="1"/>
  <c r="DU11" i="16" s="1"/>
  <c r="DU13" i="16" s="1"/>
  <c r="DP11" i="16"/>
  <c r="DP13" i="16" s="1"/>
  <c r="AD11" i="16"/>
  <c r="AA11" i="16" s="1"/>
  <c r="EI11" i="16" s="1"/>
  <c r="BT7" i="16"/>
  <c r="GH7" i="16"/>
  <c r="GK7" i="16"/>
  <c r="GR7" i="16" s="1"/>
  <c r="W11" i="16"/>
  <c r="DZ11" i="16" s="1"/>
  <c r="Q13" i="16"/>
  <c r="AZ9" i="16"/>
  <c r="DT13" i="16"/>
  <c r="ET13" i="16"/>
  <c r="AZ8" i="16"/>
  <c r="FJ8" i="16" s="1"/>
  <c r="DY13" i="16"/>
  <c r="FC13" i="16"/>
  <c r="EG13" i="16"/>
  <c r="BM13" i="16"/>
  <c r="GA13" i="16"/>
  <c r="AZ6" i="16"/>
  <c r="EM13" i="16"/>
  <c r="BR13" i="16"/>
  <c r="FU13" i="16"/>
  <c r="ED13" i="16"/>
  <c r="BH13" i="16"/>
  <c r="FV13" i="16"/>
  <c r="ER13" i="16"/>
  <c r="GG13" i="16"/>
  <c r="FQ13" i="16"/>
  <c r="C62" i="11"/>
  <c r="T2" i="12"/>
  <c r="W2" i="12"/>
  <c r="AU3" i="17" l="1"/>
  <c r="AA13" i="16"/>
  <c r="T13" i="16"/>
  <c r="GQ9" i="16"/>
  <c r="GQ6" i="16"/>
  <c r="GQ7" i="16"/>
  <c r="GS7" i="16" s="1"/>
  <c r="GL7" i="16"/>
  <c r="CH7" i="16"/>
  <c r="CH9" i="16"/>
  <c r="FI9" i="16" s="1"/>
  <c r="GR9" i="16" s="1"/>
  <c r="AD13" i="16"/>
  <c r="EI13" i="16"/>
  <c r="W13" i="16"/>
  <c r="CH8" i="16"/>
  <c r="GB13" i="16"/>
  <c r="DZ13" i="16"/>
  <c r="EH13" i="16"/>
  <c r="GK13" i="16"/>
  <c r="BT13" i="16"/>
  <c r="GH13" i="16"/>
  <c r="CH6" i="16"/>
  <c r="FI6" i="16" s="1"/>
  <c r="GR6" i="16" s="1"/>
  <c r="GS9" i="16" l="1"/>
  <c r="FJ9" i="16"/>
  <c r="GS6" i="16"/>
  <c r="FJ6" i="16"/>
  <c r="GL13" i="16"/>
  <c r="AC172" i="11"/>
  <c r="F174" i="11" s="1"/>
  <c r="AN11" i="16" s="1"/>
  <c r="AN13" i="16" l="1"/>
  <c r="D87" i="11"/>
  <c r="AB47" i="11" l="1"/>
  <c r="Y76" i="11" l="1"/>
  <c r="Y101" i="11" l="1"/>
  <c r="Y106" i="11" s="1"/>
  <c r="Y102" i="11"/>
  <c r="Y103" i="11"/>
  <c r="AB257" i="11" l="1"/>
  <c r="Y124" i="11" l="1"/>
  <c r="AH11" i="16" s="1"/>
  <c r="AB36" i="11"/>
  <c r="AF11" i="16" l="1"/>
  <c r="AF13" i="16" s="1"/>
  <c r="AG11" i="16"/>
  <c r="AG13" i="16" s="1"/>
  <c r="EN11" i="16"/>
  <c r="EN13" i="16" s="1"/>
  <c r="AB190" i="11"/>
  <c r="AB187" i="11"/>
  <c r="AB189" i="11"/>
  <c r="AB188" i="11"/>
  <c r="AE11" i="16" l="1"/>
  <c r="AE13" i="16" s="1"/>
  <c r="AH13" i="16"/>
  <c r="B170" i="11"/>
  <c r="H26" i="12" l="1"/>
  <c r="C242" i="11"/>
  <c r="AB28" i="11" l="1"/>
  <c r="AB43" i="11" l="1"/>
  <c r="AB11" i="11" l="1"/>
  <c r="AB261" i="11" l="1"/>
  <c r="AB260" i="11"/>
  <c r="AB259" i="11"/>
  <c r="AB258" i="11"/>
  <c r="AC184" i="11" l="1"/>
  <c r="F186" i="11" s="1"/>
  <c r="AP11" i="16" s="1"/>
  <c r="AP13" i="16" s="1"/>
  <c r="D8" i="15" l="1"/>
  <c r="D7" i="15"/>
  <c r="O10" i="12" l="1"/>
  <c r="O11" i="12"/>
  <c r="O9" i="12"/>
  <c r="P8" i="12"/>
  <c r="B5" i="12" l="1"/>
  <c r="B5" i="18"/>
  <c r="AB38" i="11"/>
  <c r="AB37" i="11"/>
  <c r="AB75" i="11"/>
  <c r="AB34" i="11" l="1"/>
  <c r="H27" i="12" l="1"/>
  <c r="AB223" i="11"/>
  <c r="AC217" i="11"/>
  <c r="F219" i="11" s="1"/>
  <c r="AB212" i="11"/>
  <c r="AC210" i="11"/>
  <c r="AB205" i="11"/>
  <c r="AC200" i="11"/>
  <c r="F202" i="11" s="1"/>
  <c r="AB195" i="11"/>
  <c r="AC192" i="11"/>
  <c r="F194" i="11" s="1"/>
  <c r="AQ11" i="16" s="1"/>
  <c r="AQ13" i="16" s="1"/>
  <c r="AB181" i="11"/>
  <c r="AB180" i="11"/>
  <c r="AC177" i="11"/>
  <c r="F179" i="11" s="1"/>
  <c r="AO11" i="16" s="1"/>
  <c r="U99" i="11"/>
  <c r="AB92" i="11"/>
  <c r="AB46" i="11"/>
  <c r="AB42" i="11"/>
  <c r="AB41" i="11"/>
  <c r="AB35" i="11"/>
  <c r="AB33" i="11"/>
  <c r="AB32" i="11"/>
  <c r="AB31" i="11"/>
  <c r="AB29" i="11"/>
  <c r="AB13" i="11"/>
  <c r="AB12" i="11"/>
  <c r="AB10" i="11"/>
  <c r="AB8" i="11"/>
  <c r="AO13" i="16" l="1"/>
  <c r="AU11" i="16"/>
  <c r="AV11" i="16" s="1"/>
  <c r="FD11" i="16" s="1"/>
  <c r="Y139" i="11"/>
  <c r="F212" i="11"/>
  <c r="F225" i="11" s="1"/>
  <c r="AB106" i="11"/>
  <c r="AL11" i="16" l="1"/>
  <c r="ES11" i="16" s="1"/>
  <c r="AJ11" i="16"/>
  <c r="AK11" i="16"/>
  <c r="AK13" i="16" s="1"/>
  <c r="AM11" i="16"/>
  <c r="AM13" i="16" s="1"/>
  <c r="AU13" i="16"/>
  <c r="Y165" i="11"/>
  <c r="T231" i="11" s="1"/>
  <c r="K227" i="11" s="1"/>
  <c r="AZ11" i="16" l="1"/>
  <c r="GQ11" i="16" s="1"/>
  <c r="FD13" i="16"/>
  <c r="AV13" i="16"/>
  <c r="AJ13" i="16"/>
  <c r="AI11" i="16"/>
  <c r="M22" i="12"/>
  <c r="AB227" i="11"/>
  <c r="M21" i="12" s="1"/>
  <c r="AB155" i="11"/>
  <c r="AB158" i="11"/>
  <c r="AB154" i="11"/>
  <c r="AB157" i="11"/>
  <c r="AB156" i="11"/>
  <c r="AI13" i="16" l="1"/>
  <c r="AL13" i="16" l="1"/>
  <c r="ES13" i="16"/>
  <c r="CH11" i="16" l="1"/>
  <c r="FI11" i="16" s="1"/>
  <c r="AZ13" i="16"/>
  <c r="GQ13" i="16"/>
  <c r="GR11" i="16" l="1"/>
  <c r="GS11" i="16" s="1"/>
  <c r="FJ11" i="16"/>
  <c r="CH13" i="16"/>
  <c r="FI13" i="16" l="1"/>
  <c r="FJ13" i="16"/>
  <c r="GS13" i="16" l="1"/>
  <c r="GR13" i="16"/>
</calcChain>
</file>

<file path=xl/comments1.xml><?xml version="1.0" encoding="utf-8"?>
<comments xmlns="http://schemas.openxmlformats.org/spreadsheetml/2006/main">
  <authors>
    <author>鳥取県庁</author>
  </authors>
  <commentList>
    <comment ref="U99" authorId="0" shapeId="0">
      <text>
        <r>
          <rPr>
            <b/>
            <sz val="9"/>
            <color indexed="81"/>
            <rFont val="ＭＳ Ｐゴシック"/>
            <family val="3"/>
            <charset val="128"/>
          </rPr>
          <t>併用住宅を選択すると、ここに入力欄が表示されます。</t>
        </r>
      </text>
    </comment>
    <comment ref="J257" authorId="0" shapeId="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<sst xmlns="http://schemas.openxmlformats.org/spreadsheetml/2006/main" count="894" uniqueCount="589">
  <si>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</si>
  <si>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</si>
  <si>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</si>
  <si>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</si>
  <si>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</si>
  <si>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</si>
  <si>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</si>
  <si>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</si>
  <si>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</si>
  <si>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</si>
  <si>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</si>
  <si>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　　　－　</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</si>
  <si>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</si>
  <si>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</si>
  <si>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</si>
  <si>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</si>
  <si>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補助事業等の名称</t>
    <rPh sb="0" eb="2">
      <t>ホジョ</t>
    </rPh>
    <rPh sb="2" eb="4">
      <t>ジギョウ</t>
    </rPh>
    <rPh sb="4" eb="5">
      <t>トウ</t>
    </rPh>
    <rPh sb="6" eb="8">
      <t>メイショウ</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</si>
  <si>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</si>
  <si>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</si>
  <si>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</si>
  <si>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交付申請額</t>
    <rPh sb="0" eb="2">
      <t>コウフ</t>
    </rPh>
    <rPh sb="2" eb="4">
      <t>シンセイ</t>
    </rPh>
    <rPh sb="4" eb="5">
      <t>ガク</t>
    </rPh>
    <phoneticPr fontId="1"/>
  </si>
  <si>
    <t>添付書類</t>
    <rPh sb="0" eb="2">
      <t>テンプ</t>
    </rPh>
    <rPh sb="2" eb="4">
      <t>ショルイ</t>
    </rPh>
    <phoneticPr fontId="1"/>
  </si>
  <si>
    <t>担当者</t>
    <rPh sb="0" eb="3">
      <t>タントウシャ</t>
    </rPh>
    <phoneticPr fontId="1"/>
  </si>
  <si>
    <t>連絡先電話</t>
    <rPh sb="0" eb="3">
      <t>レンラクサキ</t>
    </rPh>
    <rPh sb="3" eb="5">
      <t>デンワ</t>
    </rPh>
    <phoneticPr fontId="1"/>
  </si>
  <si>
    <t>　下記のとおり、補助金の交付を受けたいので、鳥取県補助金等交付規則第５条の規定により、関係書類を添えて申請します。</t>
    <phoneticPr fontId="1"/>
  </si>
  <si>
    <t>金</t>
    <rPh sb="0" eb="1">
      <t>キン</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</si>
  <si>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</si>
  <si>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</si>
  <si>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</si>
  <si>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</si>
  <si>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</si>
  <si>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</si>
  <si>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</si>
  <si>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</si>
  <si>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</si>
  <si>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</si>
  <si>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</si>
  <si>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</si>
  <si>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</si>
  <si>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</si>
  <si>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</si>
  <si>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</si>
  <si>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</si>
  <si>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</si>
  <si>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</si>
  <si>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</si>
  <si>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</si>
  <si>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</si>
  <si>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</si>
  <si>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</si>
  <si>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他の補助金の利用有無</t>
    <rPh sb="0" eb="1">
      <t>ホカ</t>
    </rPh>
    <rPh sb="2" eb="5">
      <t>ホジョキン</t>
    </rPh>
    <rPh sb="6" eb="8">
      <t>リヨウ</t>
    </rPh>
    <rPh sb="8" eb="10">
      <t>ウム</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</si>
  <si>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</si>
  <si>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t>
    <phoneticPr fontId="1"/>
  </si>
  <si>
    <t>＜注意事項＞</t>
    <rPh sb="1" eb="3">
      <t>チュウイ</t>
    </rPh>
    <rPh sb="3" eb="5">
      <t>ジコウ</t>
    </rPh>
    <phoneticPr fontId="1"/>
  </si>
  <si>
    <t>・</t>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</si>
  <si>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</si>
  <si>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</si>
  <si>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</si>
  <si>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</si>
  <si>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</si>
  <si>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</si>
  <si>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</si>
  <si>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</si>
  <si>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次の①②のどちらかに該当すること。</t>
    <phoneticPr fontId="1"/>
  </si>
  <si>
    <t>補助額</t>
    <rPh sb="0" eb="2">
      <t>ホジョ</t>
    </rPh>
    <rPh sb="2" eb="3">
      <t>ガク</t>
    </rPh>
    <phoneticPr fontId="1"/>
  </si>
  <si>
    <t>県産材</t>
    <rPh sb="0" eb="2">
      <t>ケンサン</t>
    </rPh>
    <rPh sb="2" eb="3">
      <t>ザイ</t>
    </rPh>
    <phoneticPr fontId="1"/>
  </si>
  <si>
    <t>規格材上限額</t>
    <rPh sb="0" eb="2">
      <t>キカク</t>
    </rPh>
    <rPh sb="2" eb="3">
      <t>ザイ</t>
    </rPh>
    <rPh sb="3" eb="5">
      <t>ジョウゲン</t>
    </rPh>
    <rPh sb="5" eb="6">
      <t>ガク</t>
    </rPh>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</si>
  <si>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</si>
  <si>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</si>
  <si>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</si>
  <si>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</si>
  <si>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</si>
  <si>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</si>
  <si>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</si>
  <si>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</si>
  <si>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</si>
  <si>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</si>
  <si>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　　補助対象となる建具・・・・・・・・・</t>
    <rPh sb="2" eb="4">
      <t>ホジョ</t>
    </rPh>
    <rPh sb="4" eb="6">
      <t>タイショウ</t>
    </rPh>
    <rPh sb="9" eb="11">
      <t>タテグ</t>
    </rPh>
    <phoneticPr fontId="1"/>
  </si>
  <si>
    <t>　　補助対象とならない建具・・・・・・</t>
    <rPh sb="2" eb="4">
      <t>ホジョ</t>
    </rPh>
    <rPh sb="4" eb="6">
      <t>タイショウ</t>
    </rPh>
    <rPh sb="11" eb="13">
      <t>タテグ</t>
    </rPh>
    <phoneticPr fontId="1"/>
  </si>
  <si>
    <t>框戸、格子戸、障子、襖、欄間　　等</t>
    <rPh sb="0" eb="2">
      <t>カマチド</t>
    </rPh>
    <rPh sb="3" eb="6">
      <t>コウシド</t>
    </rPh>
    <rPh sb="7" eb="9">
      <t>ショウジ</t>
    </rPh>
    <rPh sb="10" eb="11">
      <t>フスマ</t>
    </rPh>
    <rPh sb="12" eb="14">
      <t>ランマ</t>
    </rPh>
    <rPh sb="16" eb="17">
      <t>トウ</t>
    </rPh>
    <phoneticPr fontId="1"/>
  </si>
  <si>
    <t>戸襖、フラッシュ戸　等</t>
    <rPh sb="0" eb="1">
      <t>ト</t>
    </rPh>
    <rPh sb="1" eb="2">
      <t>フスマ</t>
    </rPh>
    <rPh sb="8" eb="9">
      <t>ト</t>
    </rPh>
    <rPh sb="10" eb="11">
      <t>トウ</t>
    </rPh>
    <phoneticPr fontId="1"/>
  </si>
  <si>
    <t>万円です。</t>
    <rPh sb="0" eb="2">
      <t>マンエン</t>
    </rPh>
    <phoneticPr fontId="1"/>
  </si>
  <si>
    <t>とっとり住まいる支援事業補助金　交付申請書</t>
    <rPh sb="4" eb="5">
      <t>ス</t>
    </rPh>
    <rPh sb="8" eb="15">
      <t>シエンジギョウホジョキン</t>
    </rPh>
    <rPh sb="16" eb="18">
      <t>コウフ</t>
    </rPh>
    <rPh sb="18" eb="21">
      <t>シンセイショ</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</si>
  <si>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</si>
  <si>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</si>
  <si>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</si>
  <si>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</si>
  <si>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</si>
  <si>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</si>
  <si>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</si>
  <si>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</si>
  <si>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</si>
  <si>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</si>
  <si>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</si>
  <si>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</si>
  <si>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</si>
  <si>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</si>
  <si>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</si>
  <si>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</si>
  <si>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</si>
  <si>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</si>
  <si>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④県産機械等級区分構造材の使用材積</t>
    <rPh sb="1" eb="3">
      <t>ケンサン</t>
    </rPh>
    <rPh sb="3" eb="5">
      <t>キカイ</t>
    </rPh>
    <rPh sb="5" eb="7">
      <t>トウキュウ</t>
    </rPh>
    <rPh sb="7" eb="9">
      <t>クブン</t>
    </rPh>
    <rPh sb="9" eb="12">
      <t>コウゾウザイ</t>
    </rPh>
    <rPh sb="13" eb="15">
      <t>シヨウ</t>
    </rPh>
    <rPh sb="15" eb="17">
      <t>ザイセキ</t>
    </rPh>
    <phoneticPr fontId="1"/>
  </si>
  <si>
    <t>台所：</t>
    <rPh sb="0" eb="2">
      <t>ダイドコロ</t>
    </rPh>
    <phoneticPr fontId="1"/>
  </si>
  <si>
    <t>・県産CLT材、県産内外装材、県産木塀の上限額は15万円になります。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</si>
  <si>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</si>
  <si>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</si>
  <si>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</si>
  <si>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</si>
  <si>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</si>
  <si>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</si>
  <si>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</si>
  <si>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</si>
  <si>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</si>
  <si>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</si>
  <si>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</si>
  <si>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</si>
  <si>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</si>
  <si>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</si>
  <si>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</si>
  <si>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</si>
  <si>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</si>
  <si>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</si>
  <si>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</si>
  <si>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</si>
  <si>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</si>
  <si>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</si>
  <si>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</si>
  <si>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</si>
  <si>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</si>
  <si>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</si>
  <si>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</si>
  <si>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</si>
  <si>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</si>
  <si>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</si>
  <si>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＜実績報告時の提出書類＞県産材の産地証明書の写し</t>
    <rPh sb="1" eb="3">
      <t>ジッセキ</t>
    </rPh>
    <rPh sb="3" eb="5">
      <t>ホウコク</t>
    </rPh>
    <rPh sb="5" eb="6">
      <t>ジ</t>
    </rPh>
    <rPh sb="7" eb="9">
      <t>テイシュツ</t>
    </rPh>
    <rPh sb="9" eb="11">
      <t>ショルイ</t>
    </rPh>
    <rPh sb="12" eb="13">
      <t>ケン</t>
    </rPh>
    <rPh sb="13" eb="15">
      <t>サンザイ</t>
    </rPh>
    <rPh sb="16" eb="18">
      <t>サンチ</t>
    </rPh>
    <rPh sb="18" eb="21">
      <t>ショウメイショ</t>
    </rPh>
    <rPh sb="22" eb="23">
      <t>ウツ</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</si>
  <si>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</si>
  <si>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＜実績報告時の提出書類＞日本農林規格県産材（ＪＡＳ格付及び含水率20%以下）であることを証明する書類等</t>
    <rPh sb="1" eb="3">
      <t>ジッセキ</t>
    </rPh>
    <rPh sb="3" eb="5">
      <t>ホウコク</t>
    </rPh>
    <rPh sb="5" eb="6">
      <t>ジ</t>
    </rPh>
    <rPh sb="7" eb="9">
      <t>テイシュツ</t>
    </rPh>
    <rPh sb="9" eb="11">
      <t>ショルイ</t>
    </rPh>
    <rPh sb="12" eb="14">
      <t>ニホン</t>
    </rPh>
    <rPh sb="14" eb="16">
      <t>ノウリン</t>
    </rPh>
    <rPh sb="16" eb="18">
      <t>キカク</t>
    </rPh>
    <rPh sb="18" eb="19">
      <t>ケン</t>
    </rPh>
    <rPh sb="19" eb="21">
      <t>サンザイ</t>
    </rPh>
    <rPh sb="25" eb="27">
      <t>カクヅケ</t>
    </rPh>
    <rPh sb="27" eb="28">
      <t>オヨ</t>
    </rPh>
    <rPh sb="29" eb="32">
      <t>ガンスイリツ</t>
    </rPh>
    <rPh sb="35" eb="37">
      <t>イカ</t>
    </rPh>
    <rPh sb="44" eb="46">
      <t>ショウメイ</t>
    </rPh>
    <rPh sb="48" eb="50">
      <t>ショルイ</t>
    </rPh>
    <rPh sb="50" eb="51">
      <t>ナド</t>
    </rPh>
    <phoneticPr fontId="1"/>
  </si>
  <si>
    <t>鳥取市</t>
    <rPh sb="0" eb="3">
      <t>トットリシ</t>
    </rPh>
    <phoneticPr fontId="1"/>
  </si>
  <si>
    <t>米子市</t>
    <rPh sb="0" eb="3">
      <t>ヨナゴシ</t>
    </rPh>
    <phoneticPr fontId="1"/>
  </si>
  <si>
    <t>倉吉市</t>
    <rPh sb="0" eb="3">
      <t>クラヨシシ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</si>
  <si>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</si>
  <si>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</si>
  <si>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</si>
  <si>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</si>
  <si>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</si>
  <si>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</si>
  <si>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</si>
  <si>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</si>
  <si>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</si>
  <si>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</si>
  <si>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</si>
  <si>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</si>
  <si>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</si>
  <si>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</si>
  <si>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</si>
  <si>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</si>
  <si>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</si>
  <si>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</si>
  <si>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</si>
  <si>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</si>
  <si>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</si>
  <si>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</si>
  <si>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</si>
  <si>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</si>
  <si>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r>
      <t>③県産規格材</t>
    </r>
    <r>
      <rPr>
        <sz val="11"/>
        <color theme="1"/>
        <rFont val="ＭＳ Ｐ明朝"/>
        <family val="1"/>
        <charset val="128"/>
      </rPr>
      <t>の使用材積</t>
    </r>
    <rPh sb="1" eb="3">
      <t>ケンサン</t>
    </rPh>
    <rPh sb="3" eb="5">
      <t>キカク</t>
    </rPh>
    <rPh sb="5" eb="6">
      <t>ザイ</t>
    </rPh>
    <rPh sb="7" eb="9">
      <t>シヨウ</t>
    </rPh>
    <rPh sb="9" eb="11">
      <t>ザイセキ</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</si>
  <si>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</si>
  <si>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</si>
  <si>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様式第１号（第５条関係）</t>
    <rPh sb="0" eb="2">
      <t>ヨウシキ</t>
    </rPh>
    <rPh sb="2" eb="3">
      <t>ダイ</t>
    </rPh>
    <rPh sb="4" eb="5">
      <t>ゴウ</t>
    </rPh>
    <rPh sb="6" eb="7">
      <t>ダイ</t>
    </rPh>
    <rPh sb="8" eb="9">
      <t>ジョウ</t>
    </rPh>
    <rPh sb="9" eb="11">
      <t>カンケイ</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</si>
  <si>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</si>
  <si>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</si>
  <si>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</si>
  <si>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</si>
  <si>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</si>
  <si>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</si>
  <si>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</si>
  <si>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　（15m3未満：上限10万円、15m3以上20m3未満：上限15万円、20m3以上25m3未満：上限20万円、25m3以上：上限25万円）</t>
    <rPh sb="9" eb="11">
      <t>ジョウゲン</t>
    </rPh>
    <rPh sb="49" eb="51">
      <t>ジョウゲン</t>
    </rPh>
    <rPh sb="63" eb="65">
      <t>ジョウゲン</t>
    </rPh>
    <phoneticPr fontId="1"/>
  </si>
  <si>
    <t>・県産機械等級区分構造材を１m3以上使用する場合、１m3につき２万円（上限20万円）が交付されます。</t>
    <rPh sb="1" eb="3">
      <t>ケンサン</t>
    </rPh>
    <rPh sb="3" eb="5">
      <t>キカイ</t>
    </rPh>
    <rPh sb="5" eb="7">
      <t>トウキュウ</t>
    </rPh>
    <rPh sb="7" eb="9">
      <t>クブン</t>
    </rPh>
    <rPh sb="9" eb="12">
      <t>コウゾウザイ</t>
    </rPh>
    <rPh sb="16" eb="18">
      <t>イジョウ</t>
    </rPh>
    <rPh sb="18" eb="20">
      <t>シヨウ</t>
    </rPh>
    <rPh sb="22" eb="24">
      <t>バアイ</t>
    </rPh>
    <rPh sb="32" eb="34">
      <t>マンエン</t>
    </rPh>
    <rPh sb="35" eb="37">
      <t>ジョウゲン</t>
    </rPh>
    <rPh sb="39" eb="41">
      <t>マンエン</t>
    </rPh>
    <rPh sb="43" eb="45">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</si>
  <si>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</si>
  <si>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</si>
  <si>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</si>
  <si>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</si>
  <si>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</si>
  <si>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</si>
  <si>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</si>
  <si>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</si>
  <si>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</si>
  <si>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</si>
  <si>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</si>
  <si>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</si>
  <si>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</si>
  <si>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</si>
  <si>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</si>
  <si>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</si>
  <si>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</si>
  <si>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</si>
  <si>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t>・県産規格材（含水率20%以下のJAS格付材）を1m3以上使用する場合、１m3につき１万円が交付されます。</t>
    <rPh sb="1" eb="3">
      <t>ケンサン</t>
    </rPh>
    <rPh sb="3" eb="5">
      <t>キカク</t>
    </rPh>
    <rPh sb="5" eb="6">
      <t>ザイ</t>
    </rPh>
    <rPh sb="7" eb="10">
      <t>ガンスイリツ</t>
    </rPh>
    <rPh sb="13" eb="15">
      <t>イカ</t>
    </rPh>
    <rPh sb="19" eb="21">
      <t>カクヅケ</t>
    </rPh>
    <rPh sb="21" eb="22">
      <t>ザイ</t>
    </rPh>
    <rPh sb="27" eb="29">
      <t>イジョウ</t>
    </rPh>
    <rPh sb="29" eb="31">
      <t>シヨウ</t>
    </rPh>
    <rPh sb="33" eb="35">
      <t>バアイ</t>
    </rPh>
    <rPh sb="43" eb="45">
      <t>マンエン</t>
    </rPh>
    <rPh sb="46" eb="48">
      <t>コウフ</t>
    </rPh>
    <phoneticPr fontId="1"/>
  </si>
  <si>
    <t>　上限額は県産規格材の使用量に応じて次のとおり。</t>
    <rPh sb="1" eb="4">
      <t>ジョウゲンガク</t>
    </rPh>
    <rPh sb="5" eb="7">
      <t>ケンサン</t>
    </rPh>
    <rPh sb="7" eb="10">
      <t>キカクザイ</t>
    </rPh>
    <rPh sb="11" eb="14">
      <t>シヨウリョウ</t>
    </rPh>
    <rPh sb="15" eb="16">
      <t>オウ</t>
    </rPh>
    <rPh sb="18" eb="19">
      <t>ツギ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</si>
  <si>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</si>
  <si>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（別途提出する県産材の産地証明書で証明できる場合を除く。）</t>
    <rPh sb="1" eb="3">
      <t>ベット</t>
    </rPh>
    <rPh sb="3" eb="5">
      <t>テイシュツ</t>
    </rPh>
    <rPh sb="7" eb="10">
      <t>ケンサンザイ</t>
    </rPh>
    <rPh sb="11" eb="13">
      <t>サンチ</t>
    </rPh>
    <rPh sb="13" eb="16">
      <t>ショウメイショ</t>
    </rPh>
    <rPh sb="17" eb="19">
      <t>ショウメイ</t>
    </rPh>
    <rPh sb="22" eb="24">
      <t>バアイ</t>
    </rPh>
    <rPh sb="25" eb="26">
      <t>ノゾ</t>
    </rPh>
    <phoneticPr fontId="1"/>
  </si>
  <si>
    <t>＜実績報告時の提出書類＞機械等級区分構造材一覧表（様式第８号）</t>
    <rPh sb="1" eb="3">
      <t>ジッセキ</t>
    </rPh>
    <rPh sb="3" eb="5">
      <t>ホウコク</t>
    </rPh>
    <rPh sb="5" eb="6">
      <t>ジ</t>
    </rPh>
    <rPh sb="7" eb="9">
      <t>テイシュツ</t>
    </rPh>
    <rPh sb="9" eb="11">
      <t>ショルイ</t>
    </rPh>
    <phoneticPr fontId="1"/>
  </si>
  <si>
    <t>交付申請用</t>
    <rPh sb="0" eb="2">
      <t>コウフ</t>
    </rPh>
    <rPh sb="2" eb="4">
      <t>シンセイ</t>
    </rPh>
    <rPh sb="4" eb="5">
      <t>ヨウ</t>
    </rPh>
    <phoneticPr fontId="1"/>
  </si>
  <si>
    <t>次の①～⑦の伝統技能を活用し、ポイント数の合計が４ポイント以上の場合に定額20万円を支援（黄色のポイント数は自動計算されます。）</t>
    <rPh sb="0" eb="1">
      <t>ツギ</t>
    </rPh>
    <rPh sb="6" eb="8">
      <t>デントウ</t>
    </rPh>
    <rPh sb="8" eb="10">
      <t>ギノウ</t>
    </rPh>
    <rPh sb="11" eb="13">
      <t>カツヨウ</t>
    </rPh>
    <rPh sb="32" eb="34">
      <t>バアイ</t>
    </rPh>
    <rPh sb="35" eb="37">
      <t>テイガク</t>
    </rPh>
    <rPh sb="39" eb="41">
      <t>マンエン</t>
    </rPh>
    <rPh sb="42" eb="44">
      <t>シエン</t>
    </rPh>
    <rPh sb="45" eb="47">
      <t>キイロ</t>
    </rPh>
    <rPh sb="52" eb="53">
      <t>スウ</t>
    </rPh>
    <rPh sb="54" eb="56">
      <t>ジドウ</t>
    </rPh>
    <rPh sb="56" eb="58">
      <t>ケイサン</t>
    </rPh>
    <phoneticPr fontId="1"/>
  </si>
  <si>
    <t>青色の欄の必要部分に入力してください。</t>
    <rPh sb="0" eb="2">
      <t>アオイロ</t>
    </rPh>
    <rPh sb="3" eb="4">
      <t>ラン</t>
    </rPh>
    <rPh sb="5" eb="7">
      <t>ヒツヨウ</t>
    </rPh>
    <rPh sb="7" eb="9">
      <t>ブブン</t>
    </rPh>
    <rPh sb="10" eb="12">
      <t>ニュウリョク</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</si>
  <si>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</si>
  <si>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</si>
  <si>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</si>
  <si>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</si>
  <si>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</si>
  <si>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</si>
  <si>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</si>
  <si>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</si>
  <si>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</si>
  <si>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</si>
  <si>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t>＜実績報告時の提出書類＞手刻み加工を除く各伝統技能に係る面積等の算出過程、施工面積及び施工箇所を図示した立面図、展開図等並びに伝統技能ごとに次の書類</t>
    <rPh sb="60" eb="61">
      <t>ナラ</t>
    </rPh>
    <rPh sb="63" eb="65">
      <t>デントウ</t>
    </rPh>
    <rPh sb="65" eb="67">
      <t>ギノウ</t>
    </rPh>
    <rPh sb="70" eb="71">
      <t>ツギ</t>
    </rPh>
    <rPh sb="72" eb="74">
      <t>ショルイ</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</si>
  <si>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</si>
  <si>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</si>
  <si>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</si>
  <si>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</si>
  <si>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</si>
  <si>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</si>
  <si>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</si>
  <si>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</si>
  <si>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</si>
  <si>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</si>
  <si>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</si>
  <si>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</si>
  <si>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</si>
  <si>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</si>
  <si>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実績報告時の提出書類＞施工後の写真（建築主名記載の工事看板入り）並びに全てのはり、桁及び母屋を記載した伏図（小屋伏図及び床伏図をいう。）に、居室で構造材現しになっているものを色分けした資料</t>
    <rPh sb="33" eb="34">
      <t>ナラ</t>
    </rPh>
    <phoneticPr fontId="1"/>
  </si>
  <si>
    <t>居室において、小屋組又は床組みに使用した全てのはり、桁及び母屋の下端が見える場合（壁の部分を除く。）で、当該居室（収納を除く。）の見上げ面積が10平方メートル以上の状態のこと。（１ポイント、20m2以上の場合にあっては２ポイント）</t>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</si>
  <si>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</si>
  <si>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</si>
  <si>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</si>
  <si>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５　伝統技能活用住宅　（補助金額：20万円）</t>
    <rPh sb="2" eb="4">
      <t>デントウ</t>
    </rPh>
    <rPh sb="4" eb="6">
      <t>ギノウ</t>
    </rPh>
    <rPh sb="6" eb="8">
      <t>カツヨウ</t>
    </rPh>
    <rPh sb="8" eb="10">
      <t>ジュウタク</t>
    </rPh>
    <phoneticPr fontId="1"/>
  </si>
  <si>
    <r>
      <t>交付決定通知書、額の確定通知書等の県が交付する文書の送付先　</t>
    </r>
    <r>
      <rPr>
        <sz val="9"/>
        <color theme="1"/>
        <rFont val="ＭＳ 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</si>
  <si>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明朝"/>
        <family val="1"/>
        <charset val="128"/>
      </rPr>
      <t xml:space="preserve">
（法人の場合は所在地）</t>
    </r>
    <rPh sb="0" eb="2">
      <t>ジュウショ</t>
    </rPh>
    <rPh sb="4" eb="6">
      <t>ホウジン</t>
    </rPh>
    <rPh sb="7" eb="9">
      <t>バアイ</t>
    </rPh>
    <rPh sb="10" eb="13">
      <t>ショザイチ</t>
    </rPh>
    <phoneticPr fontId="1"/>
  </si>
  <si>
    <r>
      <t>氏名</t>
    </r>
    <r>
      <rPr>
        <sz val="8"/>
        <color theme="1"/>
        <rFont val="ＭＳ 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</si>
  <si>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</si>
  <si>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1"/>
  </si>
  <si>
    <t>＜実績報告時の提出書類＞瓦の留め付け状況がわかる写真（建築主名記載の工事看板入り）及び棟に使用された補強金物及び屋根下地への緊結状況がわかる写真（建築主名記載の工事看板入り）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シタ</t>
    </rPh>
    <rPh sb="59" eb="60">
      <t>チ</t>
    </rPh>
    <rPh sb="62" eb="64">
      <t>キンケツ</t>
    </rPh>
    <rPh sb="64" eb="66">
      <t>ジョウキョウ</t>
    </rPh>
    <rPh sb="70" eb="72">
      <t>シャシン</t>
    </rPh>
    <phoneticPr fontId="1"/>
  </si>
  <si>
    <t>②交付申請の時点では、直系尊属と同居ではないこと。</t>
    <rPh sb="1" eb="5">
      <t>コウフシンセイ</t>
    </rPh>
    <rPh sb="6" eb="8">
      <t>ジテン</t>
    </rPh>
    <rPh sb="11" eb="13">
      <t>チョッケイ</t>
    </rPh>
    <rPh sb="13" eb="15">
      <t>ソンゾク</t>
    </rPh>
    <rPh sb="16" eb="18">
      <t>ドウキョ</t>
    </rPh>
    <phoneticPr fontId="1"/>
  </si>
  <si>
    <t>③交付申請の時点では、直系尊属と近居ではないこと。</t>
    <rPh sb="1" eb="3">
      <t>コウフ</t>
    </rPh>
    <rPh sb="3" eb="5">
      <t>シンセイ</t>
    </rPh>
    <rPh sb="6" eb="8">
      <t>ジテン</t>
    </rPh>
    <rPh sb="11" eb="13">
      <t>チョッケイ</t>
    </rPh>
    <rPh sb="13" eb="15">
      <t>ソンゾク</t>
    </rPh>
    <rPh sb="16" eb="18">
      <t>キンキョ</t>
    </rPh>
    <phoneticPr fontId="1"/>
  </si>
  <si>
    <t>④新築することで直系尊属の世帯と新たに近居すること。</t>
    <rPh sb="1" eb="3">
      <t>シンチク</t>
    </rPh>
    <rPh sb="8" eb="10">
      <t>チョッケイ</t>
    </rPh>
    <rPh sb="10" eb="12">
      <t>ソンゾク</t>
    </rPh>
    <rPh sb="13" eb="15">
      <t>セタイ</t>
    </rPh>
    <rPh sb="16" eb="17">
      <t>アラ</t>
    </rPh>
    <phoneticPr fontId="1"/>
  </si>
  <si>
    <t>⑤新築することで直系尊属の世帯と新たに同居すること。</t>
    <rPh sb="1" eb="3">
      <t>シンチク</t>
    </rPh>
    <rPh sb="8" eb="10">
      <t>チョッケイ</t>
    </rPh>
    <rPh sb="10" eb="12">
      <t>ソンゾク</t>
    </rPh>
    <rPh sb="13" eb="15">
      <t>セタイ</t>
    </rPh>
    <rPh sb="16" eb="17">
      <t>アラ</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</si>
  <si>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</si>
  <si>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</si>
  <si>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</si>
  <si>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</si>
  <si>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② 婚姻後10年以内の夫婦を含む世帯</t>
    <rPh sb="2" eb="4">
      <t>コンイン</t>
    </rPh>
    <rPh sb="4" eb="5">
      <t>ゴ</t>
    </rPh>
    <rPh sb="7" eb="8">
      <t>ネン</t>
    </rPh>
    <rPh sb="8" eb="10">
      <t>イナイ</t>
    </rPh>
    <rPh sb="11" eb="13">
      <t>フウフ</t>
    </rPh>
    <rPh sb="14" eb="15">
      <t>フク</t>
    </rPh>
    <rPh sb="16" eb="18">
      <t>セタイ</t>
    </rPh>
    <phoneticPr fontId="1"/>
  </si>
  <si>
    <t>各階平面図、配置図</t>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</si>
  <si>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</si>
  <si>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</si>
  <si>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・申請者の戸籍抄本又は戸籍謄本</t>
    <rPh sb="1" eb="4">
      <t>シンセイシャ</t>
    </rPh>
    <rPh sb="5" eb="7">
      <t>コセキ</t>
    </rPh>
    <rPh sb="7" eb="9">
      <t>ショウホン</t>
    </rPh>
    <rPh sb="9" eb="10">
      <t>マタ</t>
    </rPh>
    <rPh sb="11" eb="13">
      <t>コセキ</t>
    </rPh>
    <rPh sb="13" eb="15">
      <t>トウホン</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</si>
  <si>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</si>
  <si>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姓</t>
    <rPh sb="0" eb="1">
      <t>セイ</t>
    </rPh>
    <phoneticPr fontId="1"/>
  </si>
  <si>
    <t>①申請日時点で子育て世帯等であること。</t>
    <rPh sb="1" eb="3">
      <t>シンセイ</t>
    </rPh>
    <rPh sb="3" eb="4">
      <t>ビ</t>
    </rPh>
    <rPh sb="4" eb="6">
      <t>ジテン</t>
    </rPh>
    <rPh sb="7" eb="9">
      <t>コソダ</t>
    </rPh>
    <rPh sb="10" eb="12">
      <t>セタイ</t>
    </rPh>
    <rPh sb="12" eb="13">
      <t>トウ</t>
    </rPh>
    <phoneticPr fontId="1"/>
  </si>
  <si>
    <t>補助対象を同一とする県費を財源とする他の補助事業を利用していないこと。</t>
    <phoneticPr fontId="1"/>
  </si>
  <si>
    <t>・省エネ性能説明書（様式第11号）</t>
    <rPh sb="1" eb="2">
      <t>ショウ</t>
    </rPh>
    <rPh sb="4" eb="6">
      <t>セイノウ</t>
    </rPh>
    <rPh sb="6" eb="9">
      <t>セツメイショ</t>
    </rPh>
    <rPh sb="10" eb="12">
      <t>ヨウシキ</t>
    </rPh>
    <rPh sb="12" eb="13">
      <t>ダイ</t>
    </rPh>
    <rPh sb="15" eb="16">
      <t>ゴウ</t>
    </rPh>
    <phoneticPr fontId="1"/>
  </si>
  <si>
    <t>省エネルギー性能説明書（様式第11号）</t>
    <rPh sb="0" eb="1">
      <t>ショウ</t>
    </rPh>
    <rPh sb="6" eb="11">
      <t>セイノウセツメイショ</t>
    </rPh>
    <rPh sb="12" eb="14">
      <t>ヨウシキ</t>
    </rPh>
    <rPh sb="14" eb="15">
      <t>ダイ</t>
    </rPh>
    <rPh sb="17" eb="18">
      <t>ゴウ</t>
    </rPh>
    <phoneticPr fontId="1"/>
  </si>
  <si>
    <t>⑥新築することで直系卑属の子育て世帯等と新たに同居する世帯であること。</t>
    <rPh sb="1" eb="3">
      <t>シンチク</t>
    </rPh>
    <rPh sb="10" eb="12">
      <t>ヒゾク</t>
    </rPh>
    <phoneticPr fontId="1"/>
  </si>
  <si>
    <t>次の（１）（２）（３）のいずれかに該当すること。</t>
    <rPh sb="0" eb="1">
      <t>ツギ</t>
    </rPh>
    <rPh sb="17" eb="19">
      <t>ガイトウ</t>
    </rPh>
    <phoneticPr fontId="1"/>
  </si>
  <si>
    <t>（１） ①②③④の全てに該当</t>
    <rPh sb="9" eb="10">
      <t>スベ</t>
    </rPh>
    <rPh sb="12" eb="14">
      <t>ガイトウ</t>
    </rPh>
    <phoneticPr fontId="1"/>
  </si>
  <si>
    <t>（２） ①②⑤の全てに該当</t>
    <rPh sb="8" eb="9">
      <t>スベ</t>
    </rPh>
    <rPh sb="11" eb="13">
      <t>ガイトウ</t>
    </rPh>
    <phoneticPr fontId="1"/>
  </si>
  <si>
    <t>（３） ①に該当せず②⑥の両方に該当</t>
    <rPh sb="6" eb="8">
      <t>ガイトウ</t>
    </rPh>
    <rPh sb="13" eb="15">
      <t>リョウホウ</t>
    </rPh>
    <rPh sb="16" eb="18">
      <t>ガイトウ</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</si>
  <si>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</si>
  <si>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</si>
  <si>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</si>
  <si>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</si>
  <si>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</si>
  <si>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</si>
  <si>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</si>
  <si>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日</t>
    <rPh sb="0" eb="1">
      <t>ニチ</t>
    </rPh>
    <phoneticPr fontId="1"/>
  </si>
  <si>
    <t>月</t>
    <rPh sb="0" eb="1">
      <t>ガツ</t>
    </rPh>
    <phoneticPr fontId="1"/>
  </si>
  <si>
    <t>年</t>
    <rPh sb="0" eb="1">
      <t>ネン</t>
    </rPh>
    <phoneticPr fontId="1"/>
  </si>
  <si>
    <t>令和</t>
    <rPh sb="0" eb="2">
      <t>レイワ</t>
    </rPh>
    <phoneticPr fontId="1"/>
  </si>
  <si>
    <t>令和</t>
    <rPh sb="0" eb="2">
      <t>レイワ</t>
    </rPh>
    <phoneticPr fontId="1"/>
  </si>
  <si>
    <t>←日付はチェックシートから引用します</t>
    <rPh sb="1" eb="3">
      <t>ヒヅケ</t>
    </rPh>
    <rPh sb="13" eb="15">
      <t>インヨウ</t>
    </rPh>
    <phoneticPr fontId="1"/>
  </si>
  <si>
    <t>国補助利用者のうち、「こどもエコすまい支援事業」補助利用者である。</t>
    <rPh sb="0" eb="1">
      <t>クニ</t>
    </rPh>
    <rPh sb="1" eb="3">
      <t>ホジョ</t>
    </rPh>
    <rPh sb="3" eb="5">
      <t>リヨウ</t>
    </rPh>
    <rPh sb="5" eb="6">
      <t>シャ</t>
    </rPh>
    <rPh sb="19" eb="23">
      <t>シエンジギョウ</t>
    </rPh>
    <rPh sb="24" eb="28">
      <t>ホジョリヨウ</t>
    </rPh>
    <rPh sb="28" eb="29">
      <t>シャ</t>
    </rPh>
    <phoneticPr fontId="1"/>
  </si>
  <si>
    <r>
      <t>国補助事業の補助利用者である。</t>
    </r>
    <r>
      <rPr>
        <sz val="9"/>
        <color theme="1"/>
        <rFont val="ＭＳ Ｐ明朝"/>
        <family val="1"/>
        <charset val="128"/>
      </rPr>
      <t>（こどもエコすまい支援事業、地域型グリーン化事業など）</t>
    </r>
    <rPh sb="0" eb="5">
      <t>クニホジョジギョウ</t>
    </rPh>
    <rPh sb="6" eb="8">
      <t>ホジョ</t>
    </rPh>
    <rPh sb="8" eb="10">
      <t>リヨウ</t>
    </rPh>
    <rPh sb="10" eb="11">
      <t>シャ</t>
    </rPh>
    <rPh sb="24" eb="28">
      <t>シエンジギョウ</t>
    </rPh>
    <rPh sb="29" eb="32">
      <t>チイキガタ</t>
    </rPh>
    <rPh sb="36" eb="37">
      <t>カ</t>
    </rPh>
    <rPh sb="37" eb="39">
      <t>ジギョウ</t>
    </rPh>
    <phoneticPr fontId="1"/>
  </si>
  <si>
    <t>補助金の名称</t>
    <rPh sb="0" eb="3">
      <t>ホジョキン</t>
    </rPh>
    <rPh sb="4" eb="6">
      <t>メイショウ</t>
    </rPh>
    <phoneticPr fontId="1"/>
  </si>
  <si>
    <t>※併用する補助金をすべてを記入してください。</t>
    <rPh sb="1" eb="3">
      <t>ヘイヨウ</t>
    </rPh>
    <rPh sb="5" eb="8">
      <t>ホジョキン</t>
    </rPh>
    <rPh sb="13" eb="15">
      <t>キニュウ</t>
    </rPh>
    <phoneticPr fontId="1"/>
  </si>
  <si>
    <t>性能区分</t>
    <rPh sb="0" eb="2">
      <t>セイノウ</t>
    </rPh>
    <rPh sb="2" eb="4">
      <t>クブン</t>
    </rPh>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</si>
  <si>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</si>
  <si>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当該住宅は【ZEH】である。</t>
    <rPh sb="0" eb="4">
      <t>トウガイジュウタク</t>
    </rPh>
    <phoneticPr fontId="1"/>
  </si>
  <si>
    <t>設備</t>
    <rPh sb="0" eb="2">
      <t>セツビ</t>
    </rPh>
    <phoneticPr fontId="1"/>
  </si>
  <si>
    <t>区分</t>
    <rPh sb="0" eb="2">
      <t>クブン</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</si>
  <si>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</si>
  <si>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</si>
  <si>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とっとり未来型省エネ住宅特別促進事業補助金</t>
    <rPh sb="4" eb="7">
      <t>ミライガタ</t>
    </rPh>
    <rPh sb="7" eb="8">
      <t>ショウ</t>
    </rPh>
    <rPh sb="10" eb="12">
      <t>ジュウタク</t>
    </rPh>
    <rPh sb="12" eb="16">
      <t>トクベツソクシン</t>
    </rPh>
    <rPh sb="18" eb="21">
      <t>ホジョキン</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</si>
  <si>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</si>
  <si>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</si>
  <si>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</si>
  <si>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万円</t>
    <rPh sb="0" eb="2">
      <t>マンエン</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</si>
  <si>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１m2につき２千円が交付されます。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</si>
  <si>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日本農林規格県産材（JAS格付及び含水率20%以下）であることを証明する書類</t>
    </r>
    <rPh sb="10" eb="11">
      <t>マタ</t>
    </rPh>
    <phoneticPr fontId="1"/>
  </si>
  <si>
    <t>※国事業『こどもエコすまい支援事業』補助利用者にあっては補助額は０円となります。</t>
    <rPh sb="20" eb="23">
      <t>リヨウシャ</t>
    </rPh>
    <rPh sb="28" eb="31">
      <t>ホジョガク</t>
    </rPh>
    <rPh sb="33" eb="34">
      <t>エン</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</si>
  <si>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</si>
  <si>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</si>
  <si>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</si>
  <si>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5"/>
  </si>
  <si>
    <t>通し番号</t>
    <rPh sb="0" eb="1">
      <t>トオ</t>
    </rPh>
    <rPh sb="2" eb="4">
      <t>バンゴウ</t>
    </rPh>
    <phoneticPr fontId="18"/>
  </si>
  <si>
    <t>区分</t>
    <rPh sb="0" eb="2">
      <t>クブン</t>
    </rPh>
    <phoneticPr fontId="18"/>
  </si>
  <si>
    <t>債務負担行為</t>
    <rPh sb="0" eb="2">
      <t>サイム</t>
    </rPh>
    <rPh sb="2" eb="4">
      <t>フタン</t>
    </rPh>
    <rPh sb="4" eb="6">
      <t>コウイ</t>
    </rPh>
    <phoneticPr fontId="35"/>
  </si>
  <si>
    <t>電子申請利用
（交付申請）</t>
    <rPh sb="0" eb="4">
      <t>デンシシンセイ</t>
    </rPh>
    <rPh sb="4" eb="6">
      <t>リヨウ</t>
    </rPh>
    <rPh sb="8" eb="12">
      <t>コウフシンセイ</t>
    </rPh>
    <phoneticPr fontId="1"/>
  </si>
  <si>
    <t>交付申請日
（登録の場合は、登録申請日）</t>
    <phoneticPr fontId="1"/>
  </si>
  <si>
    <t>申請者</t>
    <rPh sb="0" eb="3">
      <t>シンセイシャ</t>
    </rPh>
    <phoneticPr fontId="18"/>
  </si>
  <si>
    <t>建設地</t>
    <rPh sb="0" eb="3">
      <t>ケンセツチ</t>
    </rPh>
    <phoneticPr fontId="18"/>
  </si>
  <si>
    <t>新築助成（予定）</t>
    <rPh sb="0" eb="2">
      <t>シンチク</t>
    </rPh>
    <rPh sb="2" eb="4">
      <t>ジョセイ</t>
    </rPh>
    <rPh sb="5" eb="7">
      <t>ヨテイ</t>
    </rPh>
    <phoneticPr fontId="18"/>
  </si>
  <si>
    <t>交付決定額
（新築）</t>
    <rPh sb="0" eb="2">
      <t>コウフ</t>
    </rPh>
    <rPh sb="2" eb="4">
      <t>ケッテイ</t>
    </rPh>
    <rPh sb="4" eb="5">
      <t>ガク</t>
    </rPh>
    <rPh sb="7" eb="9">
      <t>シンチク</t>
    </rPh>
    <phoneticPr fontId="35"/>
  </si>
  <si>
    <t>改修助成（予定）</t>
    <rPh sb="0" eb="2">
      <t>カイシュウ</t>
    </rPh>
    <rPh sb="2" eb="4">
      <t>ジョセイ</t>
    </rPh>
    <rPh sb="5" eb="7">
      <t>ヨテイ</t>
    </rPh>
    <phoneticPr fontId="35"/>
  </si>
  <si>
    <t>予定工期</t>
    <rPh sb="0" eb="2">
      <t>ヨテイ</t>
    </rPh>
    <rPh sb="2" eb="4">
      <t>コウキ</t>
    </rPh>
    <phoneticPr fontId="18"/>
  </si>
  <si>
    <t>交付（登録）決定</t>
    <rPh sb="0" eb="2">
      <t>コウフ</t>
    </rPh>
    <rPh sb="3" eb="5">
      <t>トウロク</t>
    </rPh>
    <rPh sb="6" eb="8">
      <t>ケッテイ</t>
    </rPh>
    <phoneticPr fontId="18"/>
  </si>
  <si>
    <t>業者名</t>
    <rPh sb="0" eb="2">
      <t>ギョウシャ</t>
    </rPh>
    <rPh sb="2" eb="3">
      <t>メイ</t>
    </rPh>
    <phoneticPr fontId="18"/>
  </si>
  <si>
    <t>プレカット事業者名</t>
    <rPh sb="5" eb="8">
      <t>ジギョウシャ</t>
    </rPh>
    <rPh sb="8" eb="9">
      <t>メイ</t>
    </rPh>
    <phoneticPr fontId="1"/>
  </si>
  <si>
    <t>延面積</t>
    <rPh sb="0" eb="1">
      <t>ノ</t>
    </rPh>
    <rPh sb="1" eb="3">
      <t>メンセキ</t>
    </rPh>
    <phoneticPr fontId="35"/>
  </si>
  <si>
    <t>工事費</t>
    <rPh sb="0" eb="3">
      <t>コウジヒ</t>
    </rPh>
    <phoneticPr fontId="35"/>
  </si>
  <si>
    <t>建築確認</t>
    <rPh sb="0" eb="2">
      <t>ケンチク</t>
    </rPh>
    <rPh sb="2" eb="4">
      <t>カクニン</t>
    </rPh>
    <phoneticPr fontId="35"/>
  </si>
  <si>
    <t>変更承認</t>
    <rPh sb="0" eb="2">
      <t>ヘンコウ</t>
    </rPh>
    <rPh sb="2" eb="4">
      <t>ショウニン</t>
    </rPh>
    <phoneticPr fontId="35"/>
  </si>
  <si>
    <t>フラット35子育て支援型利用</t>
    <rPh sb="6" eb="8">
      <t>コソダ</t>
    </rPh>
    <rPh sb="9" eb="12">
      <t>シエンガタ</t>
    </rPh>
    <rPh sb="12" eb="14">
      <t>リヨウ</t>
    </rPh>
    <phoneticPr fontId="35"/>
  </si>
  <si>
    <t>補助金併用</t>
    <rPh sb="0" eb="3">
      <t>ホジョキン</t>
    </rPh>
    <rPh sb="3" eb="5">
      <t>ヘイヨウ</t>
    </rPh>
    <phoneticPr fontId="35"/>
  </si>
  <si>
    <t>省エネルギー性能</t>
    <rPh sb="0" eb="1">
      <t>ショウ</t>
    </rPh>
    <rPh sb="6" eb="8">
      <t>セイノウ</t>
    </rPh>
    <phoneticPr fontId="1"/>
  </si>
  <si>
    <t>新築助成（実績）</t>
    <rPh sb="0" eb="2">
      <t>シンチク</t>
    </rPh>
    <rPh sb="2" eb="4">
      <t>ジョセイ</t>
    </rPh>
    <rPh sb="5" eb="7">
      <t>ジッセキ</t>
    </rPh>
    <phoneticPr fontId="18"/>
  </si>
  <si>
    <t>改修助成（実績）</t>
    <rPh sb="0" eb="2">
      <t>カイシュウ</t>
    </rPh>
    <rPh sb="2" eb="4">
      <t>ジョセイ</t>
    </rPh>
    <rPh sb="5" eb="7">
      <t>ジッセキ</t>
    </rPh>
    <phoneticPr fontId="35"/>
  </si>
  <si>
    <t>額の確定</t>
    <rPh sb="0" eb="1">
      <t>ガク</t>
    </rPh>
    <rPh sb="2" eb="4">
      <t>カクテイ</t>
    </rPh>
    <phoneticPr fontId="35"/>
  </si>
  <si>
    <t>氏名</t>
    <rPh sb="0" eb="2">
      <t>シメイ</t>
    </rPh>
    <phoneticPr fontId="18"/>
  </si>
  <si>
    <t>郵便番号</t>
    <rPh sb="0" eb="4">
      <t>ユウビンバンゴウ</t>
    </rPh>
    <phoneticPr fontId="35"/>
  </si>
  <si>
    <t>住所</t>
    <rPh sb="0" eb="2">
      <t>ジュウショ</t>
    </rPh>
    <phoneticPr fontId="35"/>
  </si>
  <si>
    <t>電話</t>
    <rPh sb="0" eb="2">
      <t>デンワ</t>
    </rPh>
    <phoneticPr fontId="18"/>
  </si>
  <si>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</si>
  <si>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8"/>
  </si>
  <si>
    <t>機械等級区分構造材</t>
    <rPh sb="0" eb="2">
      <t>キカイ</t>
    </rPh>
    <rPh sb="2" eb="4">
      <t>トウキュウ</t>
    </rPh>
    <rPh sb="4" eb="6">
      <t>クブン</t>
    </rPh>
    <rPh sb="6" eb="9">
      <t>コウゾウザイ</t>
    </rPh>
    <phoneticPr fontId="18"/>
  </si>
  <si>
    <t>県産内外装材</t>
    <rPh sb="0" eb="2">
      <t>ケンサン</t>
    </rPh>
    <rPh sb="2" eb="5">
      <t>ナイガイソウ</t>
    </rPh>
    <rPh sb="5" eb="6">
      <t>ザイ</t>
    </rPh>
    <phoneticPr fontId="18"/>
  </si>
  <si>
    <t>県産ＣＬＴ材</t>
    <rPh sb="0" eb="2">
      <t>ケンサン</t>
    </rPh>
    <rPh sb="5" eb="6">
      <t>ザイ</t>
    </rPh>
    <phoneticPr fontId="18"/>
  </si>
  <si>
    <t>子育て世帯等</t>
    <rPh sb="0" eb="2">
      <t>コソダ</t>
    </rPh>
    <rPh sb="3" eb="5">
      <t>セタイ</t>
    </rPh>
    <rPh sb="5" eb="6">
      <t>トウ</t>
    </rPh>
    <phoneticPr fontId="35"/>
  </si>
  <si>
    <t>三世代同居等</t>
    <rPh sb="0" eb="1">
      <t>サン</t>
    </rPh>
    <rPh sb="1" eb="3">
      <t>セダイ</t>
    </rPh>
    <rPh sb="3" eb="5">
      <t>ドウキョ</t>
    </rPh>
    <rPh sb="5" eb="6">
      <t>トウ</t>
    </rPh>
    <phoneticPr fontId="35"/>
  </si>
  <si>
    <t>伝統技能活用（４ポイント以上該当）</t>
    <rPh sb="0" eb="2">
      <t>デントウ</t>
    </rPh>
    <rPh sb="2" eb="4">
      <t>ギノウ</t>
    </rPh>
    <rPh sb="4" eb="6">
      <t>カツヨウ</t>
    </rPh>
    <rPh sb="12" eb="14">
      <t>イジョウ</t>
    </rPh>
    <rPh sb="14" eb="16">
      <t>ガイトウ</t>
    </rPh>
    <phoneticPr fontId="18"/>
  </si>
  <si>
    <t>県産材</t>
    <rPh sb="0" eb="3">
      <t>ケンサンザイ</t>
    </rPh>
    <phoneticPr fontId="35"/>
  </si>
  <si>
    <t>伝統</t>
    <rPh sb="0" eb="2">
      <t>デントウ</t>
    </rPh>
    <phoneticPr fontId="1"/>
  </si>
  <si>
    <t>交付決定額
（改修）</t>
    <rPh sb="0" eb="2">
      <t>コウフ</t>
    </rPh>
    <rPh sb="2" eb="4">
      <t>ケッテイ</t>
    </rPh>
    <rPh sb="4" eb="5">
      <t>ガク</t>
    </rPh>
    <rPh sb="7" eb="9">
      <t>カイシュウ</t>
    </rPh>
    <phoneticPr fontId="35"/>
  </si>
  <si>
    <t>県産規格材</t>
    <rPh sb="0" eb="2">
      <t>ケンサン</t>
    </rPh>
    <rPh sb="2" eb="4">
      <t>キカク</t>
    </rPh>
    <rPh sb="4" eb="5">
      <t>ザイ</t>
    </rPh>
    <phoneticPr fontId="18"/>
  </si>
  <si>
    <t>確定額
(千円)</t>
    <rPh sb="0" eb="2">
      <t>カクテイ</t>
    </rPh>
    <rPh sb="2" eb="3">
      <t>ガク</t>
    </rPh>
    <rPh sb="3" eb="4">
      <t>キンガク</t>
    </rPh>
    <rPh sb="5" eb="7">
      <t>センエン</t>
    </rPh>
    <phoneticPr fontId="35"/>
  </si>
  <si>
    <t>実績減</t>
    <rPh sb="0" eb="2">
      <t>ジッセキ</t>
    </rPh>
    <rPh sb="2" eb="3">
      <t>ゲン</t>
    </rPh>
    <phoneticPr fontId="1"/>
  </si>
  <si>
    <t>交付確定額
（改修）</t>
    <rPh sb="0" eb="2">
      <t>コウフ</t>
    </rPh>
    <rPh sb="2" eb="4">
      <t>カクテイ</t>
    </rPh>
    <rPh sb="4" eb="5">
      <t>ガク</t>
    </rPh>
    <rPh sb="7" eb="9">
      <t>カイシュウ</t>
    </rPh>
    <phoneticPr fontId="35"/>
  </si>
  <si>
    <t>自動表示</t>
    <rPh sb="0" eb="2">
      <t>ジドウ</t>
    </rPh>
    <rPh sb="2" eb="4">
      <t>ヒョウジ</t>
    </rPh>
    <phoneticPr fontId="1"/>
  </si>
  <si>
    <t>自動表示</t>
    <rPh sb="0" eb="2">
      <t>ジドウ</t>
    </rPh>
    <rPh sb="2" eb="4">
      <t>ヒョウジ</t>
    </rPh>
    <phoneticPr fontId="18"/>
  </si>
  <si>
    <t>支払済取下取消判定</t>
    <rPh sb="0" eb="2">
      <t>シハライ</t>
    </rPh>
    <rPh sb="2" eb="3">
      <t>ズ</t>
    </rPh>
    <rPh sb="3" eb="4">
      <t>ト</t>
    </rPh>
    <rPh sb="4" eb="5">
      <t>サ</t>
    </rPh>
    <rPh sb="5" eb="6">
      <t>ト</t>
    </rPh>
    <rPh sb="6" eb="7">
      <t>ケ</t>
    </rPh>
    <rPh sb="7" eb="9">
      <t>ハンテイ</t>
    </rPh>
    <phoneticPr fontId="1"/>
  </si>
  <si>
    <t>選択式</t>
    <rPh sb="0" eb="2">
      <t>センタク</t>
    </rPh>
    <rPh sb="2" eb="3">
      <t>シキ</t>
    </rPh>
    <phoneticPr fontId="1"/>
  </si>
  <si>
    <t>建売住宅の申請判定</t>
    <rPh sb="0" eb="2">
      <t>タテウリ</t>
    </rPh>
    <rPh sb="2" eb="4">
      <t>ジュウタク</t>
    </rPh>
    <rPh sb="5" eb="7">
      <t>シンセイ</t>
    </rPh>
    <rPh sb="7" eb="9">
      <t>ハンテイ</t>
    </rPh>
    <phoneticPr fontId="1"/>
  </si>
  <si>
    <t>大字名、丁目、地番等</t>
    <rPh sb="4" eb="6">
      <t>チョウメ</t>
    </rPh>
    <rPh sb="7" eb="9">
      <t>チバン</t>
    </rPh>
    <rPh sb="9" eb="10">
      <t>トウ</t>
    </rPh>
    <phoneticPr fontId="35"/>
  </si>
  <si>
    <r>
      <t xml:space="preserve">実木材
使用量
</t>
    </r>
    <r>
      <rPr>
        <sz val="10"/>
        <color indexed="10"/>
        <rFont val="ＭＳ Ｐゴシック"/>
        <family val="3"/>
        <charset val="128"/>
      </rPr>
      <t>(m3)</t>
    </r>
    <rPh sb="0" eb="1">
      <t>ジツ</t>
    </rPh>
    <rPh sb="1" eb="3">
      <t>モクザイ</t>
    </rPh>
    <rPh sb="4" eb="7">
      <t>シヨウリョウ</t>
    </rPh>
    <phoneticPr fontId="35"/>
  </si>
  <si>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5"/>
  </si>
  <si>
    <t>補助金額
(千円)</t>
    <rPh sb="0" eb="3">
      <t>ホジョキン</t>
    </rPh>
    <rPh sb="3" eb="4">
      <t>ガク</t>
    </rPh>
    <rPh sb="6" eb="8">
      <t>センエン</t>
    </rPh>
    <phoneticPr fontId="35"/>
  </si>
  <si>
    <t xml:space="preserve">有
</t>
    <rPh sb="0" eb="1">
      <t>ア</t>
    </rPh>
    <phoneticPr fontId="35"/>
  </si>
  <si>
    <t>内外装材使用量
(m3)</t>
    <rPh sb="0" eb="3">
      <t>ナイガイソウ</t>
    </rPh>
    <rPh sb="3" eb="4">
      <t>ザイ</t>
    </rPh>
    <rPh sb="4" eb="7">
      <t>シヨウリョウ</t>
    </rPh>
    <phoneticPr fontId="35"/>
  </si>
  <si>
    <t>算出値
(千円)</t>
    <rPh sb="0" eb="2">
      <t>サンシュツ</t>
    </rPh>
    <rPh sb="2" eb="3">
      <t>チ</t>
    </rPh>
    <rPh sb="5" eb="7">
      <t>センエン</t>
    </rPh>
    <phoneticPr fontId="35"/>
  </si>
  <si>
    <t>CLT使用量
(m3)</t>
    <rPh sb="3" eb="6">
      <t>シヨウリョウ</t>
    </rPh>
    <phoneticPr fontId="35"/>
  </si>
  <si>
    <t>補助金額</t>
    <rPh sb="0" eb="3">
      <t>ホジョキン</t>
    </rPh>
    <rPh sb="3" eb="4">
      <t>ガク</t>
    </rPh>
    <phoneticPr fontId="1"/>
  </si>
  <si>
    <r>
      <t>18歳以下</t>
    </r>
    <r>
      <rPr>
        <sz val="10"/>
        <color rgb="FFFF0000"/>
        <rFont val="ＭＳ Ｐゴシック"/>
        <family val="3"/>
        <charset val="128"/>
        <scheme val="minor"/>
      </rPr>
      <t>（選択式）</t>
    </r>
    <rPh sb="2" eb="3">
      <t>サイ</t>
    </rPh>
    <rPh sb="3" eb="5">
      <t>イカ</t>
    </rPh>
    <phoneticPr fontId="35"/>
  </si>
  <si>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5"/>
  </si>
  <si>
    <t xml:space="preserve">有
</t>
    <rPh sb="0" eb="1">
      <t>ア</t>
    </rPh>
    <phoneticPr fontId="35"/>
  </si>
  <si>
    <t>ポイント数</t>
    <rPh sb="4" eb="5">
      <t>スウ</t>
    </rPh>
    <phoneticPr fontId="35"/>
  </si>
  <si>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</si>
  <si>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</si>
  <si>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</si>
  <si>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5"/>
  </si>
  <si>
    <t>内外装使用面積m2</t>
    <rPh sb="0" eb="3">
      <t>ナイガイソウ</t>
    </rPh>
    <rPh sb="3" eb="5">
      <t>シヨウ</t>
    </rPh>
    <rPh sb="5" eb="7">
      <t>メンセキ</t>
    </rPh>
    <phoneticPr fontId="35"/>
  </si>
  <si>
    <t>補助金額
（千円）</t>
    <rPh sb="0" eb="2">
      <t>ホジョ</t>
    </rPh>
    <rPh sb="2" eb="4">
      <t>キンガク</t>
    </rPh>
    <rPh sb="6" eb="8">
      <t>センエン</t>
    </rPh>
    <phoneticPr fontId="35"/>
  </si>
  <si>
    <r>
      <t>近居（子育て世帯）</t>
    </r>
    <r>
      <rPr>
        <sz val="10"/>
        <color rgb="FFFF0000"/>
        <rFont val="ＭＳ Ｐゴシック"/>
        <family val="3"/>
        <charset val="128"/>
        <scheme val="minor"/>
      </rPr>
      <t>（選択式）</t>
    </r>
    <rPh sb="0" eb="2">
      <t>キンキョ</t>
    </rPh>
    <phoneticPr fontId="35"/>
  </si>
  <si>
    <r>
      <t>同居（子育て世帯）</t>
    </r>
    <r>
      <rPr>
        <sz val="10"/>
        <color rgb="FFFF0000"/>
        <rFont val="ＭＳ Ｐゴシック"/>
        <family val="3"/>
        <charset val="128"/>
        <scheme val="minor"/>
      </rPr>
      <t>（選択式）</t>
    </r>
    <rPh sb="0" eb="2">
      <t>ドウキョ</t>
    </rPh>
    <rPh sb="3" eb="5">
      <t>コソダ</t>
    </rPh>
    <rPh sb="6" eb="8">
      <t>セタイ</t>
    </rPh>
    <phoneticPr fontId="35"/>
  </si>
  <si>
    <r>
      <t>同居（親世帯）</t>
    </r>
    <r>
      <rPr>
        <sz val="10"/>
        <color rgb="FFFF0000"/>
        <rFont val="ＭＳ Ｐゴシック"/>
        <family val="3"/>
        <charset val="128"/>
        <scheme val="minor"/>
      </rPr>
      <t>（選択式）</t>
    </r>
    <rPh sb="0" eb="2">
      <t>ドウキョ</t>
    </rPh>
    <rPh sb="3" eb="4">
      <t>オヤ</t>
    </rPh>
    <rPh sb="4" eb="6">
      <t>セタイ</t>
    </rPh>
    <phoneticPr fontId="35"/>
  </si>
  <si>
    <t>大工
面積</t>
    <rPh sb="0" eb="2">
      <t>ダイク</t>
    </rPh>
    <rPh sb="3" eb="5">
      <t>メンセキ</t>
    </rPh>
    <phoneticPr fontId="35"/>
  </si>
  <si>
    <t>左官
面積</t>
    <rPh sb="0" eb="2">
      <t>サカン</t>
    </rPh>
    <rPh sb="3" eb="5">
      <t>メンセキ</t>
    </rPh>
    <phoneticPr fontId="35"/>
  </si>
  <si>
    <t>建具
面積</t>
    <rPh sb="0" eb="2">
      <t>タテグ</t>
    </rPh>
    <rPh sb="3" eb="5">
      <t>メンセキ</t>
    </rPh>
    <phoneticPr fontId="35"/>
  </si>
  <si>
    <t>補助金額計
（千円）</t>
    <rPh sb="0" eb="2">
      <t>ホジョ</t>
    </rPh>
    <rPh sb="2" eb="4">
      <t>キンガク</t>
    </rPh>
    <rPh sb="4" eb="5">
      <t>ケイ</t>
    </rPh>
    <rPh sb="7" eb="9">
      <t>センエン</t>
    </rPh>
    <phoneticPr fontId="35"/>
  </si>
  <si>
    <t>(千円）</t>
    <rPh sb="1" eb="3">
      <t>センエン</t>
    </rPh>
    <phoneticPr fontId="18"/>
  </si>
  <si>
    <t>着工</t>
    <rPh sb="0" eb="2">
      <t>チャッコウ</t>
    </rPh>
    <phoneticPr fontId="18"/>
  </si>
  <si>
    <t>完成</t>
    <rPh sb="0" eb="2">
      <t>カンセイ</t>
    </rPh>
    <phoneticPr fontId="18"/>
  </si>
  <si>
    <t>日付</t>
    <rPh sb="0" eb="2">
      <t>ヒヅケ</t>
    </rPh>
    <phoneticPr fontId="18"/>
  </si>
  <si>
    <t>金額</t>
    <rPh sb="0" eb="2">
      <t>キンガク</t>
    </rPh>
    <phoneticPr fontId="18"/>
  </si>
  <si>
    <t>社名等</t>
    <rPh sb="0" eb="2">
      <t>シャメイ</t>
    </rPh>
    <rPh sb="2" eb="3">
      <t>トウ</t>
    </rPh>
    <phoneticPr fontId="35"/>
  </si>
  <si>
    <t>所在地</t>
    <rPh sb="0" eb="3">
      <t>ショザイチ</t>
    </rPh>
    <phoneticPr fontId="35"/>
  </si>
  <si>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</si>
  <si>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</si>
  <si>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5"/>
  </si>
  <si>
    <r>
      <t xml:space="preserve">要・不要
</t>
    </r>
    <r>
      <rPr>
        <sz val="10"/>
        <color rgb="FFFF0000"/>
        <rFont val="ＭＳ Ｐゴシック"/>
        <family val="3"/>
        <charset val="128"/>
        <scheme val="minor"/>
      </rPr>
      <t>（選択式）</t>
    </r>
    <rPh sb="0" eb="1">
      <t>ヨウ</t>
    </rPh>
    <rPh sb="2" eb="4">
      <t>フヨウ</t>
    </rPh>
    <phoneticPr fontId="35"/>
  </si>
  <si>
    <t>承認日</t>
    <rPh sb="0" eb="2">
      <t>ショウニン</t>
    </rPh>
    <phoneticPr fontId="35"/>
  </si>
  <si>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</si>
  <si>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</si>
  <si>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</si>
  <si>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</si>
  <si>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</si>
  <si>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</si>
  <si>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交付主体</t>
    <phoneticPr fontId="1"/>
  </si>
  <si>
    <t>補助金名</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</si>
  <si>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</si>
  <si>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</si>
  <si>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</si>
  <si>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</si>
  <si>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5"/>
  </si>
  <si>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</si>
  <si>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</si>
  <si>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</si>
  <si>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</si>
  <si>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</si>
  <si>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</si>
  <si>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</si>
  <si>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5"/>
  </si>
  <si>
    <t>婚姻後10年以内</t>
    <rPh sb="0" eb="3">
      <t>コンインゴ</t>
    </rPh>
    <rPh sb="5" eb="6">
      <t>ネン</t>
    </rPh>
    <rPh sb="6" eb="8">
      <t>イナイ</t>
    </rPh>
    <phoneticPr fontId="35"/>
  </si>
  <si>
    <t>有
有なら1を選択</t>
    <rPh sb="0" eb="1">
      <t>ア</t>
    </rPh>
    <rPh sb="3" eb="4">
      <t>ア</t>
    </rPh>
    <rPh sb="8" eb="10">
      <t>センタク</t>
    </rPh>
    <phoneticPr fontId="35"/>
  </si>
  <si>
    <t>近居（子育て世帯）</t>
    <rPh sb="0" eb="2">
      <t>キンキョ</t>
    </rPh>
    <phoneticPr fontId="35"/>
  </si>
  <si>
    <t>同居（子育て世帯）</t>
    <rPh sb="0" eb="2">
      <t>ドウキョ</t>
    </rPh>
    <rPh sb="3" eb="5">
      <t>コソダ</t>
    </rPh>
    <rPh sb="6" eb="8">
      <t>セタイ</t>
    </rPh>
    <phoneticPr fontId="35"/>
  </si>
  <si>
    <t>同居（親世帯）</t>
    <rPh sb="0" eb="2">
      <t>ドウキョ</t>
    </rPh>
    <rPh sb="3" eb="4">
      <t>オヤ</t>
    </rPh>
    <rPh sb="4" eb="6">
      <t>セタイ</t>
    </rPh>
    <phoneticPr fontId="35"/>
  </si>
  <si>
    <t>(区分）
実績・取消・取下</t>
    <rPh sb="1" eb="3">
      <t>クブン</t>
    </rPh>
    <rPh sb="5" eb="7">
      <t>ジッセキ</t>
    </rPh>
    <rPh sb="8" eb="10">
      <t>トリケシ</t>
    </rPh>
    <rPh sb="11" eb="13">
      <t>トリサ</t>
    </rPh>
    <phoneticPr fontId="35"/>
  </si>
  <si>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5"/>
  </si>
  <si>
    <t>額の
確定日</t>
    <rPh sb="0" eb="1">
      <t>ガク</t>
    </rPh>
    <rPh sb="3" eb="5">
      <t>カクテイ</t>
    </rPh>
    <rPh sb="5" eb="6">
      <t>ビ</t>
    </rPh>
    <phoneticPr fontId="18"/>
  </si>
  <si>
    <t>支払日</t>
    <rPh sb="0" eb="3">
      <t>シハライビ</t>
    </rPh>
    <phoneticPr fontId="35"/>
  </si>
  <si>
    <t>交付決定額</t>
    <rPh sb="0" eb="2">
      <t>コウフ</t>
    </rPh>
    <rPh sb="2" eb="4">
      <t>ケッテイ</t>
    </rPh>
    <rPh sb="4" eb="5">
      <t>ガク</t>
    </rPh>
    <phoneticPr fontId="35"/>
  </si>
  <si>
    <t>確定・支払金額
（千円）</t>
    <rPh sb="0" eb="2">
      <t>カクテイ</t>
    </rPh>
    <rPh sb="3" eb="5">
      <t>シハライ</t>
    </rPh>
    <rPh sb="5" eb="7">
      <t>キンガク</t>
    </rPh>
    <rPh sb="9" eb="11">
      <t>センエン</t>
    </rPh>
    <phoneticPr fontId="18"/>
  </si>
  <si>
    <t>実績減
（千円）</t>
    <rPh sb="0" eb="2">
      <t>ジッセキ</t>
    </rPh>
    <rPh sb="2" eb="3">
      <t>ゲン</t>
    </rPh>
    <rPh sb="5" eb="7">
      <t>センエン</t>
    </rPh>
    <phoneticPr fontId="18"/>
  </si>
  <si>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</si>
  <si>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</si>
  <si>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</si>
  <si>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</si>
  <si>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</si>
  <si>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</si>
  <si>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</si>
  <si>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</si>
  <si>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</si>
  <si>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</si>
  <si>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</si>
  <si>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</si>
  <si>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</si>
  <si>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</si>
  <si>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</si>
  <si>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</si>
  <si>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</si>
  <si>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</si>
  <si>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</si>
  <si>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</si>
  <si>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</si>
  <si>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</si>
  <si>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</si>
  <si>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</si>
  <si>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</si>
  <si>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</si>
  <si>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</si>
  <si>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</si>
  <si>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</si>
  <si>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</si>
  <si>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</si>
  <si>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</si>
  <si>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</si>
  <si>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</si>
  <si>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</si>
  <si>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</si>
  <si>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</si>
  <si>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</si>
  <si>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</si>
  <si>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</si>
  <si>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</si>
  <si>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</si>
  <si>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合計</t>
    <rPh sb="0" eb="2">
      <t>ゴウケイ</t>
    </rPh>
    <phoneticPr fontId="1"/>
  </si>
  <si>
    <t>18歳以下</t>
    <rPh sb="2" eb="3">
      <t>サイ</t>
    </rPh>
    <rPh sb="3" eb="5">
      <t>イカ</t>
    </rPh>
    <phoneticPr fontId="35"/>
  </si>
  <si>
    <t>18歳以下なしかつ婚姻10年</t>
    <rPh sb="2" eb="3">
      <t>サイ</t>
    </rPh>
    <rPh sb="3" eb="5">
      <t>イカ</t>
    </rPh>
    <rPh sb="9" eb="11">
      <t>コンイン</t>
    </rPh>
    <rPh sb="13" eb="14">
      <t>ネン</t>
    </rPh>
    <phoneticPr fontId="35"/>
  </si>
  <si>
    <t>近居（同居除く）</t>
    <rPh sb="0" eb="2">
      <t>キンキョ</t>
    </rPh>
    <rPh sb="3" eb="5">
      <t>ドウキョ</t>
    </rPh>
    <rPh sb="5" eb="6">
      <t>ノゾ</t>
    </rPh>
    <phoneticPr fontId="35"/>
  </si>
  <si>
    <t>同居</t>
    <rPh sb="0" eb="2">
      <t>ドウキョ</t>
    </rPh>
    <phoneticPr fontId="35"/>
  </si>
  <si>
    <t>手刻み</t>
    <rPh sb="0" eb="1">
      <t>テ</t>
    </rPh>
    <rPh sb="1" eb="2">
      <t>キザ</t>
    </rPh>
    <phoneticPr fontId="35"/>
  </si>
  <si>
    <t>下見板張り</t>
    <rPh sb="0" eb="2">
      <t>シタミ</t>
    </rPh>
    <rPh sb="2" eb="3">
      <t>イタ</t>
    </rPh>
    <rPh sb="3" eb="4">
      <t>バ</t>
    </rPh>
    <phoneticPr fontId="35"/>
  </si>
  <si>
    <t>左官仕上げ</t>
    <rPh sb="0" eb="2">
      <t>サカン</t>
    </rPh>
    <rPh sb="2" eb="4">
      <t>シア</t>
    </rPh>
    <phoneticPr fontId="35"/>
  </si>
  <si>
    <t>国産瓦</t>
    <rPh sb="0" eb="2">
      <t>コクサン</t>
    </rPh>
    <rPh sb="2" eb="3">
      <t>ガワラ</t>
    </rPh>
    <phoneticPr fontId="35"/>
  </si>
  <si>
    <t>木製建具</t>
    <rPh sb="0" eb="2">
      <t>モクセイ</t>
    </rPh>
    <rPh sb="2" eb="4">
      <t>タテグ</t>
    </rPh>
    <phoneticPr fontId="35"/>
  </si>
  <si>
    <t>畳</t>
    <rPh sb="0" eb="1">
      <t>タタミ</t>
    </rPh>
    <phoneticPr fontId="35"/>
  </si>
  <si>
    <t>構造材現し</t>
    <rPh sb="0" eb="2">
      <t>コウゾウ</t>
    </rPh>
    <rPh sb="2" eb="3">
      <t>ザイ</t>
    </rPh>
    <rPh sb="3" eb="4">
      <t>アラワ</t>
    </rPh>
    <phoneticPr fontId="35"/>
  </si>
  <si>
    <t>在来軸組工法</t>
  </si>
  <si>
    <t>→DA列から範囲選択でコピぺ（列全体をコピペしないこと！）</t>
    <rPh sb="3" eb="4">
      <t>レツ</t>
    </rPh>
    <rPh sb="6" eb="10">
      <t>ハンイセンタク</t>
    </rPh>
    <rPh sb="15" eb="18">
      <t>レツゼンタイ</t>
    </rPh>
    <phoneticPr fontId="1"/>
  </si>
  <si>
    <t>入力行</t>
    <rPh sb="0" eb="2">
      <t>ニュウリョク</t>
    </rPh>
    <rPh sb="2" eb="3">
      <t>ギョウ</t>
    </rPh>
    <phoneticPr fontId="1"/>
  </si>
  <si>
    <t>整理　　　　　　番号</t>
    <rPh sb="0" eb="2">
      <t>セイリ</t>
    </rPh>
    <rPh sb="8" eb="10">
      <t>バンゴウ</t>
    </rPh>
    <phoneticPr fontId="55"/>
  </si>
  <si>
    <t>申請受付年月日</t>
    <rPh sb="0" eb="2">
      <t>シンセイ</t>
    </rPh>
    <rPh sb="2" eb="4">
      <t>ウケツケ</t>
    </rPh>
    <rPh sb="4" eb="7">
      <t>ネンガッピ</t>
    </rPh>
    <phoneticPr fontId="55"/>
  </si>
  <si>
    <t>申請者</t>
    <rPh sb="0" eb="3">
      <t>シンセイシャ</t>
    </rPh>
    <phoneticPr fontId="55"/>
  </si>
  <si>
    <t>交付決定日</t>
    <rPh sb="0" eb="4">
      <t>コウフケッテイ</t>
    </rPh>
    <rPh sb="4" eb="5">
      <t>ヒ</t>
    </rPh>
    <phoneticPr fontId="55"/>
  </si>
  <si>
    <t>実績報告日</t>
    <rPh sb="0" eb="2">
      <t>ジッセキ</t>
    </rPh>
    <rPh sb="2" eb="4">
      <t>ホウコク</t>
    </rPh>
    <rPh sb="4" eb="5">
      <t>ビ</t>
    </rPh>
    <phoneticPr fontId="55"/>
  </si>
  <si>
    <t>額の確定日</t>
    <rPh sb="0" eb="1">
      <t>ガク</t>
    </rPh>
    <rPh sb="2" eb="4">
      <t>カクテイ</t>
    </rPh>
    <rPh sb="4" eb="5">
      <t>ヒ</t>
    </rPh>
    <phoneticPr fontId="55"/>
  </si>
  <si>
    <t>支払日</t>
    <rPh sb="0" eb="2">
      <t>シハラ</t>
    </rPh>
    <rPh sb="2" eb="3">
      <t>ヒ</t>
    </rPh>
    <phoneticPr fontId="55"/>
  </si>
  <si>
    <t>郵便番号</t>
    <rPh sb="0" eb="2">
      <t>ユウビン</t>
    </rPh>
    <rPh sb="2" eb="4">
      <t>バンゴウ</t>
    </rPh>
    <phoneticPr fontId="1"/>
  </si>
  <si>
    <t>申請者情報</t>
    <rPh sb="0" eb="3">
      <t>シンセイシャ</t>
    </rPh>
    <rPh sb="3" eb="5">
      <t>ジョウホウ</t>
    </rPh>
    <phoneticPr fontId="55"/>
  </si>
  <si>
    <t>電話番号</t>
    <rPh sb="0" eb="4">
      <t>デンワバンゴウ</t>
    </rPh>
    <phoneticPr fontId="1"/>
  </si>
  <si>
    <t>市町村名</t>
    <rPh sb="0" eb="4">
      <t>シチョウソンメイ</t>
    </rPh>
    <phoneticPr fontId="35"/>
  </si>
  <si>
    <t>市町村</t>
    <rPh sb="0" eb="3">
      <t>シチョウソン</t>
    </rPh>
    <phoneticPr fontId="1"/>
  </si>
  <si>
    <t>大字名、丁目、地番等</t>
    <rPh sb="0" eb="2">
      <t>オオアザ</t>
    </rPh>
    <rPh sb="2" eb="3">
      <t>メイ</t>
    </rPh>
    <rPh sb="4" eb="6">
      <t>チョウメ</t>
    </rPh>
    <rPh sb="7" eb="9">
      <t>チバン</t>
    </rPh>
    <rPh sb="9" eb="10">
      <t>トウ</t>
    </rPh>
    <phoneticPr fontId="1"/>
  </si>
  <si>
    <t>（万円）</t>
    <rPh sb="1" eb="3">
      <t>マンエン</t>
    </rPh>
    <phoneticPr fontId="1"/>
  </si>
  <si>
    <t>（㎡）</t>
    <phoneticPr fontId="1"/>
  </si>
  <si>
    <t>面積単価</t>
    <rPh sb="0" eb="2">
      <t>メンセキ</t>
    </rPh>
    <rPh sb="2" eb="4">
      <t>タンカ</t>
    </rPh>
    <phoneticPr fontId="1"/>
  </si>
  <si>
    <t>（万円/㎡)</t>
    <rPh sb="1" eb="3">
      <t>マンエン</t>
    </rPh>
    <phoneticPr fontId="1"/>
  </si>
  <si>
    <t>完成（予定）年月日</t>
    <rPh sb="0" eb="2">
      <t>カンセイ</t>
    </rPh>
    <rPh sb="3" eb="5">
      <t>ヨテイ</t>
    </rPh>
    <rPh sb="6" eb="9">
      <t>ネンガッピ</t>
    </rPh>
    <phoneticPr fontId="55"/>
  </si>
  <si>
    <t>着工（予定）年月日</t>
    <rPh sb="0" eb="2">
      <t>チャッコウ</t>
    </rPh>
    <rPh sb="3" eb="5">
      <t>ヨテイ</t>
    </rPh>
    <rPh sb="6" eb="9">
      <t>ネンガッピ</t>
    </rPh>
    <phoneticPr fontId="55"/>
  </si>
  <si>
    <t>事業者情報</t>
    <rPh sb="0" eb="3">
      <t>ジギョウシャ</t>
    </rPh>
    <rPh sb="3" eb="5">
      <t>ジョウホウ</t>
    </rPh>
    <phoneticPr fontId="1"/>
  </si>
  <si>
    <t>再生可能値ルギー設備</t>
    <rPh sb="0" eb="2">
      <t>サイセイ</t>
    </rPh>
    <rPh sb="2" eb="4">
      <t>カノウ</t>
    </rPh>
    <rPh sb="4" eb="5">
      <t>ネ</t>
    </rPh>
    <rPh sb="8" eb="10">
      <t>セツビ</t>
    </rPh>
    <phoneticPr fontId="1"/>
  </si>
  <si>
    <t>設置</t>
    <rPh sb="0" eb="2">
      <t>セッチ</t>
    </rPh>
    <phoneticPr fontId="1"/>
  </si>
  <si>
    <t>内容</t>
    <rPh sb="0" eb="2">
      <t>ナイヨウ</t>
    </rPh>
    <phoneticPr fontId="1"/>
  </si>
  <si>
    <t>ZEH</t>
    <phoneticPr fontId="1"/>
  </si>
  <si>
    <t>認証</t>
    <rPh sb="0" eb="2">
      <t>ニンショウ</t>
    </rPh>
    <phoneticPr fontId="1"/>
  </si>
  <si>
    <t>国補助利用</t>
    <rPh sb="0" eb="3">
      <t>クニホジョ</t>
    </rPh>
    <rPh sb="3" eb="5">
      <t>リヨウ</t>
    </rPh>
    <phoneticPr fontId="1"/>
  </si>
  <si>
    <t>（有:1　無:0）</t>
    <rPh sb="1" eb="2">
      <t>アリ</t>
    </rPh>
    <rPh sb="5" eb="6">
      <t>ナシ</t>
    </rPh>
    <phoneticPr fontId="1"/>
  </si>
  <si>
    <t>県産材利用</t>
    <rPh sb="0" eb="3">
      <t>ケンサンザイ</t>
    </rPh>
    <rPh sb="3" eb="5">
      <t>リヨウ</t>
    </rPh>
    <phoneticPr fontId="1"/>
  </si>
  <si>
    <t>10m3以上</t>
    <rPh sb="4" eb="6">
      <t>イジョウ</t>
    </rPh>
    <phoneticPr fontId="1"/>
  </si>
  <si>
    <t>内外装材20m2以上</t>
    <rPh sb="0" eb="4">
      <t>ナイガイソウザイ</t>
    </rPh>
    <rPh sb="8" eb="10">
      <t>イジョウ</t>
    </rPh>
    <phoneticPr fontId="1"/>
  </si>
  <si>
    <t>内外装材に県産材を20㎡以上使用する。</t>
    <rPh sb="0" eb="4">
      <t>ナイガイソウザイ</t>
    </rPh>
    <rPh sb="5" eb="8">
      <t>ケンサンザイ</t>
    </rPh>
    <rPh sb="12" eb="14">
      <t>イジョウ</t>
    </rPh>
    <rPh sb="14" eb="16">
      <t>シヨウ</t>
    </rPh>
    <phoneticPr fontId="1"/>
  </si>
  <si>
    <t>交付決定額</t>
    <rPh sb="0" eb="4">
      <t>コウフケッテイ</t>
    </rPh>
    <rPh sb="4" eb="5">
      <t>ガク</t>
    </rPh>
    <phoneticPr fontId="55"/>
  </si>
  <si>
    <t>額確定額</t>
    <rPh sb="0" eb="3">
      <t>ガクカクテイ</t>
    </rPh>
    <rPh sb="3" eb="4">
      <t>ガク</t>
    </rPh>
    <phoneticPr fontId="55"/>
  </si>
  <si>
    <t>変更承認額</t>
    <rPh sb="0" eb="4">
      <t>ヘンコウショウニン</t>
    </rPh>
    <rPh sb="4" eb="5">
      <t>ガク</t>
    </rPh>
    <phoneticPr fontId="55"/>
  </si>
  <si>
    <t>変更承認日</t>
    <rPh sb="0" eb="2">
      <t>ヘンコウ</t>
    </rPh>
    <rPh sb="2" eb="4">
      <t>ショウニン</t>
    </rPh>
    <rPh sb="4" eb="5">
      <t>ヒ</t>
    </rPh>
    <phoneticPr fontId="55"/>
  </si>
  <si>
    <t>T-G1</t>
    <phoneticPr fontId="1"/>
  </si>
  <si>
    <t>T-G2</t>
    <phoneticPr fontId="1"/>
  </si>
  <si>
    <t>T-G3</t>
    <phoneticPr fontId="1"/>
  </si>
  <si>
    <t>→行全体を台帳へコピぺ</t>
    <rPh sb="1" eb="2">
      <t>ギョウ</t>
    </rPh>
    <rPh sb="2" eb="4">
      <t>ゼンタイ</t>
    </rPh>
    <rPh sb="5" eb="7">
      <t>ダイチョウ</t>
    </rPh>
    <phoneticPr fontId="1"/>
  </si>
  <si>
    <t>　　　　　とっとり未来型省エネ住宅特別促進事業建設等計画（報告）書【新築用】</t>
    <rPh sb="9" eb="12">
      <t>ミライガタ</t>
    </rPh>
    <rPh sb="12" eb="13">
      <t>ショウ</t>
    </rPh>
    <rPh sb="15" eb="17">
      <t>ジュウタク</t>
    </rPh>
    <rPh sb="17" eb="19">
      <t>トクベツ</t>
    </rPh>
    <rPh sb="19" eb="23">
      <t>ソクシンジギョウ</t>
    </rPh>
    <rPh sb="23" eb="25">
      <t>ケンセツ</t>
    </rPh>
    <rPh sb="25" eb="26">
      <t>トウ</t>
    </rPh>
    <rPh sb="26" eb="28">
      <t>ケイカク</t>
    </rPh>
    <rPh sb="29" eb="31">
      <t>ホウコク</t>
    </rPh>
    <rPh sb="32" eb="33">
      <t>ショ</t>
    </rPh>
    <rPh sb="34" eb="36">
      <t>シンチク</t>
    </rPh>
    <rPh sb="36" eb="37">
      <t>ヨウ</t>
    </rPh>
    <phoneticPr fontId="1"/>
  </si>
  <si>
    <t>　　　　　とっとり住まいる支援事業兼</t>
    <rPh sb="9" eb="10">
      <t>ス</t>
    </rPh>
    <rPh sb="13" eb="17">
      <t>シエンジギョウ</t>
    </rPh>
    <rPh sb="17" eb="18">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</si>
  <si>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29" eb="32">
      <t>ミライガタ</t>
    </rPh>
    <rPh sb="32" eb="33">
      <t>ショウ</t>
    </rPh>
    <rPh sb="35" eb="37">
      <t>ジュウタク</t>
    </rPh>
    <rPh sb="37" eb="43">
      <t>トクベツソクシンジギョウ</t>
    </rPh>
    <rPh sb="43" eb="46">
      <t>ホジョキン</t>
    </rPh>
    <rPh sb="46" eb="50">
      <t>コウフヨウコウ</t>
    </rPh>
    <rPh sb="51" eb="53">
      <t>ジュクドク</t>
    </rPh>
    <rPh sb="55" eb="57">
      <t>コウフ</t>
    </rPh>
    <rPh sb="57" eb="59">
      <t>シンセイ</t>
    </rPh>
    <rPh sb="60" eb="62">
      <t>ジッセキ</t>
    </rPh>
    <rPh sb="62" eb="64">
      <t>ホウコク</t>
    </rPh>
    <rPh sb="65" eb="67">
      <t>ナイヨウ</t>
    </rPh>
    <phoneticPr fontId="1"/>
  </si>
  <si>
    <t>・とっとり住まいる支援事業兼とっとり未来型省エネ住宅</t>
    <rPh sb="13" eb="14">
      <t>ケン</t>
    </rPh>
    <phoneticPr fontId="1"/>
  </si>
  <si>
    <t>　特別促進事業建設等計画（報告）書</t>
    <phoneticPr fontId="1"/>
  </si>
  <si>
    <t>※とっとり住まいる支援事業を利用しない方は２ページ及び３ページの入力は不要です。</t>
    <rPh sb="5" eb="6">
      <t>ス</t>
    </rPh>
    <rPh sb="9" eb="13">
      <t>シエンジギョウ</t>
    </rPh>
    <rPh sb="14" eb="16">
      <t>リヨウ</t>
    </rPh>
    <rPh sb="19" eb="20">
      <t>カタ</t>
    </rPh>
    <rPh sb="25" eb="26">
      <t>オヨ</t>
    </rPh>
    <rPh sb="32" eb="34">
      <t>ニュウリョク</t>
    </rPh>
    <rPh sb="35" eb="37">
      <t>フヨウ</t>
    </rPh>
    <phoneticPr fontId="1"/>
  </si>
  <si>
    <t>住居表示</t>
    <rPh sb="0" eb="2">
      <t>ジュウキョ</t>
    </rPh>
    <rPh sb="2" eb="4">
      <t>ヒョウジ</t>
    </rPh>
    <phoneticPr fontId="1"/>
  </si>
  <si>
    <t>令和５年度とっとり住まいる支援事業台帳</t>
    <rPh sb="0" eb="2">
      <t>レイワ</t>
    </rPh>
    <rPh sb="17" eb="19">
      <t>ダイチョウ</t>
    </rPh>
    <phoneticPr fontId="1"/>
  </si>
  <si>
    <t>とっとり住まいる支援事業補助金交付申請書</t>
    <phoneticPr fontId="1"/>
  </si>
  <si>
    <t>とっとり未来型省エネ住宅特別促進事業補助金交付申請書</t>
    <phoneticPr fontId="1"/>
  </si>
  <si>
    <t>とっとり住まいる支援事業兼とっとり未来型省エネ住宅特別促進事業建築等計画（報告）書【新築用】</t>
    <rPh sb="12" eb="13">
      <t>ケン</t>
    </rPh>
    <rPh sb="31" eb="34">
      <t>ケンチクナド</t>
    </rPh>
    <rPh sb="37" eb="39">
      <t>ホウコク</t>
    </rPh>
    <phoneticPr fontId="1"/>
  </si>
  <si>
    <t>　私は、とっとり住まいる支援事業補助金交付要綱及びとっとり未来型省エネ住宅特別促進事業補助金交付要綱を熟読し、交付申請内容について上記のとおり確認しました。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59" eb="61">
      <t>ナイヨウ</t>
    </rPh>
    <rPh sb="65" eb="66">
      <t>ウエ</t>
    </rPh>
    <phoneticPr fontId="1"/>
  </si>
  <si>
    <t>様式第11号（第9条関係）</t>
    <rPh sb="0" eb="2">
      <t>ヨウシキ</t>
    </rPh>
    <rPh sb="2" eb="3">
      <t>ダイ</t>
    </rPh>
    <rPh sb="5" eb="6">
      <t>ゴウ</t>
    </rPh>
    <rPh sb="7" eb="8">
      <t>ダイ</t>
    </rPh>
    <rPh sb="9" eb="12">
      <t>ジョウカンケイ</t>
    </rPh>
    <phoneticPr fontId="1"/>
  </si>
  <si>
    <t>省エネルギー性能説明書</t>
    <rPh sb="0" eb="1">
      <t>ショウ</t>
    </rPh>
    <rPh sb="6" eb="11">
      <t>セイノウセツメイショ</t>
    </rPh>
    <phoneticPr fontId="1"/>
  </si>
  <si>
    <t>［１　建築物に関する事項］</t>
    <phoneticPr fontId="1"/>
  </si>
  <si>
    <t>所在地：</t>
    <rPh sb="0" eb="3">
      <t>ショザイチ</t>
    </rPh>
    <phoneticPr fontId="1"/>
  </si>
  <si>
    <t>地域区分：</t>
    <rPh sb="0" eb="4">
      <t>チイキクブン</t>
    </rPh>
    <phoneticPr fontId="1"/>
  </si>
  <si>
    <t>建築物エネルギー消費性能性能基準への適合性：</t>
    <rPh sb="0" eb="3">
      <t>ケンチクブツ</t>
    </rPh>
    <rPh sb="8" eb="12">
      <t>ショウヒセイノウ</t>
    </rPh>
    <rPh sb="12" eb="16">
      <t>セイノウキジュン</t>
    </rPh>
    <rPh sb="18" eb="21">
      <t>テキゴウセイ</t>
    </rPh>
    <phoneticPr fontId="1"/>
  </si>
  <si>
    <t>基準</t>
    <rPh sb="0" eb="2">
      <t>キジュン</t>
    </rPh>
    <phoneticPr fontId="1"/>
  </si>
  <si>
    <t>外皮平均熱貫流率(UA値)</t>
    <rPh sb="0" eb="2">
      <t>ガイヒ</t>
    </rPh>
    <rPh sb="2" eb="4">
      <t>ヘイキン</t>
    </rPh>
    <rPh sb="4" eb="5">
      <t>ネツ</t>
    </rPh>
    <rPh sb="5" eb="7">
      <t>カンリュウ</t>
    </rPh>
    <rPh sb="7" eb="8">
      <t>リツ</t>
    </rPh>
    <rPh sb="11" eb="12">
      <t>チ</t>
    </rPh>
    <phoneticPr fontId="1"/>
  </si>
  <si>
    <r>
      <t>冷房期の平均日射熱取得率</t>
    </r>
    <r>
      <rPr>
        <sz val="9"/>
        <color theme="1"/>
        <rFont val="Century"/>
        <family val="1"/>
      </rPr>
      <t>(</t>
    </r>
    <r>
      <rPr>
        <sz val="9"/>
        <color theme="1"/>
        <rFont val="ＭＳ 明朝"/>
        <family val="1"/>
        <charset val="128"/>
      </rPr>
      <t>η</t>
    </r>
    <r>
      <rPr>
        <vertAlign val="subscript"/>
        <sz val="9"/>
        <color theme="1"/>
        <rFont val="Century"/>
        <family val="1"/>
      </rPr>
      <t>AC</t>
    </r>
    <r>
      <rPr>
        <sz val="9"/>
        <color theme="1"/>
        <rFont val="ＭＳ 明朝"/>
        <family val="1"/>
        <charset val="128"/>
      </rPr>
      <t>値</t>
    </r>
    <r>
      <rPr>
        <sz val="9"/>
        <color theme="1"/>
        <rFont val="Century"/>
        <family val="1"/>
      </rPr>
      <t>)</t>
    </r>
  </si>
  <si>
    <r>
      <t>一次エネルギー消費量</t>
    </r>
    <r>
      <rPr>
        <sz val="9"/>
        <color theme="1"/>
        <rFont val="Century"/>
        <family val="1"/>
      </rPr>
      <t>(BEI)</t>
    </r>
  </si>
  <si>
    <t>基準値</t>
    <rPh sb="0" eb="3">
      <t>キジュンチ</t>
    </rPh>
    <phoneticPr fontId="1"/>
  </si>
  <si>
    <t>計算値</t>
    <rPh sb="0" eb="3">
      <t>ケイサンチ</t>
    </rPh>
    <phoneticPr fontId="1"/>
  </si>
  <si>
    <t>判定</t>
    <rPh sb="0" eb="2">
      <t>ハンテイ</t>
    </rPh>
    <phoneticPr fontId="1"/>
  </si>
  <si>
    <t>□適合　　□不適合</t>
    <rPh sb="1" eb="3">
      <t>テキゴウ</t>
    </rPh>
    <rPh sb="6" eb="9">
      <t>フテキゴウ</t>
    </rPh>
    <phoneticPr fontId="1"/>
  </si>
  <si>
    <t>地域</t>
    <rPh sb="0" eb="2">
      <t>チイキ</t>
    </rPh>
    <phoneticPr fontId="1"/>
  </si>
  <si>
    <t>1.0以下</t>
    <rPh sb="3" eb="5">
      <t>イカ</t>
    </rPh>
    <phoneticPr fontId="1"/>
  </si>
  <si>
    <t>建築物エネルギー消費性能の確保のためとるべき措置：</t>
    <phoneticPr fontId="1"/>
  </si>
  <si>
    <t>［２　建築士に関する事項］</t>
    <phoneticPr fontId="1"/>
  </si>
  <si>
    <t>資格：</t>
    <rPh sb="0" eb="2">
      <t>シカク</t>
    </rPh>
    <phoneticPr fontId="1"/>
  </si>
  <si>
    <t>登録第</t>
    <rPh sb="0" eb="2">
      <t>トウロク</t>
    </rPh>
    <rPh sb="2" eb="3">
      <t>ダイ</t>
    </rPh>
    <phoneticPr fontId="1"/>
  </si>
  <si>
    <t>号</t>
    <rPh sb="0" eb="1">
      <t>ゴウ</t>
    </rPh>
    <phoneticPr fontId="1"/>
  </si>
  <si>
    <t>［３　建築士事務所に関する事項］</t>
    <phoneticPr fontId="1"/>
  </si>
  <si>
    <t>名称：</t>
    <rPh sb="0" eb="2">
      <t>メイショウ</t>
    </rPh>
    <phoneticPr fontId="1"/>
  </si>
  <si>
    <t>区分：</t>
    <rPh sb="0" eb="2">
      <t>クブン</t>
    </rPh>
    <phoneticPr fontId="1"/>
  </si>
  <si>
    <t>事務所</t>
    <rPh sb="0" eb="3">
      <t>ジムショ</t>
    </rPh>
    <phoneticPr fontId="1"/>
  </si>
  <si>
    <t>（参考１）建築物エネルギー消費性能基準一覧</t>
    <phoneticPr fontId="1"/>
  </si>
  <si>
    <t>断熱性能　UA値</t>
    <phoneticPr fontId="1"/>
  </si>
  <si>
    <t>気密性能　C値</t>
    <phoneticPr fontId="1"/>
  </si>
  <si>
    <t>冷暖房費・CO2削減率</t>
    <phoneticPr fontId="1"/>
  </si>
  <si>
    <t>国省エネ基準
（１の判定基準）</t>
    <rPh sb="0" eb="1">
      <t>クニ</t>
    </rPh>
    <rPh sb="1" eb="2">
      <t>ショウ</t>
    </rPh>
    <rPh sb="4" eb="6">
      <t>キジュン</t>
    </rPh>
    <rPh sb="10" eb="14">
      <t>ハンテイキジュン</t>
    </rPh>
    <phoneticPr fontId="1"/>
  </si>
  <si>
    <t>国ＺＥＨ基準</t>
    <rPh sb="0" eb="6">
      <t>ゼッチ</t>
    </rPh>
    <phoneticPr fontId="1" alignment="center"/>
  </si>
  <si>
    <t>とっとり健康省エネ住宅性能基準</t>
    <rPh sb="4" eb="7">
      <t>ケンコウショウ</t>
    </rPh>
    <rPh sb="9" eb="11">
      <t>ジュウタク</t>
    </rPh>
    <rPh sb="11" eb="15">
      <t>セイノウキジュン</t>
    </rPh>
    <phoneticPr fontId="1"/>
  </si>
  <si>
    <t>0.87～0.75</t>
    <phoneticPr fontId="1"/>
  </si>
  <si>
    <t>－</t>
    <phoneticPr fontId="1"/>
  </si>
  <si>
    <t>約10%削減</t>
    <phoneticPr fontId="1"/>
  </si>
  <si>
    <t>約30%削減</t>
    <phoneticPr fontId="1"/>
  </si>
  <si>
    <t>約50%削減</t>
    <phoneticPr fontId="1"/>
  </si>
  <si>
    <t>約70%削減</t>
    <phoneticPr fontId="1"/>
  </si>
  <si>
    <t>※ZEHは、ネット・ゼロ・エネルギー・ハウスの略。断熱化による省エネと太陽光発電などの創エネにより、年間の一次消費エネルギー量（空調・給湯・照明・換気）の収支をプラスマイナス「ゼロ」にする住宅をいう。</t>
    <phoneticPr fontId="1"/>
  </si>
  <si>
    <t>（参考２）国の建築物エネルギー消費性能基準（地域区分ごと）</t>
    <phoneticPr fontId="1"/>
  </si>
  <si>
    <t>外皮平均熱貫流率(UA値)</t>
    <phoneticPr fontId="1"/>
  </si>
  <si>
    <t>冷房期の平均日射熱取得率(ηAC値)</t>
    <phoneticPr fontId="1"/>
  </si>
  <si>
    <t>４地域</t>
    <rPh sb="1" eb="3">
      <t>チイキ</t>
    </rPh>
    <phoneticPr fontId="1"/>
  </si>
  <si>
    <t>５地域</t>
    <rPh sb="1" eb="3">
      <t>チイキ</t>
    </rPh>
    <phoneticPr fontId="1"/>
  </si>
  <si>
    <t>６地域</t>
    <rPh sb="1" eb="3">
      <t>チイキ</t>
    </rPh>
    <phoneticPr fontId="1"/>
  </si>
  <si>
    <t>0.75以下</t>
    <phoneticPr fontId="1"/>
  </si>
  <si>
    <t>0.87以下</t>
    <phoneticPr fontId="1"/>
  </si>
  <si>
    <t>3.0以下</t>
    <phoneticPr fontId="1"/>
  </si>
  <si>
    <t>2.8以下</t>
    <phoneticPr fontId="1"/>
  </si>
  <si>
    <t>1.0以下</t>
    <phoneticPr fontId="1"/>
  </si>
  <si>
    <t xml:space="preserve">４地域：若桜町、日南町、日野町
５地域：倉吉市、智頭町、八頭町、三朝町、南部町、江府町
６地域：鳥取市、米子市、境港市、岩美町、湯梨浜町、琴浦町、北栄町、日吉津村、大山町、伯耆町
</t>
    <phoneticPr fontId="1"/>
  </si>
  <si>
    <t>上記について、説明を受けました。</t>
    <phoneticPr fontId="1"/>
  </si>
  <si>
    <t>建築主氏名</t>
    <rPh sb="0" eb="3">
      <t>ケンチクヌシ</t>
    </rPh>
    <rPh sb="3" eb="5">
      <t>シメイ</t>
    </rPh>
    <phoneticPr fontId="1"/>
  </si>
  <si>
    <t>当該住宅の省エネルギー性能を説明します。この説明書に記載の事項は、事実に相違ありません。</t>
    <rPh sb="0" eb="4">
      <t>トウガイジュウタク</t>
    </rPh>
    <rPh sb="5" eb="6">
      <t>ショウ</t>
    </rPh>
    <rPh sb="11" eb="13">
      <t>セイノウ</t>
    </rPh>
    <rPh sb="14" eb="16">
      <t>セツメイ</t>
    </rPh>
    <rPh sb="22" eb="25">
      <t>セツメイショ</t>
    </rPh>
    <rPh sb="26" eb="28">
      <t>キサイ</t>
    </rPh>
    <rPh sb="29" eb="31">
      <t>ジコウ</t>
    </rPh>
    <rPh sb="33" eb="35">
      <t>ジジツ</t>
    </rPh>
    <rPh sb="36" eb="38">
      <t>ソウイ</t>
    </rPh>
    <phoneticPr fontId="1"/>
  </si>
  <si>
    <t>こどもエコすまい利用者</t>
    <rPh sb="8" eb="11">
      <t>リヨウシャ</t>
    </rPh>
    <phoneticPr fontId="1"/>
  </si>
  <si>
    <t>グリーン化事業（材料代支援）</t>
    <rPh sb="4" eb="7">
      <t>カジギョウ</t>
    </rPh>
    <rPh sb="8" eb="11">
      <t>ザイリョウダイ</t>
    </rPh>
    <rPh sb="11" eb="13">
      <t>シエン</t>
    </rPh>
    <phoneticPr fontId="1"/>
  </si>
  <si>
    <t>利用の有無</t>
    <rPh sb="0" eb="2">
      <t>リヨウ</t>
    </rPh>
    <rPh sb="3" eb="5">
      <t>ウム</t>
    </rPh>
    <phoneticPr fontId="1"/>
  </si>
  <si>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</si>
  <si>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</si>
  <si>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境港市</t>
  </si>
  <si>
    <t>境港市</t>
    <rPh sb="0" eb="2">
      <t>サカイミナト</t>
    </rPh>
    <rPh sb="2" eb="3">
      <t>シ</t>
    </rPh>
    <phoneticPr fontId="1"/>
  </si>
  <si>
    <t>鳥取県西部総合事務所長</t>
    <rPh sb="0" eb="3">
      <t>トットリケン</t>
    </rPh>
    <rPh sb="3" eb="5">
      <t>セイブ</t>
    </rPh>
    <rPh sb="5" eb="7">
      <t>ソウゴウ</t>
    </rPh>
    <rPh sb="7" eb="10">
      <t>ジムショ</t>
    </rPh>
    <rPh sb="10" eb="11">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</si>
</sst>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411]ge\.m\.d;@"/>
    <numFmt numFmtId="185" formatCode="#,##0_ "/>
    <numFmt numFmtId="186" formatCode="0.000"/>
    <numFmt numFmtId="187" formatCode="0.00_ "/>
    <numFmt numFmtId="188" formatCode="0_);[Red]\(0\)"/>
    <numFmt numFmtId="189" formatCode="[$-411]ggge&quot;年&quot;m&quot;月&quot;d&quot;日&quot;;@"/>
    <numFmt numFmtId="190" formatCode="#,##0_);[Red]\(#,##0\)"/>
  </numFmts>
  <fonts count="62"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sz val="10"/>
      <color rgb="FFFF0000"/>
      <name val="ＭＳ 明朝"/>
      <family val="1"/>
      <charset val="128"/>
    </font>
    <font>
      <sz val="11"/>
      <color rgb="FF0000FF"/>
      <name val="ＭＳ Ｐ明朝"/>
      <family val="1"/>
      <charset val="128"/>
    </font>
    <font>
      <sz val="11"/>
      <color theme="1"/>
      <name val="ＭＳ ゴシック"/>
      <family val="3"/>
      <charset val="128"/>
    </font>
    <font>
      <sz val="11"/>
      <color theme="0"/>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sz val="8"/>
      <color rgb="FFFF0000"/>
      <name val="ＭＳ Ｐゴシック"/>
      <family val="3"/>
      <charset val="128"/>
      <scheme val="minor"/>
    </font>
    <font>
      <b/>
      <sz val="10"/>
      <color indexed="8"/>
      <name val="ＭＳ Ｐゴシック"/>
      <family val="3"/>
      <charset val="128"/>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sz val="11"/>
      <name val="ＭＳ Ｐゴシック"/>
      <family val="2"/>
      <charset val="128"/>
      <scheme val="minor"/>
    </font>
    <font>
      <b/>
      <sz val="10"/>
      <color rgb="FFFF0000"/>
      <name val="ＭＳ Ｐゴシック"/>
      <family val="3"/>
      <charset val="128"/>
      <scheme val="minor"/>
    </font>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Century"/>
      <family val="1"/>
    </font>
    <font>
      <vertAlign val="subscript"/>
      <sz val="9"/>
      <color theme="1"/>
      <name val="Century"/>
      <family val="1"/>
    </font>
    <font>
      <sz val="9"/>
      <color theme="1"/>
      <name val="ＭＳ ゴシック"/>
      <family val="3"/>
      <charset val="128"/>
    </font>
    <font>
      <sz val="6"/>
      <color theme="1"/>
      <name val="ＭＳ 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top style="medium">
        <color auto="1"/>
      </top>
      <bottom style="thin">
        <color indexed="64"/>
      </bottom>
      <diagonal/>
    </border>
  </borders>
  <cellStyleXfs count="5">
    <xf numFmtId="0" fontId="0" fillId="0" borderId="0">
      <alignment vertical="center"/>
    </xf>
    <xf numFmtId="38" fontId="18" fillId="0" borderId="0" applyFont="0" applyFill="0" applyBorder="0" applyAlignment="0" applyProtection="0">
      <alignment vertical="center"/>
    </xf>
    <xf numFmtId="0" fontId="53" fillId="0" borderId="0"/>
    <xf numFmtId="38" fontId="53" fillId="0" borderId="0" applyFont="0" applyFill="0" applyBorder="0" applyAlignment="0" applyProtection="0">
      <alignment vertical="center"/>
    </xf>
    <xf numFmtId="9" fontId="53" fillId="0" borderId="0" applyFont="0" applyFill="0" applyBorder="0" applyAlignment="0" applyProtection="0">
      <alignment vertical="center"/>
    </xf>
  </cellStyleXfs>
  <cellXfs count="677">
    <xf numFmtId="0" fontId="0" fillId="0" borderId="0" xfId="0">
      <alignment vertical="center"/>
    </xf>
    <xf numFmtId="0" fontId="4" fillId="0" borderId="0" xfId="0" applyFont="1">
      <alignment vertical="center"/>
    </xf>
    <xf numFmtId="0" fontId="5" fillId="0" borderId="0" xfId="0" applyFont="1" applyAlignment="1">
      <alignment vertical="center"/>
    </xf>
    <xf numFmtId="0" fontId="4" fillId="0" borderId="0" xfId="0" applyFont="1" applyBorder="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6"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Border="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pplyAlignment="1">
      <alignment vertical="center"/>
    </xf>
    <xf numFmtId="0" fontId="9" fillId="3" borderId="0" xfId="0" applyFont="1" applyFill="1">
      <alignment vertical="center"/>
    </xf>
    <xf numFmtId="0" fontId="4" fillId="0" borderId="10" xfId="0" applyFont="1" applyBorder="1" applyAlignment="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10" xfId="0" applyFont="1" applyBorder="1">
      <alignment vertical="center"/>
    </xf>
    <xf numFmtId="0" fontId="4" fillId="0" borderId="27" xfId="0" applyFont="1" applyBorder="1" applyAlignment="1">
      <alignment vertical="center"/>
    </xf>
    <xf numFmtId="0" fontId="4" fillId="0" borderId="27" xfId="0" applyFont="1" applyBorder="1">
      <alignment vertical="center"/>
    </xf>
    <xf numFmtId="0" fontId="4" fillId="0" borderId="11"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pplyAlignment="1">
      <alignment vertical="center"/>
    </xf>
    <xf numFmtId="0" fontId="11" fillId="0" borderId="3" xfId="0" applyFont="1" applyBorder="1" applyAlignment="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8" fillId="0" borderId="0" xfId="0" applyFont="1" applyAlignment="1">
      <alignment horizontal="right" vertical="center"/>
    </xf>
    <xf numFmtId="0" fontId="4" fillId="0" borderId="0" xfId="0" applyFont="1" applyFill="1" applyBorder="1" applyAlignment="1">
      <alignment horizontal="right" vertical="center"/>
    </xf>
    <xf numFmtId="0" fontId="4" fillId="0" borderId="0" xfId="0" applyFont="1" applyFill="1">
      <alignment vertical="center"/>
    </xf>
    <xf numFmtId="0" fontId="4"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8" fillId="0" borderId="0" xfId="0" applyFont="1" applyAlignment="1">
      <alignment vertical="center"/>
    </xf>
    <xf numFmtId="0" fontId="4" fillId="0" borderId="0" xfId="0" applyFont="1" applyAlignment="1">
      <alignment horizontal="left" vertical="center" wrapText="1"/>
    </xf>
    <xf numFmtId="0" fontId="4" fillId="0" borderId="0" xfId="0" applyFont="1" applyFill="1" applyBorder="1">
      <alignment vertical="center"/>
    </xf>
    <xf numFmtId="0" fontId="4" fillId="0" borderId="0" xfId="0" applyFont="1" applyBorder="1" applyAlignment="1">
      <alignment horizontal="center" vertical="center"/>
    </xf>
    <xf numFmtId="0" fontId="4" fillId="0" borderId="5" xfId="0" applyFont="1" applyBorder="1">
      <alignment vertical="center"/>
    </xf>
    <xf numFmtId="0" fontId="4" fillId="0" borderId="7" xfId="0" applyFont="1" applyBorder="1">
      <alignment vertical="center"/>
    </xf>
    <xf numFmtId="0" fontId="4" fillId="0" borderId="25" xfId="0" applyFont="1" applyBorder="1" applyAlignment="1">
      <alignment vertical="center"/>
    </xf>
    <xf numFmtId="0" fontId="4" fillId="0" borderId="28" xfId="0" applyFont="1" applyBorder="1" applyAlignment="1">
      <alignment vertical="center"/>
    </xf>
    <xf numFmtId="0" fontId="14" fillId="0" borderId="0" xfId="0" applyFont="1" applyBorder="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4" fillId="0" borderId="0" xfId="0" applyFont="1" applyBorder="1" applyAlignment="1">
      <alignment horizontal="lef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6" fillId="0" borderId="0" xfId="0" applyFont="1">
      <alignment vertical="center"/>
    </xf>
    <xf numFmtId="0" fontId="19" fillId="0" borderId="0" xfId="0" applyFont="1">
      <alignment vertical="center"/>
    </xf>
    <xf numFmtId="0" fontId="20" fillId="0" borderId="0" xfId="0" applyFont="1">
      <alignment vertical="center"/>
    </xf>
    <xf numFmtId="0" fontId="6" fillId="0" borderId="0" xfId="0" applyFont="1" applyBorder="1">
      <alignmen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3" fillId="0" borderId="0" xfId="0" applyFont="1">
      <alignment vertical="center"/>
    </xf>
    <xf numFmtId="0" fontId="24" fillId="0" borderId="0" xfId="0" applyFont="1">
      <alignment vertical="center"/>
    </xf>
    <xf numFmtId="49" fontId="23" fillId="0" borderId="0" xfId="0" applyNumberFormat="1" applyFont="1" applyAlignment="1">
      <alignment horizontal="right" vertical="center"/>
    </xf>
    <xf numFmtId="0" fontId="23" fillId="0" borderId="0" xfId="0" applyNumberFormat="1" applyFont="1" applyAlignment="1">
      <alignment vertical="center"/>
    </xf>
    <xf numFmtId="0" fontId="23" fillId="0" borderId="1" xfId="0" applyFont="1" applyBorder="1">
      <alignment vertical="center"/>
    </xf>
    <xf numFmtId="0" fontId="23" fillId="0" borderId="2" xfId="0" applyFont="1" applyBorder="1">
      <alignment vertical="center"/>
    </xf>
    <xf numFmtId="0" fontId="23" fillId="0" borderId="3" xfId="0" applyFont="1" applyBorder="1">
      <alignment vertical="center"/>
    </xf>
    <xf numFmtId="176" fontId="23" fillId="0" borderId="1" xfId="0" applyNumberFormat="1" applyFont="1" applyBorder="1" applyAlignment="1">
      <alignment vertical="center"/>
    </xf>
    <xf numFmtId="176" fontId="23" fillId="0" borderId="2" xfId="0" applyNumberFormat="1" applyFont="1" applyBorder="1" applyAlignment="1">
      <alignment vertical="center"/>
    </xf>
    <xf numFmtId="176" fontId="23" fillId="0" borderId="2" xfId="0" applyNumberFormat="1" applyFont="1" applyBorder="1" applyAlignment="1">
      <alignment horizontal="right" vertical="center"/>
    </xf>
    <xf numFmtId="176" fontId="23" fillId="0" borderId="3" xfId="0" applyNumberFormat="1" applyFont="1" applyBorder="1" applyAlignment="1">
      <alignment vertical="center"/>
    </xf>
    <xf numFmtId="176" fontId="23" fillId="0" borderId="9" xfId="0" applyNumberFormat="1" applyFont="1" applyBorder="1" applyAlignment="1">
      <alignment vertical="center"/>
    </xf>
    <xf numFmtId="176" fontId="23" fillId="0" borderId="10" xfId="0" applyNumberFormat="1" applyFont="1" applyBorder="1" applyAlignment="1">
      <alignment vertical="center"/>
    </xf>
    <xf numFmtId="176" fontId="23" fillId="0" borderId="10" xfId="0" applyNumberFormat="1" applyFont="1" applyBorder="1" applyAlignment="1">
      <alignment horizontal="right" vertical="center"/>
    </xf>
    <xf numFmtId="176" fontId="23" fillId="0" borderId="11" xfId="0" applyNumberFormat="1" applyFont="1" applyBorder="1" applyAlignment="1">
      <alignment vertical="center"/>
    </xf>
    <xf numFmtId="0" fontId="23" fillId="0" borderId="6" xfId="0" applyFont="1" applyBorder="1">
      <alignment vertical="center"/>
    </xf>
    <xf numFmtId="0" fontId="23" fillId="0" borderId="5" xfId="0" applyFont="1" applyBorder="1">
      <alignment vertical="center"/>
    </xf>
    <xf numFmtId="0" fontId="23" fillId="0" borderId="7" xfId="0" applyFont="1" applyBorder="1">
      <alignment vertical="center"/>
    </xf>
    <xf numFmtId="0" fontId="25" fillId="0" borderId="6" xfId="0" applyFont="1" applyBorder="1" applyAlignment="1">
      <alignment vertical="center"/>
    </xf>
    <xf numFmtId="0" fontId="25" fillId="0" borderId="5" xfId="0" applyFont="1" applyBorder="1">
      <alignment vertical="center"/>
    </xf>
    <xf numFmtId="0" fontId="23" fillId="0" borderId="8" xfId="0" applyFont="1" applyBorder="1">
      <alignment vertical="center"/>
    </xf>
    <xf numFmtId="0" fontId="23" fillId="0" borderId="0" xfId="0" applyFont="1" applyBorder="1">
      <alignment vertical="center"/>
    </xf>
    <xf numFmtId="0" fontId="23" fillId="0" borderId="4" xfId="0" applyFont="1" applyBorder="1">
      <alignment vertical="center"/>
    </xf>
    <xf numFmtId="0" fontId="25" fillId="0" borderId="8" xfId="0" applyFont="1" applyBorder="1" applyAlignment="1">
      <alignment vertical="center"/>
    </xf>
    <xf numFmtId="0" fontId="25" fillId="0" borderId="0" xfId="0" applyFont="1" applyBorder="1">
      <alignment vertical="center"/>
    </xf>
    <xf numFmtId="0" fontId="25" fillId="0" borderId="8" xfId="0" applyFont="1" applyBorder="1">
      <alignment vertical="center"/>
    </xf>
    <xf numFmtId="0" fontId="23" fillId="0" borderId="9" xfId="0" applyFont="1" applyBorder="1">
      <alignment vertical="center"/>
    </xf>
    <xf numFmtId="0" fontId="23" fillId="0" borderId="10" xfId="0" applyFont="1" applyBorder="1">
      <alignment vertical="center"/>
    </xf>
    <xf numFmtId="0" fontId="23" fillId="0" borderId="11" xfId="0" applyFont="1" applyBorder="1">
      <alignment vertical="center"/>
    </xf>
    <xf numFmtId="0" fontId="25" fillId="0" borderId="9" xfId="0" applyFont="1" applyBorder="1" applyAlignment="1">
      <alignment vertical="center"/>
    </xf>
    <xf numFmtId="0" fontId="25" fillId="0" borderId="10" xfId="0" applyFont="1" applyBorder="1">
      <alignment vertical="center"/>
    </xf>
    <xf numFmtId="0" fontId="23" fillId="0" borderId="0" xfId="0" applyFont="1" applyAlignment="1">
      <alignment vertical="center"/>
    </xf>
    <xf numFmtId="0" fontId="20" fillId="0" borderId="0" xfId="0" applyFont="1" applyBorder="1" applyAlignment="1"/>
    <xf numFmtId="0" fontId="20" fillId="0" borderId="0" xfId="0" applyFont="1" applyBorder="1" applyAlignment="1">
      <alignment vertical="center" wrapText="1"/>
    </xf>
    <xf numFmtId="0" fontId="27" fillId="0" borderId="0" xfId="0" applyFont="1" applyBorder="1" applyAlignment="1">
      <alignment vertical="center"/>
    </xf>
    <xf numFmtId="0" fontId="28" fillId="0" borderId="0" xfId="0" applyFont="1" applyBorder="1">
      <alignment vertical="center"/>
    </xf>
    <xf numFmtId="0" fontId="20" fillId="0" borderId="0" xfId="0" applyFont="1" applyBorder="1">
      <alignment vertical="center"/>
    </xf>
    <xf numFmtId="0" fontId="20" fillId="0" borderId="0" xfId="0" applyFont="1" applyBorder="1" applyAlignment="1">
      <alignment vertical="center"/>
    </xf>
    <xf numFmtId="0" fontId="28" fillId="0" borderId="0" xfId="0" applyFont="1" applyBorder="1" applyAlignment="1">
      <alignment vertical="center"/>
    </xf>
    <xf numFmtId="0" fontId="20" fillId="0" borderId="6" xfId="0" applyFont="1" applyBorder="1" applyAlignment="1">
      <alignment horizontal="center" vertical="center"/>
    </xf>
    <xf numFmtId="0" fontId="28" fillId="4" borderId="12" xfId="0" applyFont="1" applyFill="1" applyBorder="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0" xfId="0" applyFont="1" applyProtection="1">
      <alignment vertical="center"/>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4" fillId="0" borderId="12" xfId="0" applyFont="1" applyFill="1" applyBorder="1" applyProtection="1">
      <alignment vertical="center"/>
      <protection locked="0"/>
    </xf>
    <xf numFmtId="0" fontId="4" fillId="0" borderId="0" xfId="0" applyFont="1" applyFill="1" applyProtection="1">
      <alignment vertical="center"/>
    </xf>
    <xf numFmtId="0" fontId="6" fillId="0" borderId="0" xfId="0" applyFont="1" applyFill="1">
      <alignment vertical="center"/>
    </xf>
    <xf numFmtId="0" fontId="4" fillId="0" borderId="2" xfId="0" applyFont="1" applyFill="1" applyBorder="1">
      <alignment vertical="center"/>
    </xf>
    <xf numFmtId="0" fontId="4" fillId="0" borderId="3" xfId="0" applyFont="1" applyFill="1" applyBorder="1">
      <alignment vertical="center"/>
    </xf>
    <xf numFmtId="0" fontId="9" fillId="0" borderId="0" xfId="0" applyFont="1" applyFill="1">
      <alignment vertical="center"/>
    </xf>
    <xf numFmtId="0" fontId="4" fillId="0" borderId="0" xfId="0" applyFont="1" applyFill="1" applyAlignment="1">
      <alignment vertical="center"/>
    </xf>
    <xf numFmtId="0" fontId="12" fillId="0" borderId="0" xfId="0" applyFont="1">
      <alignment vertical="center"/>
    </xf>
    <xf numFmtId="0" fontId="29" fillId="0" borderId="0" xfId="0" applyFont="1">
      <alignment vertical="center"/>
    </xf>
    <xf numFmtId="0" fontId="31" fillId="0" borderId="0" xfId="0" applyFont="1" applyBorder="1" applyAlignment="1">
      <alignment horizontal="right" vertical="center"/>
    </xf>
    <xf numFmtId="1" fontId="4" fillId="3" borderId="0" xfId="0" applyNumberFormat="1" applyFont="1" applyFill="1">
      <alignment vertical="center"/>
    </xf>
    <xf numFmtId="49" fontId="4" fillId="0" borderId="0" xfId="0" applyNumberFormat="1" applyFont="1">
      <alignment vertical="center"/>
    </xf>
    <xf numFmtId="0" fontId="4"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4" fillId="0" borderId="0" xfId="0" applyFont="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49" fontId="30" fillId="0" borderId="0" xfId="0" applyNumberFormat="1" applyFont="1" applyFill="1" applyAlignment="1" applyProtection="1">
      <alignment vertical="center"/>
      <protection locked="0"/>
    </xf>
    <xf numFmtId="0" fontId="30" fillId="0" borderId="0" xfId="0" applyNumberFormat="1" applyFont="1" applyFill="1" applyAlignment="1" applyProtection="1">
      <alignment vertical="center"/>
      <protection locked="0"/>
    </xf>
    <xf numFmtId="0" fontId="14" fillId="0" borderId="0" xfId="0" applyFont="1">
      <alignment vertical="center"/>
    </xf>
    <xf numFmtId="0" fontId="6" fillId="0" borderId="0" xfId="0" applyFont="1" applyProtection="1">
      <alignment vertical="center"/>
    </xf>
    <xf numFmtId="0" fontId="4" fillId="0" borderId="0" xfId="0" applyFont="1" applyBorder="1" applyProtection="1">
      <alignment vertical="center"/>
    </xf>
    <xf numFmtId="0" fontId="4" fillId="3" borderId="0" xfId="0" applyFont="1" applyFill="1" applyProtection="1">
      <alignment vertical="center"/>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protection locked="0"/>
    </xf>
    <xf numFmtId="0" fontId="15" fillId="0" borderId="0" xfId="0" applyFont="1" applyBorder="1" applyAlignment="1">
      <alignment horizontal="left" vertical="center"/>
    </xf>
    <xf numFmtId="0" fontId="3" fillId="0" borderId="0" xfId="0" applyFont="1" applyBorder="1">
      <alignment vertical="center"/>
    </xf>
    <xf numFmtId="0" fontId="32" fillId="0" borderId="0" xfId="0" applyFont="1">
      <alignment vertical="center"/>
    </xf>
    <xf numFmtId="0" fontId="0" fillId="0" borderId="0" xfId="0" applyFont="1" applyAlignment="1">
      <alignment vertical="center"/>
    </xf>
    <xf numFmtId="0" fontId="33" fillId="0" borderId="0" xfId="0" applyFont="1" applyAlignment="1">
      <alignment horizontal="center" vertical="center"/>
    </xf>
    <xf numFmtId="0" fontId="33" fillId="0" borderId="0" xfId="0" applyFont="1">
      <alignment vertical="center"/>
    </xf>
    <xf numFmtId="184" fontId="33" fillId="0" borderId="0" xfId="0" applyNumberFormat="1" applyFont="1">
      <alignment vertical="center"/>
    </xf>
    <xf numFmtId="0" fontId="34" fillId="0" borderId="0" xfId="0" applyFont="1">
      <alignment vertical="center"/>
    </xf>
    <xf numFmtId="0" fontId="33" fillId="0" borderId="0" xfId="0" applyNumberFormat="1" applyFont="1" applyAlignment="1">
      <alignment vertical="center"/>
    </xf>
    <xf numFmtId="178" fontId="33" fillId="0" borderId="0" xfId="0" applyNumberFormat="1" applyFont="1">
      <alignment vertical="center"/>
    </xf>
    <xf numFmtId="185" fontId="33" fillId="0" borderId="0" xfId="0" applyNumberFormat="1" applyFont="1">
      <alignment vertical="center"/>
    </xf>
    <xf numFmtId="0" fontId="33" fillId="0" borderId="0" xfId="0" applyFont="1" applyFill="1">
      <alignment vertical="center"/>
    </xf>
    <xf numFmtId="184" fontId="33" fillId="6" borderId="0" xfId="0" applyNumberFormat="1" applyFont="1" applyFill="1">
      <alignment vertical="center"/>
    </xf>
    <xf numFmtId="0" fontId="33" fillId="6" borderId="0" xfId="0" applyFont="1" applyFill="1">
      <alignment vertical="center"/>
    </xf>
    <xf numFmtId="0" fontId="33" fillId="6" borderId="0" xfId="0" applyFont="1" applyFill="1" applyAlignment="1">
      <alignment horizontal="center" vertical="center"/>
    </xf>
    <xf numFmtId="0" fontId="33" fillId="6" borderId="0" xfId="0" applyNumberFormat="1" applyFont="1" applyFill="1" applyAlignment="1">
      <alignment vertical="center"/>
    </xf>
    <xf numFmtId="178" fontId="33" fillId="6" borderId="0" xfId="0" applyNumberFormat="1" applyFont="1" applyFill="1">
      <alignment vertical="center"/>
    </xf>
    <xf numFmtId="185" fontId="33" fillId="6" borderId="0" xfId="0" applyNumberFormat="1" applyFont="1" applyFill="1">
      <alignment vertical="center"/>
    </xf>
    <xf numFmtId="178" fontId="33" fillId="7" borderId="10" xfId="0" applyNumberFormat="1" applyFont="1" applyFill="1" applyBorder="1" applyAlignment="1">
      <alignment vertical="center"/>
    </xf>
    <xf numFmtId="0" fontId="32" fillId="0" borderId="13" xfId="0" applyFont="1" applyFill="1" applyBorder="1" applyAlignment="1">
      <alignment vertical="top" wrapText="1"/>
    </xf>
    <xf numFmtId="0" fontId="36" fillId="0" borderId="13" xfId="0" applyFont="1" applyFill="1" applyBorder="1" applyAlignment="1">
      <alignment vertical="top" wrapText="1"/>
    </xf>
    <xf numFmtId="0" fontId="33" fillId="0" borderId="13" xfId="0" applyFont="1" applyFill="1" applyBorder="1" applyAlignment="1">
      <alignment horizontal="center" vertical="top" wrapText="1"/>
    </xf>
    <xf numFmtId="0" fontId="33" fillId="0" borderId="13" xfId="0" applyFont="1" applyFill="1" applyBorder="1" applyAlignment="1">
      <alignment vertical="top" wrapText="1"/>
    </xf>
    <xf numFmtId="0" fontId="37" fillId="0" borderId="13" xfId="0" applyFont="1" applyFill="1" applyBorder="1" applyAlignment="1">
      <alignment vertical="top" wrapText="1"/>
    </xf>
    <xf numFmtId="184" fontId="33" fillId="0" borderId="13" xfId="0" applyNumberFormat="1" applyFont="1" applyFill="1" applyBorder="1" applyAlignment="1">
      <alignment vertical="top" wrapText="1"/>
    </xf>
    <xf numFmtId="0" fontId="33" fillId="0" borderId="1" xfId="0" applyFont="1" applyFill="1" applyBorder="1" applyAlignment="1">
      <alignment vertical="top" wrapText="1"/>
    </xf>
    <xf numFmtId="0" fontId="33" fillId="0" borderId="2" xfId="0" applyFont="1" applyFill="1" applyBorder="1" applyAlignment="1">
      <alignment horizontal="center" vertical="top" wrapText="1"/>
    </xf>
    <xf numFmtId="0" fontId="33" fillId="0" borderId="2" xfId="0" applyFont="1" applyFill="1" applyBorder="1" applyAlignment="1">
      <alignment vertical="top" wrapText="1"/>
    </xf>
    <xf numFmtId="0" fontId="33" fillId="0" borderId="3" xfId="0" applyFont="1" applyFill="1" applyBorder="1" applyAlignment="1">
      <alignment horizontal="center" vertical="top" wrapText="1"/>
    </xf>
    <xf numFmtId="0" fontId="33" fillId="0" borderId="1" xfId="0" applyFont="1" applyFill="1" applyBorder="1" applyAlignment="1">
      <alignment horizontal="center" vertical="top" wrapText="1"/>
    </xf>
    <xf numFmtId="0" fontId="33" fillId="0" borderId="3" xfId="0" applyNumberFormat="1" applyFont="1" applyFill="1" applyBorder="1" applyAlignment="1">
      <alignment vertical="top"/>
    </xf>
    <xf numFmtId="178" fontId="33" fillId="8" borderId="0" xfId="0" applyNumberFormat="1" applyFont="1" applyFill="1" applyAlignment="1">
      <alignment vertical="top"/>
    </xf>
    <xf numFmtId="178" fontId="33" fillId="8" borderId="0" xfId="0" applyNumberFormat="1" applyFont="1" applyFill="1" applyAlignment="1">
      <alignment vertical="top" wrapText="1"/>
    </xf>
    <xf numFmtId="178" fontId="33" fillId="9" borderId="0" xfId="0" applyNumberFormat="1" applyFont="1" applyFill="1" applyAlignment="1">
      <alignment vertical="top" wrapText="1"/>
    </xf>
    <xf numFmtId="184" fontId="33" fillId="0" borderId="6" xfId="0" applyNumberFormat="1" applyFont="1" applyFill="1" applyBorder="1" applyAlignment="1">
      <alignment vertical="top" wrapText="1"/>
    </xf>
    <xf numFmtId="184" fontId="33" fillId="0" borderId="6" xfId="0" applyNumberFormat="1" applyFont="1" applyFill="1" applyBorder="1" applyAlignment="1">
      <alignment vertical="top"/>
    </xf>
    <xf numFmtId="185" fontId="33" fillId="0" borderId="7" xfId="0" applyNumberFormat="1" applyFont="1" applyFill="1" applyBorder="1" applyAlignment="1">
      <alignment vertical="top"/>
    </xf>
    <xf numFmtId="0" fontId="33" fillId="0" borderId="6" xfId="0" applyFont="1" applyFill="1" applyBorder="1" applyAlignment="1">
      <alignment vertical="top" wrapText="1"/>
    </xf>
    <xf numFmtId="0" fontId="33" fillId="0" borderId="7" xfId="0" applyFont="1" applyFill="1" applyBorder="1" applyAlignment="1">
      <alignment vertical="top" wrapText="1"/>
    </xf>
    <xf numFmtId="0" fontId="33" fillId="0" borderId="7" xfId="0" applyFont="1" applyFill="1" applyBorder="1" applyAlignment="1">
      <alignment horizontal="center" vertical="top" wrapText="1"/>
    </xf>
    <xf numFmtId="0" fontId="33" fillId="0" borderId="6" xfId="0" applyFont="1" applyFill="1" applyBorder="1" applyAlignment="1">
      <alignment vertical="top"/>
    </xf>
    <xf numFmtId="184" fontId="33" fillId="0" borderId="5" xfId="0" applyNumberFormat="1" applyFont="1" applyFill="1" applyBorder="1" applyAlignment="1">
      <alignment vertical="top" wrapText="1"/>
    </xf>
    <xf numFmtId="0" fontId="33" fillId="0" borderId="5" xfId="0" applyFont="1" applyFill="1" applyBorder="1" applyAlignment="1">
      <alignment vertical="top" wrapText="1"/>
    </xf>
    <xf numFmtId="0" fontId="33" fillId="0" borderId="0" xfId="0" applyFont="1" applyFill="1" applyAlignment="1">
      <alignment vertical="top" wrapText="1"/>
    </xf>
    <xf numFmtId="178" fontId="33" fillId="8" borderId="0" xfId="0" applyNumberFormat="1" applyFont="1" applyFill="1" applyAlignment="1">
      <alignment horizontal="center" vertical="top" wrapText="1"/>
    </xf>
    <xf numFmtId="178" fontId="33" fillId="9" borderId="1" xfId="0" applyNumberFormat="1" applyFont="1" applyFill="1" applyBorder="1" applyAlignment="1">
      <alignment vertical="top" wrapText="1"/>
    </xf>
    <xf numFmtId="178" fontId="33" fillId="9" borderId="2" xfId="0" applyNumberFormat="1" applyFont="1" applyFill="1" applyBorder="1" applyAlignment="1">
      <alignment vertical="top" wrapText="1"/>
    </xf>
    <xf numFmtId="178" fontId="33" fillId="9" borderId="0" xfId="0" applyNumberFormat="1" applyFont="1" applyFill="1" applyBorder="1" applyAlignment="1">
      <alignment vertical="top" wrapText="1"/>
    </xf>
    <xf numFmtId="184" fontId="33" fillId="0" borderId="5" xfId="0" applyNumberFormat="1" applyFont="1" applyFill="1" applyBorder="1" applyAlignment="1">
      <alignment vertical="top"/>
    </xf>
    <xf numFmtId="185" fontId="33" fillId="0" borderId="5" xfId="0" applyNumberFormat="1" applyFont="1" applyFill="1" applyBorder="1" applyAlignment="1">
      <alignment vertical="top"/>
    </xf>
    <xf numFmtId="0" fontId="39" fillId="0" borderId="29" xfId="0" applyFont="1" applyFill="1" applyBorder="1" applyAlignment="1">
      <alignment vertical="center"/>
    </xf>
    <xf numFmtId="0" fontId="36" fillId="0" borderId="29" xfId="0" applyFont="1" applyFill="1" applyBorder="1" applyAlignment="1">
      <alignment vertical="center"/>
    </xf>
    <xf numFmtId="0" fontId="33" fillId="0" borderId="29" xfId="0" applyFont="1" applyFill="1" applyBorder="1" applyAlignment="1">
      <alignment horizontal="center" vertical="center"/>
    </xf>
    <xf numFmtId="0" fontId="33" fillId="0" borderId="29" xfId="0" applyFont="1" applyFill="1" applyBorder="1" applyAlignment="1">
      <alignment vertical="center"/>
    </xf>
    <xf numFmtId="184" fontId="33" fillId="0" borderId="29" xfId="0" applyNumberFormat="1" applyFont="1" applyFill="1" applyBorder="1" applyAlignment="1">
      <alignment vertical="center"/>
    </xf>
    <xf numFmtId="0" fontId="33" fillId="0" borderId="13" xfId="0" applyFont="1" applyFill="1" applyBorder="1" applyAlignment="1">
      <alignment vertical="center"/>
    </xf>
    <xf numFmtId="0" fontId="33" fillId="0" borderId="13" xfId="0" applyFont="1" applyFill="1" applyBorder="1" applyAlignment="1">
      <alignment horizontal="center" vertical="center"/>
    </xf>
    <xf numFmtId="0" fontId="33" fillId="0" borderId="1" xfId="0" applyFont="1" applyFill="1" applyBorder="1" applyAlignment="1">
      <alignment vertical="center"/>
    </xf>
    <xf numFmtId="0" fontId="33" fillId="0" borderId="13" xfId="0" applyNumberFormat="1" applyFont="1" applyFill="1" applyBorder="1" applyAlignment="1">
      <alignment vertical="center"/>
    </xf>
    <xf numFmtId="178" fontId="33" fillId="0" borderId="13" xfId="0" applyNumberFormat="1" applyFont="1" applyFill="1" applyBorder="1" applyAlignment="1">
      <alignment vertical="center"/>
    </xf>
    <xf numFmtId="178" fontId="33" fillId="4" borderId="1" xfId="0" applyNumberFormat="1" applyFont="1" applyFill="1" applyBorder="1" applyAlignment="1">
      <alignment vertical="center"/>
    </xf>
    <xf numFmtId="178" fontId="33" fillId="4" borderId="3" xfId="0" applyNumberFormat="1" applyFont="1" applyFill="1" applyBorder="1" applyAlignment="1">
      <alignment vertical="center"/>
    </xf>
    <xf numFmtId="178" fontId="33" fillId="2" borderId="1" xfId="0" applyNumberFormat="1" applyFont="1" applyFill="1" applyBorder="1" applyAlignment="1">
      <alignment vertical="center"/>
    </xf>
    <xf numFmtId="178" fontId="33" fillId="2" borderId="2" xfId="0" applyNumberFormat="1" applyFont="1" applyFill="1" applyBorder="1" applyAlignment="1">
      <alignment vertical="center"/>
    </xf>
    <xf numFmtId="178" fontId="33" fillId="2" borderId="3" xfId="0" applyNumberFormat="1" applyFont="1" applyFill="1" applyBorder="1" applyAlignment="1">
      <alignment vertical="center"/>
    </xf>
    <xf numFmtId="178" fontId="33" fillId="10" borderId="1" xfId="0" applyNumberFormat="1" applyFont="1" applyFill="1" applyBorder="1" applyAlignment="1">
      <alignment vertical="center"/>
    </xf>
    <xf numFmtId="178" fontId="33" fillId="10" borderId="2" xfId="0" applyNumberFormat="1" applyFont="1" applyFill="1" applyBorder="1" applyAlignment="1">
      <alignment vertical="center"/>
    </xf>
    <xf numFmtId="178" fontId="33" fillId="10" borderId="3" xfId="0" applyNumberFormat="1" applyFont="1" applyFill="1" applyBorder="1" applyAlignment="1">
      <alignment vertical="center"/>
    </xf>
    <xf numFmtId="178" fontId="40" fillId="6" borderId="3" xfId="0" applyNumberFormat="1" applyFont="1" applyFill="1" applyBorder="1" applyAlignment="1">
      <alignment vertical="center"/>
    </xf>
    <xf numFmtId="178" fontId="33" fillId="7" borderId="1" xfId="0" applyNumberFormat="1" applyFont="1" applyFill="1" applyBorder="1" applyAlignment="1">
      <alignment vertical="center"/>
    </xf>
    <xf numFmtId="178" fontId="33" fillId="7" borderId="2" xfId="0" applyNumberFormat="1" applyFont="1" applyFill="1" applyBorder="1" applyAlignment="1">
      <alignment vertical="center"/>
    </xf>
    <xf numFmtId="178" fontId="33" fillId="7" borderId="3" xfId="0" applyNumberFormat="1" applyFont="1" applyFill="1" applyBorder="1" applyAlignment="1">
      <alignment vertical="center"/>
    </xf>
    <xf numFmtId="178" fontId="33" fillId="11" borderId="1" xfId="0" applyNumberFormat="1" applyFont="1" applyFill="1" applyBorder="1" applyAlignment="1">
      <alignment vertical="center"/>
    </xf>
    <xf numFmtId="178" fontId="33" fillId="11" borderId="2" xfId="0" applyNumberFormat="1" applyFont="1" applyFill="1" applyBorder="1" applyAlignment="1">
      <alignment vertical="center"/>
    </xf>
    <xf numFmtId="178" fontId="33" fillId="11" borderId="3" xfId="0" applyNumberFormat="1" applyFont="1" applyFill="1" applyBorder="1" applyAlignment="1">
      <alignment vertical="center"/>
    </xf>
    <xf numFmtId="178" fontId="33" fillId="3" borderId="1" xfId="0" applyNumberFormat="1" applyFont="1" applyFill="1" applyBorder="1" applyAlignment="1">
      <alignment vertical="center"/>
    </xf>
    <xf numFmtId="178" fontId="33" fillId="3" borderId="2" xfId="0" applyNumberFormat="1" applyFont="1" applyFill="1" applyBorder="1" applyAlignment="1">
      <alignment vertical="center"/>
    </xf>
    <xf numFmtId="178" fontId="33" fillId="3" borderId="3" xfId="0" applyNumberFormat="1" applyFont="1" applyFill="1" applyBorder="1" applyAlignment="1">
      <alignment vertical="center"/>
    </xf>
    <xf numFmtId="178" fontId="33" fillId="4" borderId="2" xfId="0" applyNumberFormat="1" applyFont="1" applyFill="1" applyBorder="1" applyAlignment="1">
      <alignment vertical="center" wrapText="1"/>
    </xf>
    <xf numFmtId="178" fontId="33" fillId="4" borderId="3" xfId="0" applyNumberFormat="1" applyFont="1" applyFill="1" applyBorder="1" applyAlignment="1">
      <alignment vertical="center" wrapText="1"/>
    </xf>
    <xf numFmtId="178" fontId="33" fillId="9" borderId="0" xfId="0" applyNumberFormat="1" applyFont="1" applyFill="1" applyAlignment="1">
      <alignment vertical="center" wrapText="1"/>
    </xf>
    <xf numFmtId="184" fontId="33" fillId="0" borderId="8" xfId="0" applyNumberFormat="1" applyFont="1" applyFill="1" applyBorder="1" applyAlignment="1">
      <alignment vertical="top"/>
    </xf>
    <xf numFmtId="185" fontId="33" fillId="0" borderId="4" xfId="0" applyNumberFormat="1" applyFont="1" applyFill="1" applyBorder="1" applyAlignment="1">
      <alignment vertical="top"/>
    </xf>
    <xf numFmtId="0" fontId="33" fillId="0" borderId="8" xfId="0" applyFont="1" applyFill="1" applyBorder="1" applyAlignment="1">
      <alignment vertical="center"/>
    </xf>
    <xf numFmtId="0" fontId="33" fillId="0" borderId="4" xfId="0" applyFont="1" applyFill="1" applyBorder="1" applyAlignment="1">
      <alignment vertical="center"/>
    </xf>
    <xf numFmtId="0" fontId="33" fillId="0" borderId="4" xfId="0" applyFont="1" applyFill="1" applyBorder="1" applyAlignment="1">
      <alignment horizontal="center" vertical="center"/>
    </xf>
    <xf numFmtId="186" fontId="33" fillId="0" borderId="29" xfId="0" applyNumberFormat="1" applyFont="1" applyFill="1" applyBorder="1" applyAlignment="1">
      <alignment vertical="center"/>
    </xf>
    <xf numFmtId="184" fontId="33" fillId="0" borderId="8" xfId="0" applyNumberFormat="1" applyFont="1" applyFill="1" applyBorder="1" applyAlignment="1">
      <alignment vertical="top" wrapText="1"/>
    </xf>
    <xf numFmtId="0" fontId="33" fillId="0" borderId="4" xfId="0" applyFont="1" applyFill="1" applyBorder="1" applyAlignment="1">
      <alignment vertical="top" wrapText="1"/>
    </xf>
    <xf numFmtId="184" fontId="33" fillId="0" borderId="0" xfId="0" applyNumberFormat="1" applyFont="1" applyFill="1" applyBorder="1" applyAlignment="1">
      <alignment vertical="center"/>
    </xf>
    <xf numFmtId="0" fontId="33" fillId="0" borderId="0" xfId="0" applyFont="1" applyFill="1" applyBorder="1" applyAlignment="1">
      <alignment vertical="center"/>
    </xf>
    <xf numFmtId="0" fontId="33" fillId="0" borderId="0" xfId="0" applyFont="1" applyFill="1" applyAlignment="1">
      <alignment vertical="center"/>
    </xf>
    <xf numFmtId="178" fontId="33" fillId="4" borderId="2" xfId="0" applyNumberFormat="1" applyFont="1" applyFill="1" applyBorder="1" applyAlignment="1">
      <alignment vertical="center"/>
    </xf>
    <xf numFmtId="178" fontId="40" fillId="6" borderId="1" xfId="0" applyNumberFormat="1" applyFont="1" applyFill="1" applyBorder="1" applyAlignment="1">
      <alignment vertical="center"/>
    </xf>
    <xf numFmtId="178" fontId="33" fillId="8" borderId="13" xfId="0" applyNumberFormat="1" applyFont="1" applyFill="1" applyBorder="1" applyAlignment="1">
      <alignment vertical="center" wrapText="1"/>
    </xf>
    <xf numFmtId="178" fontId="33" fillId="0" borderId="0" xfId="0" applyNumberFormat="1" applyFont="1" applyFill="1" applyAlignment="1">
      <alignment vertical="center"/>
    </xf>
    <xf numFmtId="178" fontId="33" fillId="4" borderId="1" xfId="0" applyNumberFormat="1" applyFont="1" applyFill="1" applyBorder="1" applyAlignment="1">
      <alignment vertical="center" wrapText="1"/>
    </xf>
    <xf numFmtId="178" fontId="33" fillId="3" borderId="5" xfId="0" applyNumberFormat="1" applyFont="1" applyFill="1" applyBorder="1" applyAlignment="1">
      <alignment vertical="center"/>
    </xf>
    <xf numFmtId="178" fontId="33" fillId="4" borderId="13" xfId="0" applyNumberFormat="1" applyFont="1" applyFill="1" applyBorder="1" applyAlignment="1">
      <alignment vertical="center" wrapText="1"/>
    </xf>
    <xf numFmtId="0" fontId="33" fillId="0" borderId="9" xfId="0" applyFont="1" applyFill="1" applyBorder="1" applyAlignment="1">
      <alignment vertical="top"/>
    </xf>
    <xf numFmtId="184" fontId="33" fillId="0" borderId="10" xfId="0" applyNumberFormat="1" applyFont="1" applyFill="1" applyBorder="1" applyAlignment="1">
      <alignment vertical="top"/>
    </xf>
    <xf numFmtId="185" fontId="33" fillId="0" borderId="10" xfId="0" applyNumberFormat="1" applyFont="1" applyFill="1" applyBorder="1" applyAlignment="1"/>
    <xf numFmtId="185" fontId="33" fillId="0" borderId="11" xfId="0" applyNumberFormat="1" applyFont="1" applyFill="1" applyBorder="1" applyAlignment="1"/>
    <xf numFmtId="0" fontId="39" fillId="5" borderId="14" xfId="0" applyFont="1" applyFill="1" applyBorder="1" applyAlignment="1">
      <alignment vertical="center" wrapText="1"/>
    </xf>
    <xf numFmtId="0" fontId="36" fillId="0" borderId="29" xfId="0" applyFont="1" applyFill="1" applyBorder="1" applyAlignment="1">
      <alignment vertical="center" wrapText="1"/>
    </xf>
    <xf numFmtId="0" fontId="34" fillId="0" borderId="29" xfId="0" applyFont="1" applyFill="1" applyBorder="1" applyAlignment="1">
      <alignment horizontal="center" vertical="center" wrapText="1"/>
    </xf>
    <xf numFmtId="0" fontId="33" fillId="5" borderId="29" xfId="0" applyFont="1" applyFill="1" applyBorder="1" applyAlignment="1">
      <alignment horizontal="center" vertical="center" wrapText="1"/>
    </xf>
    <xf numFmtId="0" fontId="40" fillId="0" borderId="29" xfId="0" applyFont="1" applyFill="1" applyBorder="1" applyAlignment="1">
      <alignment vertical="center" wrapText="1"/>
    </xf>
    <xf numFmtId="184" fontId="33" fillId="0" borderId="29" xfId="0" applyNumberFormat="1" applyFont="1" applyFill="1" applyBorder="1" applyAlignment="1">
      <alignment vertical="center" wrapText="1"/>
    </xf>
    <xf numFmtId="0" fontId="33" fillId="0" borderId="29" xfId="0" applyFont="1" applyFill="1" applyBorder="1" applyAlignment="1">
      <alignment vertical="center" wrapText="1"/>
    </xf>
    <xf numFmtId="0" fontId="33" fillId="0" borderId="29" xfId="0" applyFont="1" applyFill="1" applyBorder="1" applyAlignment="1">
      <alignment horizontal="center" vertical="center" wrapText="1"/>
    </xf>
    <xf numFmtId="0" fontId="33" fillId="0" borderId="13" xfId="0" applyNumberFormat="1" applyFont="1" applyFill="1" applyBorder="1" applyAlignment="1">
      <alignment vertical="top" wrapText="1"/>
    </xf>
    <xf numFmtId="178" fontId="33" fillId="0" borderId="29" xfId="0" applyNumberFormat="1" applyFont="1" applyFill="1" applyBorder="1" applyAlignment="1">
      <alignment vertical="center" wrapText="1"/>
    </xf>
    <xf numFmtId="178" fontId="33" fillId="0" borderId="13" xfId="0" applyNumberFormat="1" applyFont="1" applyFill="1" applyBorder="1" applyAlignment="1">
      <alignment vertical="center" wrapText="1"/>
    </xf>
    <xf numFmtId="178" fontId="33" fillId="5" borderId="13" xfId="0" applyNumberFormat="1" applyFont="1" applyFill="1" applyBorder="1" applyAlignment="1">
      <alignment vertical="center" wrapText="1"/>
    </xf>
    <xf numFmtId="178" fontId="33" fillId="5" borderId="29" xfId="0" applyNumberFormat="1" applyFont="1" applyFill="1" applyBorder="1" applyAlignment="1">
      <alignment vertical="center" wrapText="1"/>
    </xf>
    <xf numFmtId="178" fontId="43" fillId="0" borderId="29" xfId="0" applyNumberFormat="1" applyFont="1" applyFill="1" applyBorder="1" applyAlignment="1">
      <alignment vertical="center" wrapText="1"/>
    </xf>
    <xf numFmtId="178" fontId="33" fillId="4" borderId="29" xfId="0" applyNumberFormat="1" applyFont="1" applyFill="1" applyBorder="1" applyAlignment="1">
      <alignment vertical="center" wrapText="1"/>
    </xf>
    <xf numFmtId="178" fontId="44" fillId="0" borderId="13" xfId="0" applyNumberFormat="1" applyFont="1" applyFill="1" applyBorder="1" applyAlignment="1">
      <alignment vertical="center" wrapText="1"/>
    </xf>
    <xf numFmtId="178" fontId="33" fillId="0" borderId="14" xfId="0" applyNumberFormat="1" applyFont="1" applyFill="1" applyBorder="1" applyAlignment="1">
      <alignment vertical="center" wrapText="1"/>
    </xf>
    <xf numFmtId="178" fontId="46" fillId="8" borderId="0" xfId="0" applyNumberFormat="1" applyFont="1" applyFill="1" applyAlignment="1">
      <alignment vertical="center" wrapText="1"/>
    </xf>
    <xf numFmtId="178" fontId="46" fillId="12" borderId="0" xfId="0" applyNumberFormat="1" applyFont="1" applyFill="1" applyAlignment="1">
      <alignment vertical="center" wrapText="1"/>
    </xf>
    <xf numFmtId="178" fontId="33" fillId="9" borderId="13" xfId="0" applyNumberFormat="1" applyFont="1" applyFill="1" applyBorder="1" applyAlignment="1">
      <alignment vertical="center" wrapText="1"/>
    </xf>
    <xf numFmtId="184" fontId="33" fillId="0" borderId="13" xfId="0" applyNumberFormat="1" applyFont="1" applyFill="1" applyBorder="1" applyAlignment="1">
      <alignment vertical="center"/>
    </xf>
    <xf numFmtId="185" fontId="33" fillId="4" borderId="13" xfId="0" applyNumberFormat="1" applyFont="1" applyFill="1" applyBorder="1" applyAlignment="1">
      <alignment vertical="center"/>
    </xf>
    <xf numFmtId="0" fontId="33" fillId="0" borderId="13" xfId="0" applyFont="1" applyFill="1" applyBorder="1" applyAlignment="1">
      <alignment vertical="center" wrapText="1"/>
    </xf>
    <xf numFmtId="0" fontId="33" fillId="0" borderId="13" xfId="0" applyFont="1" applyFill="1" applyBorder="1" applyAlignment="1">
      <alignment horizontal="center" vertical="center" wrapText="1"/>
    </xf>
    <xf numFmtId="184" fontId="33" fillId="0" borderId="13" xfId="0" applyNumberFormat="1" applyFont="1" applyFill="1" applyBorder="1" applyAlignment="1">
      <alignment vertical="center" wrapText="1"/>
    </xf>
    <xf numFmtId="0" fontId="38" fillId="0" borderId="13" xfId="0" applyFont="1" applyFill="1" applyBorder="1" applyAlignment="1">
      <alignment vertical="center" wrapText="1"/>
    </xf>
    <xf numFmtId="0" fontId="33" fillId="0" borderId="0" xfId="0" applyFont="1" applyFill="1" applyAlignment="1">
      <alignment vertical="center" wrapText="1"/>
    </xf>
    <xf numFmtId="178" fontId="33" fillId="4" borderId="12" xfId="0" applyNumberFormat="1" applyFont="1" applyFill="1" applyBorder="1" applyAlignment="1">
      <alignment vertical="center" wrapText="1"/>
    </xf>
    <xf numFmtId="178" fontId="33" fillId="4" borderId="14" xfId="0" applyNumberFormat="1" applyFont="1" applyFill="1" applyBorder="1" applyAlignment="1">
      <alignment vertical="center" wrapText="1"/>
    </xf>
    <xf numFmtId="178" fontId="48" fillId="0" borderId="29" xfId="0" applyNumberFormat="1" applyFont="1" applyFill="1" applyBorder="1" applyAlignment="1">
      <alignment vertical="center" wrapText="1"/>
    </xf>
    <xf numFmtId="178" fontId="33" fillId="8" borderId="14" xfId="0" applyNumberFormat="1" applyFont="1" applyFill="1" applyBorder="1" applyAlignment="1">
      <alignment vertical="center" wrapText="1"/>
    </xf>
    <xf numFmtId="178" fontId="33" fillId="0" borderId="0" xfId="0" applyNumberFormat="1" applyFont="1" applyFill="1" applyAlignment="1">
      <alignment vertical="center" wrapText="1"/>
    </xf>
    <xf numFmtId="178" fontId="46" fillId="8" borderId="9" xfId="0" applyNumberFormat="1" applyFont="1" applyFill="1" applyBorder="1" applyAlignment="1">
      <alignment vertical="center" wrapText="1"/>
    </xf>
    <xf numFmtId="178" fontId="46" fillId="8" borderId="10" xfId="0" applyNumberFormat="1" applyFont="1" applyFill="1" applyBorder="1" applyAlignment="1">
      <alignment vertical="center" wrapText="1"/>
    </xf>
    <xf numFmtId="178" fontId="46" fillId="12" borderId="10" xfId="0" applyNumberFormat="1" applyFont="1" applyFill="1" applyBorder="1" applyAlignment="1">
      <alignment vertical="center" wrapText="1"/>
    </xf>
    <xf numFmtId="178" fontId="33" fillId="0" borderId="12" xfId="0" applyNumberFormat="1" applyFont="1" applyFill="1" applyBorder="1" applyAlignment="1">
      <alignment vertical="center" wrapText="1"/>
    </xf>
    <xf numFmtId="0" fontId="33" fillId="0" borderId="12" xfId="0" applyFont="1" applyFill="1" applyBorder="1" applyAlignment="1">
      <alignment vertical="center" wrapText="1"/>
    </xf>
    <xf numFmtId="184" fontId="33" fillId="0" borderId="12" xfId="0" applyNumberFormat="1" applyFont="1" applyFill="1" applyBorder="1" applyAlignment="1">
      <alignment vertical="center" wrapText="1"/>
    </xf>
    <xf numFmtId="185" fontId="33" fillId="4" borderId="12" xfId="0" applyNumberFormat="1" applyFont="1" applyFill="1" applyBorder="1" applyAlignment="1">
      <alignment vertical="center" wrapText="1"/>
    </xf>
    <xf numFmtId="0" fontId="39" fillId="5" borderId="12" xfId="0" applyFont="1" applyFill="1" applyBorder="1">
      <alignment vertical="center"/>
    </xf>
    <xf numFmtId="0" fontId="36" fillId="0" borderId="12" xfId="0" applyFont="1" applyBorder="1" applyAlignment="1">
      <alignment vertical="center"/>
    </xf>
    <xf numFmtId="0" fontId="0" fillId="0" borderId="12" xfId="0" applyFont="1" applyBorder="1" applyAlignment="1">
      <alignment horizontal="center" vertical="center"/>
    </xf>
    <xf numFmtId="0" fontId="0" fillId="5" borderId="12" xfId="0" applyFont="1" applyFill="1" applyBorder="1" applyAlignment="1">
      <alignment horizontal="center" vertical="center" shrinkToFit="1"/>
    </xf>
    <xf numFmtId="0" fontId="0" fillId="0" borderId="12" xfId="0" applyFont="1" applyBorder="1">
      <alignment vertical="center"/>
    </xf>
    <xf numFmtId="184" fontId="0" fillId="0" borderId="12" xfId="0" applyNumberFormat="1" applyFont="1" applyBorder="1">
      <alignment vertical="center"/>
    </xf>
    <xf numFmtId="178" fontId="0" fillId="0" borderId="12" xfId="0" applyNumberFormat="1" applyFont="1" applyBorder="1">
      <alignment vertical="center"/>
    </xf>
    <xf numFmtId="178" fontId="0" fillId="4" borderId="12" xfId="0" applyNumberFormat="1" applyFont="1" applyFill="1" applyBorder="1">
      <alignment vertical="center"/>
    </xf>
    <xf numFmtId="178" fontId="0" fillId="5" borderId="12" xfId="0" applyNumberFormat="1" applyFont="1" applyFill="1" applyBorder="1">
      <alignment vertical="center"/>
    </xf>
    <xf numFmtId="178" fontId="36" fillId="4" borderId="12" xfId="0" applyNumberFormat="1" applyFont="1" applyFill="1" applyBorder="1">
      <alignment vertical="center"/>
    </xf>
    <xf numFmtId="178" fontId="0" fillId="0" borderId="12" xfId="0" applyNumberFormat="1" applyFont="1" applyFill="1" applyBorder="1">
      <alignment vertical="center"/>
    </xf>
    <xf numFmtId="187" fontId="0" fillId="0" borderId="12" xfId="0" applyNumberFormat="1" applyFont="1" applyFill="1" applyBorder="1">
      <alignment vertical="center"/>
    </xf>
    <xf numFmtId="185" fontId="0" fillId="4" borderId="12" xfId="0" applyNumberFormat="1" applyFont="1" applyFill="1" applyBorder="1">
      <alignment vertical="center"/>
    </xf>
    <xf numFmtId="0" fontId="0" fillId="0" borderId="0" xfId="0" applyFont="1" applyFill="1">
      <alignment vertical="center"/>
    </xf>
    <xf numFmtId="183" fontId="0" fillId="0" borderId="12" xfId="0" applyNumberFormat="1" applyFont="1" applyFill="1" applyBorder="1">
      <alignment vertical="center"/>
    </xf>
    <xf numFmtId="0" fontId="0" fillId="0" borderId="12" xfId="0" applyFont="1" applyFill="1" applyBorder="1">
      <alignment vertical="center"/>
    </xf>
    <xf numFmtId="184" fontId="0" fillId="0" borderId="12" xfId="0" applyNumberFormat="1" applyFont="1" applyFill="1" applyBorder="1">
      <alignment vertical="center"/>
    </xf>
    <xf numFmtId="0" fontId="0" fillId="0" borderId="0" xfId="0" applyFont="1">
      <alignment vertical="center"/>
    </xf>
    <xf numFmtId="0" fontId="33" fillId="13" borderId="0" xfId="0" applyFont="1" applyFill="1">
      <alignment vertical="center"/>
    </xf>
    <xf numFmtId="0" fontId="36" fillId="0" borderId="12" xfId="0" applyFont="1" applyFill="1" applyBorder="1" applyAlignment="1">
      <alignment vertical="center"/>
    </xf>
    <xf numFmtId="0" fontId="0" fillId="0" borderId="12" xfId="0" applyFont="1" applyFill="1" applyBorder="1" applyAlignment="1">
      <alignment horizontal="center" vertical="center"/>
    </xf>
    <xf numFmtId="0" fontId="39" fillId="14" borderId="12" xfId="0" applyFont="1" applyFill="1" applyBorder="1">
      <alignment vertical="center"/>
    </xf>
    <xf numFmtId="0" fontId="36" fillId="14" borderId="12" xfId="0" applyFont="1" applyFill="1" applyBorder="1" applyAlignment="1">
      <alignment vertical="center"/>
    </xf>
    <xf numFmtId="0" fontId="0" fillId="14" borderId="12" xfId="0" applyFont="1" applyFill="1" applyBorder="1" applyAlignment="1">
      <alignment horizontal="center" vertical="center"/>
    </xf>
    <xf numFmtId="0" fontId="0" fillId="14" borderId="12" xfId="0" applyFont="1" applyFill="1" applyBorder="1" applyAlignment="1">
      <alignment horizontal="center" vertical="center" shrinkToFit="1"/>
    </xf>
    <xf numFmtId="0" fontId="0" fillId="14" borderId="12" xfId="0" applyFont="1" applyFill="1" applyBorder="1">
      <alignment vertical="center"/>
    </xf>
    <xf numFmtId="184" fontId="0" fillId="14" borderId="12" xfId="0" applyNumberFormat="1" applyFont="1" applyFill="1" applyBorder="1">
      <alignment vertical="center"/>
    </xf>
    <xf numFmtId="0" fontId="0" fillId="14" borderId="12" xfId="0" applyNumberFormat="1" applyFont="1" applyFill="1" applyBorder="1" applyAlignment="1">
      <alignment vertical="center"/>
    </xf>
    <xf numFmtId="178" fontId="0" fillId="14" borderId="12" xfId="0" applyNumberFormat="1" applyFont="1" applyFill="1" applyBorder="1">
      <alignment vertical="center"/>
    </xf>
    <xf numFmtId="178" fontId="36" fillId="14" borderId="12" xfId="0" applyNumberFormat="1" applyFont="1" applyFill="1" applyBorder="1">
      <alignment vertical="center"/>
    </xf>
    <xf numFmtId="187" fontId="0" fillId="14" borderId="12" xfId="0" applyNumberFormat="1" applyFont="1" applyFill="1" applyBorder="1">
      <alignment vertical="center"/>
    </xf>
    <xf numFmtId="185" fontId="0" fillId="14" borderId="12" xfId="0" applyNumberFormat="1" applyFont="1" applyFill="1" applyBorder="1">
      <alignment vertical="center"/>
    </xf>
    <xf numFmtId="38" fontId="0" fillId="14" borderId="12" xfId="1" applyFont="1" applyFill="1" applyBorder="1">
      <alignment vertical="center"/>
    </xf>
    <xf numFmtId="0" fontId="0" fillId="14" borderId="0" xfId="0" applyFont="1" applyFill="1">
      <alignment vertical="center"/>
    </xf>
    <xf numFmtId="183" fontId="0" fillId="14" borderId="12" xfId="0" applyNumberFormat="1" applyFont="1" applyFill="1" applyBorder="1">
      <alignment vertical="center"/>
    </xf>
    <xf numFmtId="0" fontId="50" fillId="0" borderId="12" xfId="0" applyFont="1" applyBorder="1" applyAlignment="1">
      <alignment vertical="center"/>
    </xf>
    <xf numFmtId="178" fontId="33" fillId="13" borderId="0" xfId="0" applyNumberFormat="1" applyFont="1" applyFill="1">
      <alignment vertical="center"/>
    </xf>
    <xf numFmtId="0" fontId="36" fillId="13" borderId="0" xfId="0" applyFont="1" applyFill="1" applyAlignment="1">
      <alignment vertical="center"/>
    </xf>
    <xf numFmtId="178" fontId="33" fillId="13" borderId="0" xfId="0" applyNumberFormat="1" applyFont="1" applyFill="1" applyAlignment="1">
      <alignment horizontal="center" vertical="center"/>
    </xf>
    <xf numFmtId="184" fontId="33" fillId="13" borderId="0" xfId="0" applyNumberFormat="1" applyFont="1" applyFill="1">
      <alignment vertical="center"/>
    </xf>
    <xf numFmtId="0" fontId="33" fillId="13" borderId="0" xfId="0" applyFont="1" applyFill="1" applyAlignment="1">
      <alignment horizontal="center" vertical="center"/>
    </xf>
    <xf numFmtId="0" fontId="33" fillId="13" borderId="0" xfId="0" applyNumberFormat="1" applyFont="1" applyFill="1" applyAlignment="1">
      <alignment vertical="center"/>
    </xf>
    <xf numFmtId="0" fontId="0" fillId="5" borderId="12" xfId="0" applyFont="1" applyFill="1" applyBorder="1">
      <alignment vertical="center"/>
    </xf>
    <xf numFmtId="0" fontId="0" fillId="5" borderId="12" xfId="0" applyFont="1" applyFill="1" applyBorder="1" applyAlignment="1">
      <alignment horizontal="center" vertical="center"/>
    </xf>
    <xf numFmtId="0" fontId="0" fillId="5" borderId="12" xfId="0" applyFont="1" applyFill="1" applyBorder="1" applyAlignment="1">
      <alignment vertical="center"/>
    </xf>
    <xf numFmtId="0" fontId="0" fillId="5" borderId="12" xfId="0" applyNumberFormat="1" applyFont="1" applyFill="1" applyBorder="1" applyAlignment="1">
      <alignment horizontal="center" vertical="center"/>
    </xf>
    <xf numFmtId="0" fontId="0" fillId="5" borderId="12" xfId="0" applyNumberFormat="1" applyFont="1" applyFill="1" applyBorder="1" applyAlignment="1">
      <alignment vertical="center"/>
    </xf>
    <xf numFmtId="0" fontId="0" fillId="0" borderId="12" xfId="0" applyNumberFormat="1" applyFont="1" applyBorder="1">
      <alignment vertical="center"/>
    </xf>
    <xf numFmtId="184" fontId="0" fillId="14" borderId="1" xfId="0" applyNumberFormat="1" applyFont="1" applyFill="1" applyBorder="1">
      <alignment vertical="center"/>
    </xf>
    <xf numFmtId="184" fontId="0" fillId="14" borderId="2" xfId="0" applyNumberFormat="1" applyFont="1" applyFill="1" applyBorder="1">
      <alignment vertical="center"/>
    </xf>
    <xf numFmtId="184" fontId="0" fillId="14" borderId="3" xfId="0" applyNumberFormat="1" applyFont="1" applyFill="1" applyBorder="1">
      <alignment vertical="center"/>
    </xf>
    <xf numFmtId="184" fontId="0" fillId="5" borderId="1" xfId="0" applyNumberFormat="1" applyFont="1" applyFill="1" applyBorder="1">
      <alignment vertical="center"/>
    </xf>
    <xf numFmtId="184" fontId="0" fillId="5" borderId="2" xfId="0" applyNumberFormat="1" applyFont="1" applyFill="1" applyBorder="1">
      <alignment vertical="center"/>
    </xf>
    <xf numFmtId="179" fontId="0" fillId="5" borderId="1" xfId="0" applyNumberFormat="1" applyFont="1" applyFill="1" applyBorder="1">
      <alignment vertical="center"/>
    </xf>
    <xf numFmtId="0" fontId="0" fillId="5" borderId="2" xfId="0" applyNumberFormat="1" applyFont="1" applyFill="1" applyBorder="1">
      <alignment vertical="center"/>
    </xf>
    <xf numFmtId="0" fontId="0" fillId="5" borderId="3" xfId="0" applyNumberFormat="1" applyFont="1" applyFill="1" applyBorder="1">
      <alignment vertical="center"/>
    </xf>
    <xf numFmtId="184" fontId="33" fillId="0" borderId="0" xfId="0" applyNumberFormat="1" applyFont="1" applyFill="1" applyBorder="1" applyAlignment="1">
      <alignment horizontal="center" vertical="top" wrapText="1"/>
    </xf>
    <xf numFmtId="184" fontId="33" fillId="0" borderId="9" xfId="0" applyNumberFormat="1" applyFont="1" applyFill="1" applyBorder="1" applyAlignment="1">
      <alignment vertical="top" wrapText="1"/>
    </xf>
    <xf numFmtId="184" fontId="33" fillId="0" borderId="10" xfId="0" applyNumberFormat="1" applyFont="1" applyFill="1" applyBorder="1" applyAlignment="1">
      <alignment vertical="top" wrapText="1"/>
    </xf>
    <xf numFmtId="38" fontId="0" fillId="5" borderId="12" xfId="1" applyFont="1" applyFill="1" applyBorder="1">
      <alignment vertical="center"/>
    </xf>
    <xf numFmtId="188" fontId="51" fillId="5" borderId="12" xfId="0" applyNumberFormat="1" applyFont="1" applyFill="1" applyBorder="1">
      <alignment vertical="center"/>
    </xf>
    <xf numFmtId="183" fontId="0" fillId="4" borderId="12" xfId="0" applyNumberFormat="1" applyFont="1" applyFill="1" applyBorder="1" applyAlignment="1">
      <alignment horizontal="right" vertical="center"/>
    </xf>
    <xf numFmtId="178" fontId="0" fillId="4" borderId="12" xfId="0" applyNumberFormat="1" applyFont="1" applyFill="1" applyBorder="1" applyAlignment="1">
      <alignment horizontal="right" vertical="center"/>
    </xf>
    <xf numFmtId="178" fontId="52" fillId="0" borderId="0" xfId="0" applyNumberFormat="1" applyFont="1">
      <alignment vertical="center"/>
    </xf>
    <xf numFmtId="0" fontId="57" fillId="0" borderId="0" xfId="2" applyFont="1" applyAlignment="1">
      <alignment vertical="center"/>
    </xf>
    <xf numFmtId="0" fontId="57" fillId="0" borderId="0" xfId="2" applyFont="1" applyFill="1" applyAlignment="1">
      <alignment vertical="center"/>
    </xf>
    <xf numFmtId="49" fontId="57" fillId="0" borderId="34" xfId="2" applyNumberFormat="1" applyFont="1" applyFill="1" applyBorder="1" applyAlignment="1">
      <alignment horizontal="center" vertical="center"/>
    </xf>
    <xf numFmtId="189" fontId="36" fillId="0" borderId="35" xfId="2" applyNumberFormat="1" applyFont="1" applyFill="1" applyBorder="1" applyAlignment="1">
      <alignment vertical="center"/>
    </xf>
    <xf numFmtId="0" fontId="57" fillId="0" borderId="35" xfId="2" applyFont="1" applyFill="1" applyBorder="1" applyAlignment="1">
      <alignment vertical="center"/>
    </xf>
    <xf numFmtId="189" fontId="36" fillId="0" borderId="38" xfId="2" applyNumberFormat="1" applyFont="1" applyFill="1" applyBorder="1" applyAlignment="1">
      <alignment vertical="center"/>
    </xf>
    <xf numFmtId="38" fontId="57" fillId="0" borderId="39" xfId="3" applyFont="1" applyFill="1" applyBorder="1" applyAlignment="1">
      <alignment vertical="center"/>
    </xf>
    <xf numFmtId="0" fontId="57" fillId="0" borderId="0" xfId="2" applyFont="1" applyAlignment="1">
      <alignment horizontal="center" vertical="center"/>
    </xf>
    <xf numFmtId="189" fontId="57" fillId="0" borderId="0" xfId="2" applyNumberFormat="1" applyFont="1" applyAlignment="1">
      <alignment vertical="center"/>
    </xf>
    <xf numFmtId="38" fontId="57" fillId="0" borderId="0" xfId="3" applyFont="1" applyAlignment="1">
      <alignment vertical="center"/>
    </xf>
    <xf numFmtId="0" fontId="36" fillId="5" borderId="35" xfId="2" applyFont="1" applyFill="1" applyBorder="1" applyAlignment="1">
      <alignment horizontal="center" vertical="center"/>
    </xf>
    <xf numFmtId="0" fontId="36" fillId="5" borderId="35" xfId="2" applyFont="1" applyFill="1" applyBorder="1" applyAlignment="1">
      <alignment vertical="center"/>
    </xf>
    <xf numFmtId="0" fontId="36" fillId="0" borderId="36" xfId="2" applyFont="1" applyFill="1" applyBorder="1" applyAlignment="1">
      <alignment horizontal="center" vertical="center"/>
    </xf>
    <xf numFmtId="0" fontId="36" fillId="0" borderId="36" xfId="2" applyFont="1" applyFill="1" applyBorder="1" applyAlignment="1">
      <alignment vertical="center"/>
    </xf>
    <xf numFmtId="0" fontId="36" fillId="0" borderId="42" xfId="2" applyFont="1" applyFill="1" applyBorder="1" applyAlignment="1">
      <alignment horizontal="center" vertical="center"/>
    </xf>
    <xf numFmtId="0" fontId="36" fillId="0" borderId="38" xfId="2" applyNumberFormat="1" applyFont="1" applyFill="1" applyBorder="1" applyAlignment="1">
      <alignment vertical="center"/>
    </xf>
    <xf numFmtId="0" fontId="36" fillId="0" borderId="47" xfId="2" applyNumberFormat="1" applyFont="1" applyFill="1" applyBorder="1" applyAlignment="1">
      <alignment vertical="center"/>
    </xf>
    <xf numFmtId="0" fontId="36" fillId="0" borderId="46" xfId="2" applyNumberFormat="1" applyFont="1" applyFill="1" applyBorder="1" applyAlignment="1">
      <alignment vertical="center"/>
    </xf>
    <xf numFmtId="188" fontId="36" fillId="5" borderId="35" xfId="2" applyNumberFormat="1" applyFont="1" applyFill="1" applyBorder="1" applyAlignment="1">
      <alignment vertical="center"/>
    </xf>
    <xf numFmtId="0" fontId="36" fillId="5" borderId="38" xfId="2" applyNumberFormat="1" applyFont="1" applyFill="1" applyBorder="1" applyAlignment="1">
      <alignment vertical="center"/>
    </xf>
    <xf numFmtId="0" fontId="36" fillId="5" borderId="47" xfId="2" applyNumberFormat="1" applyFont="1" applyFill="1" applyBorder="1" applyAlignment="1">
      <alignment vertical="center"/>
    </xf>
    <xf numFmtId="0" fontId="36" fillId="5" borderId="46" xfId="2" applyNumberFormat="1" applyFont="1" applyFill="1" applyBorder="1" applyAlignment="1">
      <alignment vertical="center"/>
    </xf>
    <xf numFmtId="190" fontId="57" fillId="5" borderId="35" xfId="2" applyNumberFormat="1" applyFont="1" applyFill="1" applyBorder="1" applyAlignment="1">
      <alignment vertical="center"/>
    </xf>
    <xf numFmtId="0" fontId="36" fillId="0" borderId="50" xfId="2" applyFont="1" applyFill="1" applyBorder="1" applyAlignment="1">
      <alignment horizontal="center" vertical="center"/>
    </xf>
    <xf numFmtId="0" fontId="36" fillId="0" borderId="49" xfId="2" applyFont="1" applyFill="1" applyBorder="1" applyAlignment="1">
      <alignment horizontal="center" vertical="center"/>
    </xf>
    <xf numFmtId="176" fontId="23" fillId="0" borderId="2" xfId="0" applyNumberFormat="1" applyFont="1" applyBorder="1" applyAlignment="1">
      <alignment horizontal="right" vertical="center"/>
    </xf>
    <xf numFmtId="38" fontId="0" fillId="4" borderId="12" xfId="1" applyFont="1" applyFill="1" applyBorder="1">
      <alignment vertical="center"/>
    </xf>
    <xf numFmtId="0" fontId="4" fillId="0" borderId="0" xfId="0" applyFont="1" applyBorder="1" applyAlignment="1">
      <alignment horizontal="right" vertical="center"/>
    </xf>
    <xf numFmtId="178" fontId="0" fillId="5" borderId="12" xfId="0" applyNumberFormat="1" applyFont="1" applyFill="1" applyBorder="1" applyAlignment="1">
      <alignment vertical="center" wrapText="1"/>
    </xf>
    <xf numFmtId="0" fontId="33" fillId="0" borderId="10" xfId="0" applyFont="1" applyFill="1" applyBorder="1" applyAlignment="1">
      <alignment vertical="center"/>
    </xf>
    <xf numFmtId="0" fontId="26" fillId="0" borderId="0" xfId="0" applyFont="1">
      <alignment vertical="center"/>
    </xf>
    <xf numFmtId="0" fontId="26" fillId="0" borderId="0" xfId="0" applyFont="1" applyAlignment="1">
      <alignment horizontal="center" vertical="center"/>
    </xf>
    <xf numFmtId="0" fontId="26" fillId="0" borderId="6" xfId="0" applyFont="1" applyBorder="1">
      <alignment vertical="center"/>
    </xf>
    <xf numFmtId="0" fontId="26" fillId="0" borderId="5" xfId="0" applyFont="1" applyBorder="1">
      <alignment vertical="center"/>
    </xf>
    <xf numFmtId="0" fontId="26" fillId="0" borderId="8" xfId="0" applyFont="1" applyBorder="1">
      <alignment vertical="center"/>
    </xf>
    <xf numFmtId="0" fontId="26" fillId="0" borderId="0" xfId="0" applyFont="1" applyBorder="1">
      <alignment vertical="center"/>
    </xf>
    <xf numFmtId="0" fontId="26" fillId="0" borderId="9" xfId="0" applyFont="1" applyBorder="1">
      <alignment vertical="center"/>
    </xf>
    <xf numFmtId="0" fontId="26" fillId="0" borderId="10" xfId="0" applyFont="1" applyBorder="1">
      <alignment vertical="center"/>
    </xf>
    <xf numFmtId="0" fontId="26" fillId="0" borderId="0" xfId="0" applyFont="1" applyBorder="1" applyAlignment="1">
      <alignment horizontal="center" vertical="center"/>
    </xf>
    <xf numFmtId="0" fontId="17" fillId="0" borderId="0" xfId="0" applyFont="1">
      <alignment vertical="center"/>
    </xf>
    <xf numFmtId="49" fontId="60" fillId="0" borderId="0" xfId="0" applyNumberFormat="1" applyFont="1" applyFill="1" applyAlignment="1" applyProtection="1">
      <alignment vertical="center"/>
      <protection locked="0"/>
    </xf>
    <xf numFmtId="0" fontId="60" fillId="0" borderId="0" xfId="0" applyNumberFormat="1" applyFont="1" applyFill="1" applyAlignment="1" applyProtection="1">
      <alignment vertical="center"/>
      <protection locked="0"/>
    </xf>
    <xf numFmtId="49" fontId="26" fillId="0" borderId="0" xfId="0" applyNumberFormat="1" applyFont="1" applyAlignment="1">
      <alignment horizontal="right" vertical="center"/>
    </xf>
    <xf numFmtId="0" fontId="26" fillId="0" borderId="7" xfId="0" applyFont="1" applyBorder="1">
      <alignment vertical="center"/>
    </xf>
    <xf numFmtId="0" fontId="26" fillId="0" borderId="4" xfId="0" applyFont="1" applyBorder="1">
      <alignment vertical="center"/>
    </xf>
    <xf numFmtId="0" fontId="26" fillId="0" borderId="11" xfId="0" applyFont="1" applyBorder="1">
      <alignment vertical="center"/>
    </xf>
    <xf numFmtId="0" fontId="26" fillId="0" borderId="0" xfId="0" applyFont="1" applyBorder="1" applyAlignment="1">
      <alignment vertical="center"/>
    </xf>
    <xf numFmtId="0" fontId="17" fillId="0" borderId="0" xfId="0" applyFont="1" applyBorder="1">
      <alignment vertical="center"/>
    </xf>
    <xf numFmtId="0" fontId="26" fillId="0" borderId="0" xfId="0" applyFont="1" applyAlignment="1">
      <alignment horizontal="right" vertical="center"/>
    </xf>
    <xf numFmtId="0" fontId="26" fillId="0" borderId="10" xfId="0" applyFont="1" applyBorder="1" applyAlignment="1">
      <alignment vertical="center"/>
    </xf>
    <xf numFmtId="0" fontId="33" fillId="0" borderId="5" xfId="0" applyFont="1" applyFill="1" applyBorder="1" applyAlignment="1">
      <alignment horizontal="left" vertical="top" wrapText="1"/>
    </xf>
    <xf numFmtId="0" fontId="33" fillId="0" borderId="13" xfId="0" applyFont="1" applyFill="1" applyBorder="1" applyAlignment="1">
      <alignment horizontal="left" vertical="top" wrapText="1"/>
    </xf>
    <xf numFmtId="0" fontId="33" fillId="0" borderId="14" xfId="0" applyFont="1" applyFill="1" applyBorder="1" applyAlignment="1">
      <alignment vertical="center"/>
    </xf>
    <xf numFmtId="180" fontId="4" fillId="2" borderId="1" xfId="0" applyNumberFormat="1" applyFont="1" applyFill="1" applyBorder="1" applyAlignment="1" applyProtection="1">
      <alignment horizontal="right" vertical="center"/>
    </xf>
    <xf numFmtId="180" fontId="4" fillId="2" borderId="2" xfId="0" applyNumberFormat="1" applyFont="1" applyFill="1" applyBorder="1" applyAlignment="1" applyProtection="1">
      <alignment horizontal="righ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179" fontId="4" fillId="0" borderId="2" xfId="0" applyNumberFormat="1" applyFont="1" applyFill="1" applyBorder="1" applyAlignment="1" applyProtection="1">
      <alignment horizontal="right" vertical="center"/>
      <protection locked="0"/>
    </xf>
    <xf numFmtId="0" fontId="9"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0" fontId="4" fillId="0" borderId="12" xfId="0" applyFont="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81" fontId="4" fillId="0" borderId="0" xfId="0" applyNumberFormat="1" applyFont="1" applyBorder="1" applyAlignment="1" applyProtection="1">
      <alignment horizontal="right" vertical="center"/>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181" fontId="4" fillId="0" borderId="8" xfId="0" applyNumberFormat="1" applyFont="1" applyBorder="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2" xfId="0" applyFont="1" applyBorder="1" applyAlignment="1">
      <alignment horizontal="left" vertical="center"/>
    </xf>
    <xf numFmtId="0" fontId="15" fillId="0" borderId="0" xfId="0" applyFont="1" applyAlignment="1">
      <alignment horizontal="left" vertical="top" wrapText="1"/>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8" fillId="0" borderId="12" xfId="0" applyFont="1" applyBorder="1" applyAlignment="1">
      <alignment horizontal="center" vertical="center" wrapText="1"/>
    </xf>
    <xf numFmtId="0" fontId="3" fillId="0" borderId="0" xfId="0" applyFont="1" applyAlignment="1">
      <alignment horizontal="left" vertical="top"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3" fillId="0" borderId="0" xfId="0" applyFont="1" applyAlignment="1">
      <alignment horizontal="left" vertical="center"/>
    </xf>
    <xf numFmtId="0" fontId="4" fillId="0" borderId="12" xfId="0" applyFont="1" applyBorder="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left" vertical="center"/>
    </xf>
    <xf numFmtId="182" fontId="4" fillId="0" borderId="0" xfId="0" applyNumberFormat="1" applyFont="1" applyBorder="1" applyAlignment="1" applyProtection="1">
      <alignment horizontal="right" vertical="center"/>
      <protection locked="0"/>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0"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0" xfId="0" applyNumberFormat="1" applyFont="1" applyBorder="1" applyAlignment="1" applyProtection="1">
      <alignment horizontal="center" vertical="center"/>
      <protection locked="0"/>
    </xf>
    <xf numFmtId="179" fontId="4" fillId="0" borderId="0" xfId="0" applyNumberFormat="1" applyFont="1" applyFill="1" applyBorder="1" applyAlignment="1" applyProtection="1">
      <alignment horizontal="center" vertical="center"/>
      <protection locked="0"/>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77" fontId="4" fillId="0" borderId="10" xfId="0" applyNumberFormat="1"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177" fontId="4" fillId="0" borderId="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5"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179" fontId="4" fillId="0" borderId="10" xfId="0" applyNumberFormat="1" applyFont="1" applyBorder="1" applyAlignment="1" applyProtection="1">
      <alignment horizontal="right" vertical="center"/>
      <protection locked="0"/>
    </xf>
    <xf numFmtId="0" fontId="6" fillId="0" borderId="0" xfId="0" applyFont="1" applyAlignment="1">
      <alignment horizontal="left" vertical="center" wrapText="1"/>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2" xfId="0" applyFont="1" applyBorder="1" applyAlignment="1" applyProtection="1">
      <alignment horizontal="center" vertical="center" shrinkToFit="1"/>
      <protection locked="0"/>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left" vertical="center" wrapText="1"/>
    </xf>
    <xf numFmtId="0" fontId="8" fillId="0" borderId="13"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13"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vertical="center" wrapText="1"/>
    </xf>
    <xf numFmtId="183" fontId="4" fillId="2" borderId="12" xfId="0" applyNumberFormat="1" applyFont="1" applyFill="1" applyBorder="1" applyAlignment="1">
      <alignment horizontal="right" vertical="center"/>
    </xf>
    <xf numFmtId="0" fontId="10" fillId="0" borderId="0" xfId="0" applyFont="1" applyAlignment="1">
      <alignment horizontal="left" vertical="top" wrapText="1"/>
    </xf>
    <xf numFmtId="0" fontId="9" fillId="0" borderId="0" xfId="0" applyFont="1" applyAlignment="1">
      <alignment horizontal="left" vertical="center" wrapText="1"/>
    </xf>
    <xf numFmtId="177" fontId="4" fillId="0" borderId="2" xfId="0" applyNumberFormat="1" applyFont="1" applyFill="1" applyBorder="1" applyAlignment="1" applyProtection="1">
      <alignment horizontal="center" vertical="center"/>
      <protection locked="0"/>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0" fontId="3" fillId="0" borderId="0" xfId="0" applyFont="1" applyAlignment="1">
      <alignment horizontal="left"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9" fillId="0" borderId="0" xfId="0" applyFont="1" applyBorder="1" applyAlignment="1">
      <alignment horizontal="left" vertical="center" wrapText="1"/>
    </xf>
    <xf numFmtId="0" fontId="2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176" fontId="23" fillId="0" borderId="2" xfId="0" applyNumberFormat="1" applyFont="1" applyBorder="1" applyAlignment="1">
      <alignment horizontal="right" vertical="center"/>
    </xf>
    <xf numFmtId="49" fontId="23"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center" vertical="center"/>
    </xf>
    <xf numFmtId="0" fontId="23" fillId="0" borderId="0" xfId="0" applyNumberFormat="1" applyFont="1" applyAlignment="1">
      <alignment horizontal="left" vertical="center"/>
    </xf>
    <xf numFmtId="0" fontId="30" fillId="0" borderId="0" xfId="0" applyNumberFormat="1" applyFont="1" applyFill="1" applyAlignment="1" applyProtection="1">
      <alignment horizontal="center" vertical="center"/>
      <protection locked="0"/>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49" fontId="20" fillId="0" borderId="2" xfId="0" applyNumberFormat="1" applyFont="1" applyFill="1" applyBorder="1" applyAlignment="1" applyProtection="1">
      <alignment horizontal="center" vertical="center"/>
      <protection locked="0"/>
    </xf>
    <xf numFmtId="49" fontId="20" fillId="0" borderId="3" xfId="0" applyNumberFormat="1" applyFont="1" applyFill="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6"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3" fillId="0" borderId="5" xfId="0" applyFont="1" applyFill="1" applyBorder="1" applyAlignment="1" applyProtection="1">
      <alignment horizontal="left" vertical="center"/>
      <protection locked="0"/>
    </xf>
    <xf numFmtId="0" fontId="20" fillId="0" borderId="5"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9"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20" fillId="0" borderId="1"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3" fillId="0" borderId="0" xfId="0" applyNumberFormat="1" applyFont="1" applyAlignment="1">
      <alignment horizontal="left" vertical="center"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60" fillId="0" borderId="0" xfId="0" applyNumberFormat="1" applyFont="1" applyFill="1" applyAlignment="1" applyProtection="1">
      <alignment horizontal="center" vertical="center"/>
      <protection locked="0"/>
    </xf>
    <xf numFmtId="0" fontId="26" fillId="0" borderId="0" xfId="0" applyFont="1" applyBorder="1" applyAlignment="1">
      <alignment horizontal="left" vertical="center"/>
    </xf>
    <xf numFmtId="0" fontId="26" fillId="0" borderId="10" xfId="0" applyFont="1" applyBorder="1" applyAlignment="1">
      <alignment horizontal="left" vertical="center"/>
    </xf>
    <xf numFmtId="0" fontId="26" fillId="0" borderId="10" xfId="0" applyFont="1" applyBorder="1" applyAlignment="1">
      <alignment horizontal="right"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 xfId="0" applyFont="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12" xfId="0" applyFont="1" applyBorder="1" applyAlignment="1">
      <alignment horizontal="center" vertical="center" wrapText="1"/>
    </xf>
    <xf numFmtId="0" fontId="26" fillId="0" borderId="12" xfId="0" applyFont="1" applyBorder="1" applyAlignment="1">
      <alignment horizontal="center" vertical="center"/>
    </xf>
    <xf numFmtId="0" fontId="26" fillId="0" borderId="9" xfId="0" applyFont="1" applyBorder="1" applyAlignment="1">
      <alignment horizontal="left" vertical="center"/>
    </xf>
    <xf numFmtId="0" fontId="26" fillId="0" borderId="11" xfId="0" applyFont="1" applyBorder="1" applyAlignment="1">
      <alignment horizontal="left" vertical="center"/>
    </xf>
    <xf numFmtId="180" fontId="26" fillId="0" borderId="12" xfId="0" applyNumberFormat="1" applyFont="1" applyBorder="1" applyAlignment="1">
      <alignment horizontal="center" vertical="center"/>
    </xf>
    <xf numFmtId="0" fontId="61" fillId="0" borderId="0" xfId="0" applyFont="1" applyBorder="1" applyAlignment="1">
      <alignment horizontal="left" vertical="center" wrapText="1"/>
    </xf>
    <xf numFmtId="0" fontId="61" fillId="0" borderId="5" xfId="0" applyFont="1" applyBorder="1" applyAlignment="1">
      <alignment horizontal="left" vertical="center" wrapText="1"/>
    </xf>
    <xf numFmtId="0" fontId="27" fillId="0" borderId="12" xfId="0" applyFont="1" applyBorder="1" applyAlignment="1">
      <alignment horizontal="center" vertical="center"/>
    </xf>
    <xf numFmtId="2" fontId="26" fillId="0" borderId="12" xfId="0" applyNumberFormat="1" applyFont="1" applyBorder="1" applyAlignment="1">
      <alignment horizontal="center" vertical="center"/>
    </xf>
    <xf numFmtId="9" fontId="26" fillId="0" borderId="12" xfId="0" applyNumberFormat="1" applyFont="1" applyBorder="1" applyAlignment="1">
      <alignment horizontal="center" vertical="center"/>
    </xf>
    <xf numFmtId="0" fontId="27" fillId="0" borderId="5" xfId="0" applyFont="1" applyBorder="1" applyAlignment="1">
      <alignment horizontal="left" wrapText="1"/>
    </xf>
    <xf numFmtId="0" fontId="26" fillId="0" borderId="0" xfId="0" applyFont="1" applyAlignment="1">
      <alignment horizontal="center" vertical="center"/>
    </xf>
    <xf numFmtId="0" fontId="26" fillId="0" borderId="12" xfId="0" applyFont="1" applyBorder="1" applyAlignment="1">
      <alignment horizontal="left" vertical="center"/>
    </xf>
    <xf numFmtId="178" fontId="34" fillId="6" borderId="2" xfId="0" applyNumberFormat="1" applyFont="1" applyFill="1" applyBorder="1" applyAlignment="1">
      <alignment horizontal="center" vertical="center"/>
    </xf>
    <xf numFmtId="178" fontId="34" fillId="6" borderId="3" xfId="0" applyNumberFormat="1" applyFont="1" applyFill="1" applyBorder="1" applyAlignment="1">
      <alignment horizontal="center" vertical="center"/>
    </xf>
    <xf numFmtId="178" fontId="34" fillId="6" borderId="1" xfId="0" applyNumberFormat="1" applyFont="1" applyFill="1" applyBorder="1" applyAlignment="1">
      <alignment horizontal="center" vertical="center"/>
    </xf>
    <xf numFmtId="184" fontId="33" fillId="0" borderId="1" xfId="0" applyNumberFormat="1" applyFont="1" applyFill="1" applyBorder="1" applyAlignment="1">
      <alignment horizontal="center" vertical="center"/>
    </xf>
    <xf numFmtId="184" fontId="33" fillId="0" borderId="2" xfId="0" applyNumberFormat="1" applyFont="1" applyFill="1" applyBorder="1" applyAlignment="1">
      <alignment horizontal="center" vertical="center"/>
    </xf>
    <xf numFmtId="184" fontId="33" fillId="0" borderId="3" xfId="0" applyNumberFormat="1" applyFont="1" applyFill="1" applyBorder="1" applyAlignment="1">
      <alignment horizontal="center" vertical="center"/>
    </xf>
    <xf numFmtId="178" fontId="33" fillId="4" borderId="0" xfId="0" applyNumberFormat="1" applyFont="1" applyFill="1" applyAlignment="1">
      <alignment horizontal="center" vertical="top" wrapText="1"/>
    </xf>
    <xf numFmtId="0" fontId="37" fillId="0" borderId="6" xfId="0" applyFont="1" applyFill="1" applyBorder="1" applyAlignment="1">
      <alignment horizontal="left" vertical="top" wrapText="1"/>
    </xf>
    <xf numFmtId="0" fontId="37" fillId="0" borderId="5" xfId="0" applyFont="1" applyFill="1" applyBorder="1" applyAlignment="1">
      <alignment horizontal="left" vertical="top" wrapText="1"/>
    </xf>
    <xf numFmtId="0" fontId="37" fillId="0" borderId="7" xfId="0" applyFont="1" applyFill="1" applyBorder="1" applyAlignment="1">
      <alignment horizontal="left" vertical="top" wrapText="1"/>
    </xf>
    <xf numFmtId="0" fontId="37" fillId="0" borderId="9" xfId="0" applyFont="1" applyFill="1" applyBorder="1" applyAlignment="1">
      <alignment horizontal="left" vertical="top" wrapText="1"/>
    </xf>
    <xf numFmtId="0" fontId="37" fillId="0" borderId="10" xfId="0" applyFont="1" applyFill="1" applyBorder="1" applyAlignment="1">
      <alignment horizontal="left" vertical="top" wrapText="1"/>
    </xf>
    <xf numFmtId="0" fontId="37" fillId="0" borderId="11" xfId="0" applyFont="1" applyFill="1" applyBorder="1" applyAlignment="1">
      <alignment horizontal="left" vertical="top" wrapText="1"/>
    </xf>
    <xf numFmtId="0" fontId="33" fillId="0" borderId="6" xfId="0" applyFont="1" applyFill="1" applyBorder="1" applyAlignment="1">
      <alignment horizontal="left" vertical="top"/>
    </xf>
    <xf numFmtId="0" fontId="33" fillId="0" borderId="5" xfId="0" applyFont="1" applyFill="1" applyBorder="1" applyAlignment="1">
      <alignment horizontal="left" vertical="top"/>
    </xf>
    <xf numFmtId="0" fontId="33" fillId="0" borderId="7" xfId="0" applyFont="1" applyFill="1" applyBorder="1" applyAlignment="1">
      <alignment horizontal="left" vertical="top"/>
    </xf>
    <xf numFmtId="38" fontId="36" fillId="0" borderId="33" xfId="3" applyFont="1" applyFill="1" applyBorder="1" applyAlignment="1">
      <alignment horizontal="center" vertical="center"/>
    </xf>
    <xf numFmtId="38" fontId="36" fillId="0" borderId="37" xfId="3" applyFont="1" applyFill="1" applyBorder="1" applyAlignment="1">
      <alignment horizontal="center" vertical="center"/>
    </xf>
    <xf numFmtId="0" fontId="36" fillId="0" borderId="40" xfId="2" applyFont="1" applyFill="1" applyBorder="1" applyAlignment="1">
      <alignment horizontal="center" vertical="center"/>
    </xf>
    <xf numFmtId="0" fontId="36" fillId="0" borderId="41" xfId="2" applyFont="1" applyFill="1" applyBorder="1" applyAlignment="1">
      <alignment horizontal="center" vertical="center"/>
    </xf>
    <xf numFmtId="0" fontId="36" fillId="0" borderId="42" xfId="2" applyFont="1" applyFill="1" applyBorder="1" applyAlignment="1">
      <alignment horizontal="center" vertical="center"/>
    </xf>
    <xf numFmtId="0" fontId="36" fillId="0" borderId="43" xfId="2" applyFont="1" applyFill="1" applyBorder="1" applyAlignment="1">
      <alignment horizontal="center" vertical="center"/>
    </xf>
    <xf numFmtId="0" fontId="36" fillId="0" borderId="44" xfId="2" applyFont="1" applyFill="1" applyBorder="1" applyAlignment="1">
      <alignment horizontal="center" vertical="center"/>
    </xf>
    <xf numFmtId="0" fontId="36" fillId="0" borderId="45" xfId="2" applyFont="1" applyFill="1" applyBorder="1" applyAlignment="1">
      <alignment horizontal="center" vertical="center"/>
    </xf>
    <xf numFmtId="0" fontId="36" fillId="0" borderId="48" xfId="2" applyFont="1" applyFill="1" applyBorder="1" applyAlignment="1">
      <alignment horizontal="center" vertical="center"/>
    </xf>
    <xf numFmtId="0" fontId="36" fillId="0" borderId="50" xfId="2" applyFont="1" applyFill="1" applyBorder="1" applyAlignment="1">
      <alignment horizontal="center" vertical="center"/>
    </xf>
    <xf numFmtId="0" fontId="36" fillId="0" borderId="49" xfId="2" applyFont="1" applyFill="1" applyBorder="1" applyAlignment="1">
      <alignment horizontal="center" vertical="center"/>
    </xf>
    <xf numFmtId="0" fontId="36" fillId="0" borderId="36" xfId="2" applyFont="1" applyFill="1" applyBorder="1" applyAlignment="1">
      <alignment horizontal="center" vertical="center"/>
    </xf>
    <xf numFmtId="0" fontId="56" fillId="0" borderId="31" xfId="2" applyFont="1" applyFill="1" applyBorder="1" applyAlignment="1">
      <alignment horizontal="center" vertical="center" wrapText="1"/>
    </xf>
    <xf numFmtId="0" fontId="56" fillId="0" borderId="35" xfId="2" applyFont="1" applyFill="1" applyBorder="1" applyAlignment="1">
      <alignment horizontal="center" vertical="center"/>
    </xf>
    <xf numFmtId="0" fontId="56" fillId="0" borderId="31" xfId="2" applyFont="1" applyFill="1" applyBorder="1" applyAlignment="1">
      <alignment horizontal="center" vertical="center" wrapText="1" shrinkToFit="1"/>
    </xf>
    <xf numFmtId="0" fontId="56" fillId="0" borderId="35" xfId="2" applyFont="1" applyFill="1" applyBorder="1" applyAlignment="1">
      <alignment horizontal="center" vertical="center" wrapText="1" shrinkToFit="1"/>
    </xf>
    <xf numFmtId="0" fontId="56" fillId="0" borderId="35" xfId="2" applyFont="1" applyFill="1" applyBorder="1" applyAlignment="1">
      <alignment horizontal="center" vertical="center" wrapText="1"/>
    </xf>
    <xf numFmtId="189" fontId="56" fillId="0" borderId="32" xfId="2" applyNumberFormat="1" applyFont="1" applyFill="1" applyBorder="1" applyAlignment="1">
      <alignment horizontal="center" vertical="center" wrapText="1"/>
    </xf>
    <xf numFmtId="189" fontId="56" fillId="0" borderId="36" xfId="2" applyNumberFormat="1" applyFont="1" applyFill="1" applyBorder="1" applyAlignment="1">
      <alignment horizontal="center" vertical="center" wrapText="1"/>
    </xf>
    <xf numFmtId="0" fontId="54" fillId="0" borderId="30" xfId="2" applyFont="1" applyFill="1" applyBorder="1" applyAlignment="1">
      <alignment horizontal="center" vertical="center" wrapText="1" shrinkToFit="1"/>
    </xf>
    <xf numFmtId="0" fontId="56" fillId="0" borderId="34" xfId="2" applyFont="1" applyFill="1" applyBorder="1" applyAlignment="1">
      <alignment horizontal="center" vertical="center" wrapText="1" shrinkToFit="1"/>
    </xf>
    <xf numFmtId="0" fontId="36" fillId="0" borderId="31" xfId="2" applyFont="1" applyFill="1" applyBorder="1" applyAlignment="1">
      <alignment horizontal="center" vertical="center"/>
    </xf>
    <xf numFmtId="0" fontId="36" fillId="0" borderId="35" xfId="2" applyFont="1" applyFill="1" applyBorder="1" applyAlignment="1">
      <alignment horizontal="center" vertical="center"/>
    </xf>
  </cellXfs>
  <cellStyles count="5">
    <cellStyle name="パーセント 2" xfId="4"/>
    <cellStyle name="桁区切り" xfId="1" builtinId="6"/>
    <cellStyle name="桁区切り 2" xfId="3"/>
    <cellStyle name="標準" xfId="0" builtinId="0"/>
    <cellStyle name="標準 2" xfId="2"/>
  </cellStyles>
  <dxfs count="9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CC"/>
      <color rgb="FF0000FF"/>
      <color rgb="FF0066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R4youshiki6gouzissekihoukoku(shinntiku)&#97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６号】事業報告書兼チェックシート"/>
      <sheetName val="要入力　交付決定状況入力シート"/>
      <sheetName val="【様式第６号】（別紙）補助金併用一覧"/>
      <sheetName val="実績報告書鑑（報告書連動）"/>
      <sheetName val="台帳コピー"/>
    </sheetNames>
    <sheetDataSet>
      <sheetData sheetId="0" refreshError="1">
        <row r="134">
          <cell r="Y134" t="str">
            <v/>
          </cell>
        </row>
        <row r="170">
          <cell r="F170" t="str">
            <v/>
          </cell>
        </row>
        <row r="175">
          <cell r="F175" t="str">
            <v/>
          </cell>
        </row>
        <row r="182">
          <cell r="F182" t="str">
            <v/>
          </cell>
        </row>
        <row r="190">
          <cell r="F190" t="str">
            <v/>
          </cell>
        </row>
        <row r="198">
          <cell r="F198" t="str">
            <v/>
          </cell>
        </row>
        <row r="208">
          <cell r="F208" t="str">
            <v/>
          </cell>
        </row>
        <row r="215">
          <cell r="F215" t="str">
            <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63"/>
  <sheetViews>
    <sheetView showGridLines="0" tabSelected="1" view="pageBreakPreview" zoomScale="120" zoomScaleNormal="100" zoomScaleSheetLayoutView="120" workbookViewId="0">
      <selection activeCell="Z1" sqref="Z1"/>
    </sheetView>
  </sheetViews>
  <sheetFormatPr defaultColWidth="3.125" defaultRowHeight="13.5" x14ac:dyDescent="0.15"/>
  <cols>
    <col min="1" max="1" width="4.25" style="1" customWidth="1"/>
    <col min="2" max="2" width="3.625" style="1" customWidth="1"/>
    <col min="3" max="5" width="3.125" style="1"/>
    <col min="6" max="6" width="3.375" style="1" customWidth="1"/>
    <col min="7" max="11" width="3.125" style="1"/>
    <col min="12" max="12" width="3.5" style="1" bestFit="1" customWidth="1"/>
    <col min="13" max="16" width="3.125" style="1"/>
    <col min="17" max="17" width="3.5" style="1" bestFit="1" customWidth="1"/>
    <col min="18" max="21" width="3.125" style="1"/>
    <col min="22" max="22" width="3.5" style="1" bestFit="1" customWidth="1"/>
    <col min="23" max="26" width="3.125" style="1"/>
    <col min="27" max="27" width="3.75" style="3" customWidth="1"/>
    <col min="28" max="28" width="6.125" style="4" bestFit="1" customWidth="1"/>
    <col min="29" max="31" width="3.125" style="4"/>
    <col min="32" max="35" width="3.5" style="4" bestFit="1" customWidth="1"/>
    <col min="36" max="39" width="3.125" style="4"/>
    <col min="40" max="41" width="3.5" style="4" bestFit="1" customWidth="1"/>
    <col min="42" max="55" width="3.125" style="4"/>
    <col min="56" max="58" width="3.125" style="1"/>
    <col min="59" max="59" width="7.25" style="1" customWidth="1"/>
    <col min="60" max="16384" width="3.125" style="1"/>
  </cols>
  <sheetData>
    <row r="1" spans="1:60" ht="13.5" customHeight="1" x14ac:dyDescent="0.15">
      <c r="A1" s="1" t="s">
        <v>171</v>
      </c>
      <c r="K1" s="2"/>
      <c r="L1" s="2"/>
      <c r="M1" s="2"/>
      <c r="N1" s="2"/>
      <c r="O1" s="2"/>
      <c r="P1" s="2"/>
      <c r="Q1" s="2"/>
      <c r="R1" s="2"/>
      <c r="Z1" s="63"/>
      <c r="AA1" s="133" t="s">
        <v>200</v>
      </c>
      <c r="AC1" s="5" t="s">
        <v>90</v>
      </c>
      <c r="BG1" s="1" t="s">
        <v>137</v>
      </c>
      <c r="BH1" s="1" t="s">
        <v>154</v>
      </c>
    </row>
    <row r="2" spans="1:60" ht="6" customHeight="1" x14ac:dyDescent="0.15">
      <c r="K2" s="2"/>
      <c r="L2" s="2"/>
      <c r="M2" s="2"/>
      <c r="N2" s="2"/>
      <c r="O2" s="2"/>
      <c r="P2" s="2"/>
      <c r="Q2" s="2"/>
      <c r="R2" s="2"/>
      <c r="AC2" s="5" t="s">
        <v>202</v>
      </c>
      <c r="BG2" s="1" t="s">
        <v>138</v>
      </c>
      <c r="BH2" s="1" t="s">
        <v>155</v>
      </c>
    </row>
    <row r="3" spans="1:60" ht="15.6" customHeight="1" x14ac:dyDescent="0.15">
      <c r="A3" s="486" t="s">
        <v>516</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C3" s="5" t="s">
        <v>87</v>
      </c>
      <c r="BG3" s="1" t="s">
        <v>139</v>
      </c>
      <c r="BH3" s="1" t="s">
        <v>156</v>
      </c>
    </row>
    <row r="4" spans="1:60" ht="15" customHeight="1" x14ac:dyDescent="0.15">
      <c r="A4" s="486" t="s">
        <v>515</v>
      </c>
      <c r="B4" s="486"/>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C4" s="5" t="s">
        <v>87</v>
      </c>
      <c r="BG4" s="1" t="s">
        <v>587</v>
      </c>
      <c r="BH4" s="1" t="s">
        <v>588</v>
      </c>
    </row>
    <row r="5" spans="1:60" x14ac:dyDescent="0.15">
      <c r="A5" s="479" t="s">
        <v>517</v>
      </c>
      <c r="B5" s="479"/>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BG5" s="1" t="s">
        <v>140</v>
      </c>
      <c r="BH5" s="1" t="s">
        <v>154</v>
      </c>
    </row>
    <row r="6" spans="1:60" x14ac:dyDescent="0.15">
      <c r="A6" s="479"/>
      <c r="B6" s="479"/>
      <c r="C6" s="479"/>
      <c r="D6" s="479"/>
      <c r="E6" s="479"/>
      <c r="F6" s="479"/>
      <c r="G6" s="479"/>
      <c r="H6" s="479"/>
      <c r="I6" s="479"/>
      <c r="J6" s="479"/>
      <c r="K6" s="479"/>
      <c r="L6" s="479"/>
      <c r="M6" s="479"/>
      <c r="N6" s="479"/>
      <c r="O6" s="479"/>
      <c r="P6" s="479"/>
      <c r="Q6" s="479"/>
      <c r="R6" s="479"/>
      <c r="S6" s="479"/>
      <c r="T6" s="479"/>
      <c r="U6" s="479"/>
      <c r="V6" s="479"/>
      <c r="W6" s="479"/>
      <c r="X6" s="479"/>
      <c r="Y6" s="479"/>
      <c r="Z6" s="479"/>
      <c r="AA6" s="479"/>
      <c r="BG6" s="1" t="s">
        <v>141</v>
      </c>
      <c r="BH6" s="1" t="s">
        <v>154</v>
      </c>
    </row>
    <row r="7" spans="1:60" ht="6" customHeight="1" x14ac:dyDescent="0.15">
      <c r="BG7" s="1" t="s">
        <v>142</v>
      </c>
      <c r="BH7" s="1" t="s">
        <v>154</v>
      </c>
    </row>
    <row r="8" spans="1:60" x14ac:dyDescent="0.15">
      <c r="C8" s="527" t="s">
        <v>275</v>
      </c>
      <c r="D8" s="527"/>
      <c r="E8" s="526"/>
      <c r="F8" s="526"/>
      <c r="G8" s="1" t="s">
        <v>8</v>
      </c>
      <c r="H8" s="517"/>
      <c r="I8" s="517"/>
      <c r="J8" s="1" t="s">
        <v>28</v>
      </c>
      <c r="K8" s="517"/>
      <c r="L8" s="517"/>
      <c r="M8" s="1" t="s">
        <v>7</v>
      </c>
      <c r="AB8" s="5" t="str">
        <f>IF(OR(C8="",H8="",K8=""),"←リストから選択してください（和暦年月日）","")</f>
        <v>←リストから選択してください（和暦年月日）</v>
      </c>
      <c r="BG8" s="1" t="s">
        <v>157</v>
      </c>
      <c r="BH8" s="1" t="s">
        <v>154</v>
      </c>
    </row>
    <row r="9" spans="1:60" ht="3" customHeight="1" x14ac:dyDescent="0.15">
      <c r="BG9" s="1" t="s">
        <v>143</v>
      </c>
      <c r="BH9" s="1" t="s">
        <v>156</v>
      </c>
    </row>
    <row r="10" spans="1:60" x14ac:dyDescent="0.15">
      <c r="K10" s="6" t="s">
        <v>27</v>
      </c>
      <c r="L10" s="7" t="s">
        <v>13</v>
      </c>
      <c r="M10" s="8"/>
      <c r="N10" s="9" t="s">
        <v>10</v>
      </c>
      <c r="O10" s="465"/>
      <c r="P10" s="465"/>
      <c r="Q10" s="465"/>
      <c r="R10" s="465"/>
      <c r="S10" s="465"/>
      <c r="T10" s="465"/>
      <c r="U10" s="465"/>
      <c r="V10" s="465"/>
      <c r="W10" s="465"/>
      <c r="X10" s="465"/>
      <c r="Y10" s="465"/>
      <c r="Z10" s="466"/>
      <c r="AA10" s="10"/>
      <c r="AB10" s="5" t="str">
        <f>IF(O10="","←直接郵便番号を記入してください","")</f>
        <v>←直接郵便番号を記入してください</v>
      </c>
      <c r="BG10" s="1" t="s">
        <v>144</v>
      </c>
      <c r="BH10" s="1" t="s">
        <v>156</v>
      </c>
    </row>
    <row r="11" spans="1:60" ht="23.1" customHeight="1" x14ac:dyDescent="0.15">
      <c r="L11" s="11"/>
      <c r="M11" s="12"/>
      <c r="N11" s="521"/>
      <c r="O11" s="522"/>
      <c r="P11" s="522"/>
      <c r="Q11" s="522"/>
      <c r="R11" s="522"/>
      <c r="S11" s="522"/>
      <c r="T11" s="522"/>
      <c r="U11" s="522"/>
      <c r="V11" s="522"/>
      <c r="W11" s="522"/>
      <c r="X11" s="522"/>
      <c r="Y11" s="522"/>
      <c r="Z11" s="523"/>
      <c r="AA11" s="10"/>
      <c r="AB11" s="5" t="str">
        <f>IF(N11="","←直接住所を記入してください","")</f>
        <v>←直接住所を記入してください</v>
      </c>
      <c r="BG11" s="1" t="s">
        <v>145</v>
      </c>
      <c r="BH11" s="1" t="s">
        <v>156</v>
      </c>
    </row>
    <row r="12" spans="1:60" x14ac:dyDescent="0.15">
      <c r="L12" s="13" t="s">
        <v>6</v>
      </c>
      <c r="M12" s="14"/>
      <c r="N12" s="461"/>
      <c r="O12" s="462"/>
      <c r="P12" s="462"/>
      <c r="Q12" s="462"/>
      <c r="R12" s="462"/>
      <c r="S12" s="462"/>
      <c r="T12" s="462"/>
      <c r="U12" s="462"/>
      <c r="V12" s="462"/>
      <c r="W12" s="462"/>
      <c r="X12" s="462"/>
      <c r="Y12" s="462"/>
      <c r="Z12" s="463"/>
      <c r="AB12" s="5" t="str">
        <f>IF(N12="","←直接建築主の氏名を記入してください","")</f>
        <v>←直接建築主の氏名を記入してください</v>
      </c>
      <c r="BG12" s="1" t="s">
        <v>146</v>
      </c>
      <c r="BH12" s="1" t="s">
        <v>156</v>
      </c>
    </row>
    <row r="13" spans="1:60" x14ac:dyDescent="0.15">
      <c r="L13" s="13" t="s">
        <v>9</v>
      </c>
      <c r="M13" s="14"/>
      <c r="N13" s="518"/>
      <c r="O13" s="519"/>
      <c r="P13" s="519"/>
      <c r="Q13" s="519"/>
      <c r="R13" s="519"/>
      <c r="S13" s="519"/>
      <c r="T13" s="519"/>
      <c r="U13" s="519"/>
      <c r="V13" s="519"/>
      <c r="W13" s="519"/>
      <c r="X13" s="519"/>
      <c r="Y13" s="519"/>
      <c r="Z13" s="520"/>
      <c r="AB13" s="5" t="str">
        <f>IF(N13="","←直接電話番号を記入してください","")</f>
        <v>←直接電話番号を記入してください</v>
      </c>
      <c r="BG13" s="1" t="s">
        <v>147</v>
      </c>
      <c r="BH13" s="1" t="s">
        <v>155</v>
      </c>
    </row>
    <row r="14" spans="1:60" x14ac:dyDescent="0.15">
      <c r="A14" s="1" t="s">
        <v>49</v>
      </c>
      <c r="BG14" s="1" t="s">
        <v>148</v>
      </c>
      <c r="BH14" s="1" t="s">
        <v>155</v>
      </c>
    </row>
    <row r="15" spans="1:60" x14ac:dyDescent="0.15">
      <c r="A15" s="1" t="s">
        <v>48</v>
      </c>
      <c r="AA15" s="15"/>
      <c r="BG15" s="1" t="s">
        <v>149</v>
      </c>
      <c r="BH15" s="1" t="s">
        <v>155</v>
      </c>
    </row>
    <row r="16" spans="1:60" ht="26.25" customHeight="1" x14ac:dyDescent="0.15">
      <c r="A16" s="479" t="s">
        <v>222</v>
      </c>
      <c r="B16" s="479"/>
      <c r="C16" s="479"/>
      <c r="D16" s="479"/>
      <c r="E16" s="479"/>
      <c r="F16" s="479"/>
      <c r="G16" s="479"/>
      <c r="H16" s="479"/>
      <c r="I16" s="479"/>
      <c r="J16" s="479"/>
      <c r="K16" s="479"/>
      <c r="L16" s="479"/>
      <c r="M16" s="479"/>
      <c r="N16" s="479"/>
      <c r="O16" s="479"/>
      <c r="P16" s="479"/>
      <c r="Q16" s="479"/>
      <c r="R16" s="479"/>
      <c r="S16" s="479"/>
      <c r="T16" s="479"/>
      <c r="U16" s="479"/>
      <c r="V16" s="479"/>
      <c r="W16" s="479"/>
      <c r="X16" s="479"/>
      <c r="Y16" s="479"/>
      <c r="Z16" s="479"/>
      <c r="AA16" s="479"/>
      <c r="BG16" s="1" t="s">
        <v>150</v>
      </c>
      <c r="BH16" s="1" t="s">
        <v>155</v>
      </c>
    </row>
    <row r="17" spans="1:60" ht="3" customHeight="1" x14ac:dyDescent="0.15">
      <c r="AA17" s="15"/>
      <c r="BG17" s="1" t="s">
        <v>151</v>
      </c>
      <c r="BH17" s="1" t="s">
        <v>155</v>
      </c>
    </row>
    <row r="18" spans="1:60" x14ac:dyDescent="0.15">
      <c r="A18" s="1" t="s">
        <v>38</v>
      </c>
      <c r="BG18" s="1" t="s">
        <v>152</v>
      </c>
      <c r="BH18" s="1" t="s">
        <v>155</v>
      </c>
    </row>
    <row r="19" spans="1:60" ht="5.45" customHeight="1" x14ac:dyDescent="0.15">
      <c r="AA19" s="15"/>
      <c r="BG19" s="1" t="s">
        <v>153</v>
      </c>
      <c r="BH19" s="1" t="s">
        <v>155</v>
      </c>
    </row>
    <row r="20" spans="1:60" ht="13.5" customHeight="1" x14ac:dyDescent="0.15">
      <c r="B20" s="119"/>
      <c r="C20" s="477" t="s">
        <v>178</v>
      </c>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row>
    <row r="21" spans="1:60" x14ac:dyDescent="0.15">
      <c r="B21" s="62"/>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7"/>
      <c r="AA21" s="477"/>
    </row>
    <row r="22" spans="1:60" ht="3.6" customHeight="1" x14ac:dyDescent="0.15">
      <c r="AA22" s="15"/>
    </row>
    <row r="23" spans="1:60" x14ac:dyDescent="0.15">
      <c r="B23" s="119"/>
      <c r="C23" s="1" t="s">
        <v>161</v>
      </c>
    </row>
    <row r="24" spans="1:60" x14ac:dyDescent="0.15">
      <c r="C24" s="16" t="s">
        <v>99</v>
      </c>
    </row>
    <row r="25" spans="1:60" x14ac:dyDescent="0.15">
      <c r="C25" s="17" t="s">
        <v>98</v>
      </c>
      <c r="D25" s="16"/>
    </row>
    <row r="26" spans="1:60" x14ac:dyDescent="0.15">
      <c r="C26" s="16" t="s">
        <v>100</v>
      </c>
    </row>
    <row r="27" spans="1:60" x14ac:dyDescent="0.15">
      <c r="C27" s="16" t="s">
        <v>97</v>
      </c>
    </row>
    <row r="28" spans="1:60" x14ac:dyDescent="0.15">
      <c r="D28" s="498" t="s">
        <v>1</v>
      </c>
      <c r="E28" s="499"/>
      <c r="F28" s="499"/>
      <c r="G28" s="499"/>
      <c r="H28" s="500"/>
      <c r="I28" s="443" t="s">
        <v>127</v>
      </c>
      <c r="J28" s="444"/>
      <c r="K28" s="444"/>
      <c r="L28" s="445"/>
      <c r="M28" s="454" t="s">
        <v>586</v>
      </c>
      <c r="N28" s="455"/>
      <c r="O28" s="455"/>
      <c r="P28" s="455"/>
      <c r="Q28" s="455"/>
      <c r="R28" s="455"/>
      <c r="S28" s="455"/>
      <c r="T28" s="455"/>
      <c r="U28" s="455"/>
      <c r="V28" s="455"/>
      <c r="W28" s="455"/>
      <c r="X28" s="456"/>
      <c r="AB28" s="5" t="str">
        <f>IF(M28="","←リストから選択してください（市町村名）","")</f>
        <v/>
      </c>
      <c r="BG28" s="1" t="str">
        <f>IF(M28="","",VLOOKUP(M28,BG1:BH19,2,FALSE))</f>
        <v>鳥取県西部総合事務所長</v>
      </c>
    </row>
    <row r="29" spans="1:60" x14ac:dyDescent="0.15">
      <c r="D29" s="501"/>
      <c r="E29" s="502"/>
      <c r="F29" s="502"/>
      <c r="G29" s="502"/>
      <c r="H29" s="503"/>
      <c r="I29" s="461"/>
      <c r="J29" s="462"/>
      <c r="K29" s="462"/>
      <c r="L29" s="462"/>
      <c r="M29" s="462"/>
      <c r="N29" s="462"/>
      <c r="O29" s="462"/>
      <c r="P29" s="462"/>
      <c r="Q29" s="462"/>
      <c r="R29" s="462"/>
      <c r="S29" s="462"/>
      <c r="T29" s="462"/>
      <c r="U29" s="462"/>
      <c r="V29" s="462"/>
      <c r="W29" s="462"/>
      <c r="X29" s="463"/>
      <c r="AB29" s="5" t="str">
        <f>IF(I29="","←市町村名より後の所在地を直接記入してください","")</f>
        <v>←市町村名より後の所在地を直接記入してください</v>
      </c>
    </row>
    <row r="30" spans="1:60" x14ac:dyDescent="0.15">
      <c r="D30" s="443" t="s">
        <v>521</v>
      </c>
      <c r="E30" s="444"/>
      <c r="F30" s="444"/>
      <c r="G30" s="444"/>
      <c r="H30" s="445"/>
      <c r="I30" s="461"/>
      <c r="J30" s="462"/>
      <c r="K30" s="462"/>
      <c r="L30" s="462"/>
      <c r="M30" s="462"/>
      <c r="N30" s="462"/>
      <c r="O30" s="462"/>
      <c r="P30" s="462"/>
      <c r="Q30" s="462"/>
      <c r="R30" s="462"/>
      <c r="S30" s="462"/>
      <c r="T30" s="462"/>
      <c r="U30" s="462"/>
      <c r="V30" s="462"/>
      <c r="W30" s="462"/>
      <c r="X30" s="463"/>
      <c r="AB30" s="5" t="str">
        <f>IF(I30="","←住居表示がある場合のみ入力してください","")</f>
        <v>←住居表示がある場合のみ入力してください</v>
      </c>
    </row>
    <row r="31" spans="1:60" x14ac:dyDescent="0.15">
      <c r="D31" s="498" t="s">
        <v>30</v>
      </c>
      <c r="E31" s="499"/>
      <c r="F31" s="499"/>
      <c r="G31" s="499"/>
      <c r="H31" s="500"/>
      <c r="I31" s="454"/>
      <c r="J31" s="455"/>
      <c r="K31" s="455"/>
      <c r="L31" s="455"/>
      <c r="M31" s="455"/>
      <c r="N31" s="455"/>
      <c r="O31" s="443" t="s">
        <v>131</v>
      </c>
      <c r="P31" s="444"/>
      <c r="Q31" s="444"/>
      <c r="R31" s="445"/>
      <c r="S31" s="535"/>
      <c r="T31" s="536"/>
      <c r="U31" s="536"/>
      <c r="V31" s="536"/>
      <c r="W31" s="444" t="s">
        <v>104</v>
      </c>
      <c r="X31" s="445"/>
      <c r="AB31" s="5" t="str">
        <f>IF(I31="","←リストから選択してください（専用住宅・併用住宅）","")</f>
        <v>←リストから選択してください（専用住宅・併用住宅）</v>
      </c>
    </row>
    <row r="32" spans="1:60" x14ac:dyDescent="0.15">
      <c r="D32" s="498" t="s">
        <v>168</v>
      </c>
      <c r="E32" s="499"/>
      <c r="F32" s="499"/>
      <c r="G32" s="499"/>
      <c r="H32" s="500"/>
      <c r="I32" s="510"/>
      <c r="J32" s="510"/>
      <c r="K32" s="510"/>
      <c r="L32" s="538" t="s">
        <v>172</v>
      </c>
      <c r="M32" s="504" t="s">
        <v>91</v>
      </c>
      <c r="N32" s="505"/>
      <c r="O32" s="505"/>
      <c r="P32" s="505"/>
      <c r="Q32" s="506"/>
      <c r="R32" s="515" t="s">
        <v>92</v>
      </c>
      <c r="S32" s="515"/>
      <c r="T32" s="515"/>
      <c r="U32" s="515"/>
      <c r="V32" s="514"/>
      <c r="W32" s="514"/>
      <c r="X32" s="18" t="s">
        <v>172</v>
      </c>
      <c r="AB32" s="19" t="str">
        <f>IF(I32="","←延床面積を入力してください。",IF(AND(I31="併用住宅",V32=""),"←面積を入力してください。",""))</f>
        <v>←延床面積を入力してください。</v>
      </c>
    </row>
    <row r="33" spans="2:28" x14ac:dyDescent="0.15">
      <c r="D33" s="501"/>
      <c r="E33" s="502"/>
      <c r="F33" s="502"/>
      <c r="G33" s="502"/>
      <c r="H33" s="503"/>
      <c r="I33" s="511"/>
      <c r="J33" s="511"/>
      <c r="K33" s="511"/>
      <c r="L33" s="539"/>
      <c r="M33" s="507"/>
      <c r="N33" s="508"/>
      <c r="O33" s="508"/>
      <c r="P33" s="508"/>
      <c r="Q33" s="509"/>
      <c r="R33" s="516" t="s">
        <v>93</v>
      </c>
      <c r="S33" s="516"/>
      <c r="T33" s="516"/>
      <c r="U33" s="516"/>
      <c r="V33" s="481"/>
      <c r="W33" s="481"/>
      <c r="X33" s="21" t="s">
        <v>172</v>
      </c>
      <c r="AB33" s="19" t="str">
        <f>IF(AND(I31="併用住宅",V33=""),"←面積を入力してください。","")</f>
        <v/>
      </c>
    </row>
    <row r="34" spans="2:28" x14ac:dyDescent="0.15">
      <c r="D34" s="498" t="s">
        <v>36</v>
      </c>
      <c r="E34" s="499"/>
      <c r="F34" s="499"/>
      <c r="G34" s="499"/>
      <c r="H34" s="500"/>
      <c r="I34" s="533"/>
      <c r="J34" s="534"/>
      <c r="K34" s="534"/>
      <c r="L34" s="534"/>
      <c r="M34" s="534"/>
      <c r="N34" s="534"/>
      <c r="O34" s="22" t="s">
        <v>35</v>
      </c>
      <c r="P34" s="52"/>
      <c r="Q34" s="52"/>
      <c r="R34" s="53"/>
      <c r="S34" s="542" t="s">
        <v>132</v>
      </c>
      <c r="T34" s="542"/>
      <c r="U34" s="542"/>
      <c r="V34" s="543"/>
      <c r="W34" s="543"/>
      <c r="X34" s="23" t="s">
        <v>133</v>
      </c>
      <c r="AB34" s="5" t="str">
        <f>IF(I34="","←直接記入してください",IF(V34="","←階数を選択してください。",""))</f>
        <v>←直接記入してください</v>
      </c>
    </row>
    <row r="35" spans="2:28" x14ac:dyDescent="0.15">
      <c r="D35" s="11"/>
      <c r="E35" s="20"/>
      <c r="F35" s="20"/>
      <c r="G35" s="20"/>
      <c r="H35" s="12"/>
      <c r="I35" s="524" t="s">
        <v>102</v>
      </c>
      <c r="J35" s="525"/>
      <c r="K35" s="525"/>
      <c r="L35" s="120"/>
      <c r="M35" s="24" t="s">
        <v>31</v>
      </c>
      <c r="N35" s="24"/>
      <c r="O35" s="25" t="s">
        <v>33</v>
      </c>
      <c r="P35" s="20"/>
      <c r="Q35" s="120"/>
      <c r="R35" s="24" t="s">
        <v>31</v>
      </c>
      <c r="S35" s="24"/>
      <c r="T35" s="26" t="s">
        <v>34</v>
      </c>
      <c r="U35" s="24"/>
      <c r="V35" s="120"/>
      <c r="W35" s="24" t="s">
        <v>68</v>
      </c>
      <c r="X35" s="27"/>
      <c r="AB35" s="5" t="str">
        <f>IF(OR(L35="",Q35="",V35=""),"←直接記入してください","")</f>
        <v>←直接記入してください</v>
      </c>
    </row>
    <row r="36" spans="2:28" x14ac:dyDescent="0.15">
      <c r="D36" s="459" t="s">
        <v>32</v>
      </c>
      <c r="E36" s="459"/>
      <c r="F36" s="459"/>
      <c r="G36" s="459"/>
      <c r="H36" s="459"/>
      <c r="I36" s="513" t="s">
        <v>473</v>
      </c>
      <c r="J36" s="513"/>
      <c r="K36" s="513"/>
      <c r="L36" s="513"/>
      <c r="M36" s="513"/>
      <c r="N36" s="513"/>
      <c r="O36" s="513"/>
      <c r="P36" s="513"/>
      <c r="Q36" s="513"/>
      <c r="R36" s="513"/>
      <c r="S36" s="513"/>
      <c r="T36" s="513"/>
      <c r="U36" s="513"/>
      <c r="V36" s="513"/>
      <c r="W36" s="513"/>
      <c r="X36" s="513"/>
      <c r="AB36" s="5" t="str">
        <f>IF(I36="","←リストから選択してください（在来軸組工法、伝統構法、その他）","")</f>
        <v/>
      </c>
    </row>
    <row r="37" spans="2:28" x14ac:dyDescent="0.15">
      <c r="D37" s="498" t="s">
        <v>2</v>
      </c>
      <c r="E37" s="499"/>
      <c r="F37" s="499"/>
      <c r="G37" s="499"/>
      <c r="H37" s="500"/>
      <c r="I37" s="540" t="s">
        <v>169</v>
      </c>
      <c r="J37" s="541"/>
      <c r="K37" s="541"/>
      <c r="L37" s="541"/>
      <c r="M37" s="541"/>
      <c r="N37" s="512"/>
      <c r="O37" s="512"/>
      <c r="P37" s="512"/>
      <c r="Q37" s="512"/>
      <c r="R37" s="50" t="s">
        <v>8</v>
      </c>
      <c r="S37" s="537"/>
      <c r="T37" s="537"/>
      <c r="U37" s="50" t="s">
        <v>28</v>
      </c>
      <c r="V37" s="537"/>
      <c r="W37" s="537"/>
      <c r="X37" s="51" t="s">
        <v>7</v>
      </c>
      <c r="AB37" s="5" t="str">
        <f>IF(OR(N37="",S37="",V37=""),"←リストから選択してください（和暦年月日）","")</f>
        <v>←リストから選択してください（和暦年月日）</v>
      </c>
    </row>
    <row r="38" spans="2:28" x14ac:dyDescent="0.15">
      <c r="D38" s="501"/>
      <c r="E38" s="502"/>
      <c r="F38" s="502"/>
      <c r="G38" s="502"/>
      <c r="H38" s="503"/>
      <c r="I38" s="530" t="s">
        <v>170</v>
      </c>
      <c r="J38" s="531"/>
      <c r="K38" s="531"/>
      <c r="L38" s="531"/>
      <c r="M38" s="531"/>
      <c r="N38" s="544"/>
      <c r="O38" s="544"/>
      <c r="P38" s="544"/>
      <c r="Q38" s="544"/>
      <c r="R38" s="24" t="s">
        <v>8</v>
      </c>
      <c r="S38" s="532"/>
      <c r="T38" s="532"/>
      <c r="U38" s="24" t="s">
        <v>28</v>
      </c>
      <c r="V38" s="532"/>
      <c r="W38" s="532"/>
      <c r="X38" s="27" t="s">
        <v>7</v>
      </c>
      <c r="AB38" s="5" t="str">
        <f>IF(OR(N38="",S38="",V38=""),"←リストから選択してください（和暦年月日）","")</f>
        <v>←リストから選択してください（和暦年月日）</v>
      </c>
    </row>
    <row r="39" spans="2:28" ht="5.45" customHeight="1" x14ac:dyDescent="0.15">
      <c r="AA39" s="15"/>
    </row>
    <row r="40" spans="2:28" x14ac:dyDescent="0.15">
      <c r="B40" s="119"/>
      <c r="C40" s="1" t="s">
        <v>160</v>
      </c>
    </row>
    <row r="41" spans="2:28" x14ac:dyDescent="0.15">
      <c r="D41" s="443" t="s">
        <v>3</v>
      </c>
      <c r="E41" s="444"/>
      <c r="F41" s="444"/>
      <c r="G41" s="444"/>
      <c r="H41" s="445"/>
      <c r="I41" s="464"/>
      <c r="J41" s="465"/>
      <c r="K41" s="465"/>
      <c r="L41" s="465"/>
      <c r="M41" s="465"/>
      <c r="N41" s="465"/>
      <c r="O41" s="465"/>
      <c r="P41" s="465"/>
      <c r="Q41" s="465"/>
      <c r="R41" s="465"/>
      <c r="S41" s="465"/>
      <c r="T41" s="465"/>
      <c r="U41" s="465"/>
      <c r="V41" s="465"/>
      <c r="W41" s="465"/>
      <c r="X41" s="466"/>
      <c r="AB41" s="5" t="str">
        <f>IF(I41="","←直接記入してください","")</f>
        <v>←直接記入してください</v>
      </c>
    </row>
    <row r="42" spans="2:28" x14ac:dyDescent="0.15">
      <c r="D42" s="443" t="s">
        <v>4</v>
      </c>
      <c r="E42" s="444"/>
      <c r="F42" s="444"/>
      <c r="G42" s="444"/>
      <c r="H42" s="445"/>
      <c r="I42" s="461"/>
      <c r="J42" s="462"/>
      <c r="K42" s="462"/>
      <c r="L42" s="462"/>
      <c r="M42" s="462"/>
      <c r="N42" s="462"/>
      <c r="O42" s="462"/>
      <c r="P42" s="462"/>
      <c r="Q42" s="462"/>
      <c r="R42" s="462"/>
      <c r="S42" s="462"/>
      <c r="T42" s="462"/>
      <c r="U42" s="462"/>
      <c r="V42" s="462"/>
      <c r="W42" s="462"/>
      <c r="X42" s="463"/>
      <c r="AB42" s="5" t="str">
        <f>IF(I42="","←直接記入してください","")</f>
        <v>←直接記入してください</v>
      </c>
    </row>
    <row r="43" spans="2:28" x14ac:dyDescent="0.15">
      <c r="D43" s="443" t="s">
        <v>29</v>
      </c>
      <c r="E43" s="444"/>
      <c r="F43" s="444"/>
      <c r="G43" s="444"/>
      <c r="H43" s="445"/>
      <c r="I43" s="467"/>
      <c r="J43" s="468"/>
      <c r="K43" s="468"/>
      <c r="L43" s="468"/>
      <c r="M43" s="468"/>
      <c r="N43" s="468"/>
      <c r="O43" s="468"/>
      <c r="P43" s="468"/>
      <c r="Q43" s="468"/>
      <c r="R43" s="468"/>
      <c r="S43" s="468"/>
      <c r="T43" s="468"/>
      <c r="U43" s="468"/>
      <c r="V43" s="468"/>
      <c r="W43" s="468"/>
      <c r="X43" s="469"/>
      <c r="AB43" s="5" t="str">
        <f>IF(I43="","←直接記入してください(0857-00-000等）","")</f>
        <v>←直接記入してください(0857-00-000等）</v>
      </c>
    </row>
    <row r="44" spans="2:28" ht="3.6" customHeight="1" x14ac:dyDescent="0.15"/>
    <row r="45" spans="2:28" x14ac:dyDescent="0.15">
      <c r="B45" s="124"/>
      <c r="C45" s="41" t="s">
        <v>159</v>
      </c>
      <c r="D45" s="41"/>
      <c r="E45" s="41"/>
      <c r="F45" s="41"/>
      <c r="G45" s="41"/>
      <c r="H45" s="41"/>
      <c r="I45" s="41"/>
      <c r="J45" s="41"/>
      <c r="K45" s="41"/>
      <c r="L45" s="41"/>
      <c r="M45" s="41"/>
      <c r="N45" s="41"/>
      <c r="O45" s="41"/>
      <c r="P45" s="41"/>
      <c r="Q45" s="41"/>
      <c r="R45" s="41"/>
      <c r="S45" s="41"/>
      <c r="T45" s="41"/>
      <c r="U45" s="41"/>
      <c r="V45" s="41"/>
      <c r="W45" s="41"/>
      <c r="X45" s="41"/>
      <c r="Y45" s="41"/>
      <c r="Z45" s="41"/>
    </row>
    <row r="46" spans="2:28" x14ac:dyDescent="0.15">
      <c r="B46" s="125"/>
      <c r="C46" s="41"/>
      <c r="D46" s="424" t="s">
        <v>37</v>
      </c>
      <c r="E46" s="425"/>
      <c r="F46" s="425"/>
      <c r="G46" s="425"/>
      <c r="H46" s="426"/>
      <c r="I46" s="495"/>
      <c r="J46" s="496"/>
      <c r="K46" s="496"/>
      <c r="L46" s="496"/>
      <c r="M46" s="496"/>
      <c r="N46" s="497"/>
      <c r="O46" s="41"/>
      <c r="P46" s="41"/>
      <c r="Q46" s="41"/>
      <c r="R46" s="41"/>
      <c r="S46" s="41"/>
      <c r="T46" s="41"/>
      <c r="U46" s="41"/>
      <c r="V46" s="41"/>
      <c r="W46" s="41"/>
      <c r="X46" s="41"/>
      <c r="Y46" s="126"/>
      <c r="Z46" s="41"/>
      <c r="AB46" s="5" t="str">
        <f>IF(I46="","←リストから選択してください（要・不要）","")</f>
        <v>←リストから選択してください（要・不要）</v>
      </c>
    </row>
    <row r="47" spans="2:28" x14ac:dyDescent="0.15">
      <c r="B47" s="125"/>
      <c r="C47" s="41"/>
      <c r="D47" s="570" t="s">
        <v>237</v>
      </c>
      <c r="E47" s="571"/>
      <c r="F47" s="571"/>
      <c r="G47" s="571"/>
      <c r="H47" s="571"/>
      <c r="I47" s="571"/>
      <c r="J47" s="571"/>
      <c r="K47" s="571"/>
      <c r="L47" s="571"/>
      <c r="M47" s="571"/>
      <c r="N47" s="572"/>
      <c r="O47" s="433"/>
      <c r="P47" s="433"/>
      <c r="Q47" s="433"/>
      <c r="R47" s="127" t="s">
        <v>8</v>
      </c>
      <c r="S47" s="566"/>
      <c r="T47" s="566"/>
      <c r="U47" s="127" t="s">
        <v>28</v>
      </c>
      <c r="V47" s="566"/>
      <c r="W47" s="566"/>
      <c r="X47" s="128" t="s">
        <v>7</v>
      </c>
      <c r="Y47" s="126"/>
      <c r="Z47" s="41"/>
      <c r="AB47" s="5" t="str">
        <f>IF(OR(O47="",S47="",V47=""),"←リストから選択してください（和暦年月日）","")</f>
        <v>←リストから選択してください（和暦年月日）</v>
      </c>
    </row>
    <row r="48" spans="2:28" ht="11.45" customHeight="1" x14ac:dyDescent="0.15">
      <c r="B48" s="41"/>
      <c r="C48" s="41"/>
      <c r="D48" s="129" t="str">
        <f>IF(I46="要","添付書類として、各階平面図、配置図を提出してください。",IF(I46="不要","添付書類として、各階平面図、配置図を提出してください。",""))</f>
        <v/>
      </c>
      <c r="E48" s="41"/>
      <c r="F48" s="41"/>
      <c r="G48" s="41"/>
      <c r="H48" s="41"/>
      <c r="I48" s="41"/>
      <c r="J48" s="41"/>
      <c r="K48" s="41"/>
      <c r="L48" s="41"/>
      <c r="M48" s="41"/>
      <c r="N48" s="41"/>
      <c r="O48" s="41"/>
      <c r="P48" s="41"/>
      <c r="Q48" s="41"/>
      <c r="R48" s="41"/>
      <c r="S48" s="41"/>
      <c r="T48" s="41"/>
      <c r="U48" s="41"/>
      <c r="V48" s="41"/>
      <c r="W48" s="41"/>
      <c r="X48" s="41"/>
      <c r="Y48" s="41"/>
      <c r="Z48" s="41"/>
    </row>
    <row r="49" spans="2:28" ht="4.5" customHeight="1" x14ac:dyDescent="0.15">
      <c r="E49" s="16"/>
    </row>
    <row r="50" spans="2:28" x14ac:dyDescent="0.15">
      <c r="B50" s="119"/>
      <c r="C50" s="1" t="s">
        <v>158</v>
      </c>
    </row>
    <row r="51" spans="2:28" ht="3.6" customHeight="1" x14ac:dyDescent="0.15"/>
    <row r="52" spans="2:28" x14ac:dyDescent="0.15">
      <c r="B52" s="119"/>
      <c r="C52" s="1" t="s">
        <v>264</v>
      </c>
      <c r="R52" s="1" t="s">
        <v>281</v>
      </c>
      <c r="U52" s="454"/>
      <c r="V52" s="455"/>
      <c r="W52" s="455"/>
      <c r="X52" s="455"/>
      <c r="Y52" s="455"/>
      <c r="Z52" s="456"/>
      <c r="AB52" s="5" t="str">
        <f>IF(U52="","←NE-STの場合には性能区分を選択してください","")</f>
        <v>←NE-STの場合には性能区分を選択してください</v>
      </c>
    </row>
    <row r="53" spans="2:28" ht="14.45" hidden="1" customHeight="1" x14ac:dyDescent="0.15">
      <c r="B53" s="125"/>
      <c r="AB53" s="5"/>
    </row>
    <row r="54" spans="2:28" ht="3" customHeight="1" x14ac:dyDescent="0.15">
      <c r="AB54" s="5"/>
    </row>
    <row r="55" spans="2:28" x14ac:dyDescent="0.15">
      <c r="B55" s="119"/>
      <c r="C55" s="1" t="s">
        <v>282</v>
      </c>
      <c r="R55" s="1" t="s">
        <v>284</v>
      </c>
      <c r="U55" s="454"/>
      <c r="V55" s="455"/>
      <c r="W55" s="455"/>
      <c r="X55" s="455"/>
      <c r="Y55" s="455"/>
      <c r="Z55" s="456"/>
      <c r="AB55" s="5" t="str">
        <f>IF(U55="","←再生可能エネルギー発電設備を設置する場合には設備を選択してください","")</f>
        <v>←再生可能エネルギー発電設備を設置する場合には設備を選択してください</v>
      </c>
    </row>
    <row r="56" spans="2:28" ht="15.95" hidden="1" customHeight="1" x14ac:dyDescent="0.15">
      <c r="B56" s="125"/>
      <c r="AB56" s="5"/>
    </row>
    <row r="57" spans="2:28" ht="4.5" customHeight="1" x14ac:dyDescent="0.15">
      <c r="AB57" s="5"/>
    </row>
    <row r="58" spans="2:28" x14ac:dyDescent="0.15">
      <c r="B58" s="119"/>
      <c r="C58" s="1" t="s">
        <v>283</v>
      </c>
      <c r="R58" s="1" t="s">
        <v>285</v>
      </c>
      <c r="U58" s="470"/>
      <c r="V58" s="471"/>
      <c r="W58" s="471"/>
      <c r="X58" s="471"/>
      <c r="Y58" s="471"/>
      <c r="Z58" s="472"/>
      <c r="AB58" s="5" t="str">
        <f>IF(U58="","←ZEHの認証を取得（予定）の場合には区分を選択してください","")</f>
        <v>←ZEHの認証を取得（予定）の場合には区分を選択してください</v>
      </c>
    </row>
    <row r="59" spans="2:28" ht="10.5" hidden="1" customHeight="1" x14ac:dyDescent="0.15">
      <c r="B59" s="125"/>
      <c r="AB59" s="5"/>
    </row>
    <row r="60" spans="2:28" ht="3.95" customHeight="1" x14ac:dyDescent="0.15">
      <c r="AB60" s="5"/>
    </row>
    <row r="61" spans="2:28" x14ac:dyDescent="0.15">
      <c r="B61" s="119"/>
      <c r="C61" s="1" t="s">
        <v>286</v>
      </c>
      <c r="U61" s="153"/>
      <c r="V61" s="153"/>
      <c r="W61" s="153"/>
      <c r="X61" s="153"/>
      <c r="Y61" s="153"/>
      <c r="Z61" s="153"/>
    </row>
    <row r="62" spans="2:28" ht="12" customHeight="1" x14ac:dyDescent="0.15">
      <c r="B62" s="125"/>
      <c r="C62" s="1" t="str">
        <f>IF('【様式第６号】事業計画書兼チェックシート（新築）'!B61="✔","⇒本申請とは別に『とっとり未来型省エネ住宅補助金』の申請が必要です。","")</f>
        <v/>
      </c>
      <c r="D62" s="46" t="s">
        <v>287</v>
      </c>
    </row>
    <row r="63" spans="2:28" ht="5.45" customHeight="1" x14ac:dyDescent="0.15"/>
    <row r="64" spans="2:28" x14ac:dyDescent="0.15">
      <c r="B64" s="119"/>
      <c r="C64" s="1" t="s">
        <v>506</v>
      </c>
    </row>
    <row r="65" spans="2:55" ht="5.45" customHeight="1" x14ac:dyDescent="0.15"/>
    <row r="66" spans="2:55" ht="13.5" customHeight="1" x14ac:dyDescent="0.15">
      <c r="B66" s="119"/>
      <c r="C66" s="41" t="s">
        <v>278</v>
      </c>
      <c r="D66" s="129"/>
      <c r="E66" s="41"/>
      <c r="F66" s="41"/>
      <c r="G66" s="41"/>
      <c r="H66" s="41"/>
      <c r="I66" s="41"/>
      <c r="J66" s="41"/>
      <c r="K66" s="41"/>
      <c r="L66" s="41"/>
      <c r="M66" s="41"/>
      <c r="N66" s="41"/>
      <c r="O66" s="41"/>
      <c r="P66" s="41"/>
      <c r="Q66" s="41"/>
      <c r="R66" s="41"/>
      <c r="S66" s="41"/>
      <c r="T66" s="41"/>
      <c r="U66" s="41"/>
      <c r="V66" s="41"/>
      <c r="W66" s="41"/>
      <c r="X66" s="41"/>
      <c r="Y66" s="41"/>
      <c r="Z66" s="41"/>
    </row>
    <row r="67" spans="2:55" ht="3.6" customHeight="1" x14ac:dyDescent="0.15">
      <c r="B67" s="125"/>
      <c r="C67" s="41"/>
      <c r="D67" s="129"/>
      <c r="E67" s="41"/>
      <c r="F67" s="41"/>
      <c r="G67" s="41"/>
      <c r="H67" s="41"/>
      <c r="I67" s="41"/>
      <c r="J67" s="41"/>
      <c r="K67" s="41"/>
      <c r="L67" s="41"/>
      <c r="M67" s="41"/>
      <c r="N67" s="41"/>
      <c r="O67" s="41"/>
      <c r="P67" s="41"/>
      <c r="Q67" s="41"/>
      <c r="R67" s="41"/>
      <c r="S67" s="41"/>
      <c r="T67" s="41"/>
      <c r="U67" s="41"/>
      <c r="V67" s="41"/>
      <c r="W67" s="41"/>
      <c r="X67" s="41"/>
      <c r="Y67" s="41"/>
      <c r="Z67" s="41"/>
    </row>
    <row r="68" spans="2:55" ht="13.5" customHeight="1" x14ac:dyDescent="0.15">
      <c r="B68" s="119"/>
      <c r="C68" s="41" t="s">
        <v>277</v>
      </c>
      <c r="D68" s="129"/>
      <c r="E68" s="41"/>
      <c r="F68" s="41"/>
      <c r="G68" s="41"/>
      <c r="H68" s="41"/>
      <c r="I68" s="41"/>
      <c r="J68" s="41"/>
      <c r="K68" s="41"/>
      <c r="L68" s="41"/>
      <c r="M68" s="41"/>
      <c r="N68" s="41"/>
      <c r="O68" s="41"/>
      <c r="P68" s="41"/>
      <c r="Q68" s="41"/>
      <c r="R68" s="41"/>
      <c r="S68" s="41"/>
      <c r="T68" s="41"/>
      <c r="U68" s="41"/>
      <c r="V68" s="41"/>
      <c r="W68" s="41"/>
      <c r="X68" s="41"/>
      <c r="Y68" s="41"/>
      <c r="Z68" s="41"/>
    </row>
    <row r="69" spans="2:55" ht="3.95" customHeight="1" x14ac:dyDescent="0.15">
      <c r="B69" s="125"/>
      <c r="C69" s="41"/>
      <c r="D69" s="129"/>
      <c r="E69" s="41"/>
      <c r="F69" s="41"/>
      <c r="G69" s="41"/>
      <c r="H69" s="41"/>
      <c r="I69" s="41"/>
      <c r="J69" s="41"/>
      <c r="K69" s="41"/>
      <c r="L69" s="41"/>
      <c r="M69" s="41"/>
      <c r="N69" s="41"/>
      <c r="O69" s="41"/>
      <c r="P69" s="41"/>
      <c r="Q69" s="41"/>
      <c r="R69" s="41"/>
      <c r="S69" s="41"/>
      <c r="T69" s="41"/>
      <c r="U69" s="41"/>
      <c r="V69" s="41"/>
      <c r="W69" s="41"/>
      <c r="X69" s="41"/>
      <c r="Y69" s="41"/>
      <c r="Z69" s="41"/>
    </row>
    <row r="70" spans="2:55" ht="13.5" customHeight="1" x14ac:dyDescent="0.15">
      <c r="B70" s="119"/>
      <c r="C70" s="41" t="s">
        <v>584</v>
      </c>
      <c r="D70" s="129"/>
      <c r="E70" s="41"/>
      <c r="F70" s="41"/>
      <c r="G70" s="41"/>
      <c r="H70" s="41"/>
      <c r="I70" s="41"/>
      <c r="J70" s="41"/>
      <c r="K70" s="41"/>
      <c r="L70" s="41"/>
      <c r="M70" s="41"/>
      <c r="N70" s="41"/>
      <c r="O70" s="41"/>
      <c r="P70" s="41"/>
      <c r="Q70" s="41"/>
      <c r="R70" s="41"/>
      <c r="S70" s="41"/>
      <c r="T70" s="41"/>
      <c r="U70" s="41"/>
      <c r="V70" s="41"/>
      <c r="W70" s="41"/>
      <c r="X70" s="41"/>
      <c r="Y70" s="41"/>
      <c r="Z70" s="41"/>
    </row>
    <row r="71" spans="2:55" ht="3.95" customHeight="1" x14ac:dyDescent="0.15">
      <c r="B71" s="125"/>
      <c r="C71" s="41"/>
      <c r="D71" s="129"/>
      <c r="E71" s="41"/>
      <c r="F71" s="41"/>
      <c r="G71" s="41"/>
      <c r="H71" s="41"/>
      <c r="I71" s="41"/>
      <c r="J71" s="41"/>
      <c r="K71" s="41"/>
      <c r="L71" s="41"/>
      <c r="M71" s="41"/>
      <c r="N71" s="41"/>
      <c r="O71" s="41"/>
      <c r="P71" s="41"/>
      <c r="Q71" s="41"/>
      <c r="R71" s="41"/>
      <c r="S71" s="41"/>
      <c r="T71" s="41"/>
      <c r="U71" s="41"/>
      <c r="V71" s="41"/>
      <c r="W71" s="41"/>
      <c r="X71" s="41"/>
      <c r="Y71" s="41"/>
      <c r="Z71" s="41"/>
    </row>
    <row r="72" spans="2:55" ht="13.5" customHeight="1" x14ac:dyDescent="0.15">
      <c r="B72" s="125"/>
      <c r="C72" s="119"/>
      <c r="D72" s="41" t="s">
        <v>585</v>
      </c>
      <c r="E72" s="41"/>
      <c r="F72" s="41"/>
      <c r="G72" s="41"/>
      <c r="H72" s="41"/>
      <c r="I72" s="41"/>
      <c r="J72" s="41"/>
      <c r="K72" s="41"/>
      <c r="L72" s="41"/>
      <c r="M72" s="41"/>
      <c r="N72" s="41"/>
      <c r="O72" s="41"/>
      <c r="P72" s="41"/>
      <c r="Q72" s="41"/>
      <c r="R72" s="41"/>
      <c r="S72" s="41"/>
      <c r="T72" s="41"/>
      <c r="U72" s="41"/>
      <c r="V72" s="41"/>
      <c r="W72" s="41"/>
      <c r="X72" s="41"/>
      <c r="Y72" s="41"/>
      <c r="Z72" s="41"/>
    </row>
    <row r="73" spans="2:55" ht="12.75" customHeight="1" x14ac:dyDescent="0.15">
      <c r="B73" s="125"/>
      <c r="C73" s="129"/>
      <c r="D73" s="129" t="str">
        <f>IF(B70="✔",(IF(C72="✔","","地域型グリーン化事業に県産材の材料代を含めている場合、住まいる支援事業は利用できません")),"")</f>
        <v/>
      </c>
      <c r="E73" s="41"/>
      <c r="F73" s="41"/>
      <c r="G73" s="41"/>
      <c r="H73" s="41"/>
      <c r="I73" s="41"/>
      <c r="J73" s="41"/>
      <c r="K73" s="41"/>
      <c r="L73" s="41"/>
      <c r="M73" s="41"/>
      <c r="N73" s="41"/>
      <c r="O73" s="41"/>
      <c r="P73" s="41"/>
      <c r="Q73" s="41"/>
      <c r="R73" s="41"/>
      <c r="S73" s="41"/>
      <c r="T73" s="41"/>
      <c r="U73" s="41"/>
      <c r="V73" s="41"/>
      <c r="W73" s="41"/>
      <c r="X73" s="41"/>
      <c r="Y73" s="41"/>
      <c r="Z73" s="41"/>
    </row>
    <row r="74" spans="2:55" x14ac:dyDescent="0.15">
      <c r="B74" s="119"/>
      <c r="C74" s="1" t="s">
        <v>256</v>
      </c>
    </row>
    <row r="75" spans="2:55" ht="27" customHeight="1" x14ac:dyDescent="0.15">
      <c r="D75" s="427" t="s">
        <v>50</v>
      </c>
      <c r="E75" s="428"/>
      <c r="F75" s="428"/>
      <c r="G75" s="428"/>
      <c r="H75" s="429"/>
      <c r="I75" s="454"/>
      <c r="J75" s="455"/>
      <c r="K75" s="455"/>
      <c r="L75" s="455"/>
      <c r="M75" s="455"/>
      <c r="N75" s="456"/>
      <c r="P75" s="565"/>
      <c r="Q75" s="565"/>
      <c r="R75" s="565"/>
      <c r="S75" s="565"/>
      <c r="T75" s="565"/>
      <c r="U75" s="565"/>
      <c r="V75" s="565"/>
      <c r="W75" s="565"/>
      <c r="X75" s="565"/>
      <c r="Y75" s="565"/>
      <c r="Z75" s="565"/>
      <c r="AA75" s="565"/>
      <c r="AB75" s="5" t="str">
        <f>IF(I75="","←リストから選択してください（有・無）","")</f>
        <v>←リストから選択してください（有・無）</v>
      </c>
    </row>
    <row r="76" spans="2:55" s="121" customFormat="1" ht="2.1" customHeight="1" x14ac:dyDescent="0.15">
      <c r="D76" s="434"/>
      <c r="E76" s="434"/>
      <c r="F76" s="434"/>
      <c r="G76" s="434"/>
      <c r="H76" s="434"/>
      <c r="I76" s="435"/>
      <c r="J76" s="435"/>
      <c r="K76" s="435"/>
      <c r="L76" s="435"/>
      <c r="M76" s="435"/>
      <c r="N76" s="435"/>
      <c r="O76" s="435"/>
      <c r="P76" s="435"/>
      <c r="Q76" s="435"/>
      <c r="R76" s="435"/>
      <c r="S76" s="435"/>
      <c r="T76" s="435"/>
      <c r="U76" s="435"/>
      <c r="V76" s="435"/>
      <c r="W76" s="435"/>
      <c r="X76" s="435"/>
      <c r="Y76" s="147" t="str">
        <f>IF(AND($I$36="その他",I76=""),"←工法を直接入力してください","")</f>
        <v/>
      </c>
      <c r="AA76" s="148"/>
      <c r="AB76" s="149"/>
      <c r="AC76" s="149"/>
      <c r="AD76" s="149"/>
      <c r="AE76" s="149"/>
      <c r="AF76" s="149"/>
      <c r="AG76" s="149"/>
      <c r="AH76" s="149"/>
      <c r="AI76" s="149"/>
      <c r="AJ76" s="149"/>
      <c r="AK76" s="149"/>
      <c r="AL76" s="149"/>
      <c r="AM76" s="149"/>
      <c r="AN76" s="149"/>
      <c r="AO76" s="149"/>
      <c r="AP76" s="149"/>
      <c r="AQ76" s="149"/>
      <c r="AR76" s="149"/>
      <c r="AS76" s="149"/>
      <c r="AT76" s="149"/>
      <c r="AU76" s="149"/>
      <c r="AV76" s="149"/>
      <c r="AW76" s="149"/>
      <c r="AX76" s="149"/>
      <c r="AY76" s="149"/>
      <c r="AZ76" s="149"/>
      <c r="BA76" s="149"/>
      <c r="BB76" s="149"/>
      <c r="BC76" s="149"/>
    </row>
    <row r="77" spans="2:55" s="121" customFormat="1" ht="9" customHeight="1" x14ac:dyDescent="0.15">
      <c r="D77" s="150" t="s">
        <v>280</v>
      </c>
      <c r="E77" s="151"/>
      <c r="F77" s="151"/>
      <c r="G77" s="151"/>
      <c r="H77" s="151"/>
      <c r="I77" s="152"/>
      <c r="J77" s="152"/>
      <c r="K77" s="152"/>
      <c r="L77" s="152"/>
      <c r="M77" s="152"/>
      <c r="N77" s="152"/>
      <c r="O77" s="152"/>
      <c r="P77" s="152"/>
      <c r="Q77" s="152"/>
      <c r="R77" s="152"/>
      <c r="S77" s="152"/>
      <c r="T77" s="152"/>
      <c r="U77" s="152"/>
      <c r="V77" s="152"/>
      <c r="W77" s="152"/>
      <c r="X77" s="152"/>
      <c r="Y77" s="147"/>
      <c r="AA77" s="148"/>
      <c r="AB77" s="149"/>
      <c r="AC77" s="149"/>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49"/>
      <c r="BA77" s="149"/>
      <c r="BB77" s="149"/>
      <c r="BC77" s="149"/>
    </row>
    <row r="78" spans="2:55" s="121" customFormat="1" ht="3.75" customHeight="1" x14ac:dyDescent="0.15">
      <c r="D78" s="151"/>
      <c r="E78" s="151"/>
      <c r="F78" s="151"/>
      <c r="G78" s="151"/>
      <c r="H78" s="151"/>
      <c r="I78" s="152"/>
      <c r="J78" s="152"/>
      <c r="K78" s="152"/>
      <c r="L78" s="152"/>
      <c r="M78" s="152"/>
      <c r="N78" s="152"/>
      <c r="O78" s="152"/>
      <c r="P78" s="152"/>
      <c r="Q78" s="152"/>
      <c r="R78" s="152"/>
      <c r="S78" s="152"/>
      <c r="T78" s="152"/>
      <c r="U78" s="152"/>
      <c r="V78" s="152"/>
      <c r="W78" s="152"/>
      <c r="X78" s="152"/>
      <c r="Y78" s="147"/>
      <c r="AA78" s="148"/>
      <c r="AB78" s="149"/>
      <c r="AC78" s="149"/>
      <c r="AD78" s="149"/>
      <c r="AE78" s="149"/>
      <c r="AF78" s="149"/>
      <c r="AG78" s="149"/>
      <c r="AH78" s="149"/>
      <c r="AI78" s="149"/>
      <c r="AJ78" s="149"/>
      <c r="AK78" s="149"/>
      <c r="AL78" s="149"/>
      <c r="AM78" s="149"/>
      <c r="AN78" s="149"/>
      <c r="AO78" s="149"/>
      <c r="AP78" s="149"/>
      <c r="AQ78" s="149"/>
      <c r="AR78" s="149"/>
      <c r="AS78" s="149"/>
      <c r="AT78" s="149"/>
      <c r="AU78" s="149"/>
      <c r="AV78" s="149"/>
      <c r="AW78" s="149"/>
      <c r="AX78" s="149"/>
      <c r="AY78" s="149"/>
      <c r="AZ78" s="149"/>
      <c r="BA78" s="149"/>
      <c r="BB78" s="149"/>
      <c r="BC78" s="149"/>
    </row>
    <row r="79" spans="2:55" ht="13.5" customHeight="1" x14ac:dyDescent="0.15">
      <c r="D79" s="427" t="s">
        <v>279</v>
      </c>
      <c r="E79" s="428"/>
      <c r="F79" s="428"/>
      <c r="G79" s="428"/>
      <c r="H79" s="428"/>
      <c r="I79" s="428"/>
      <c r="J79" s="428"/>
      <c r="K79" s="428"/>
      <c r="L79" s="428"/>
      <c r="M79" s="428"/>
      <c r="N79" s="428"/>
      <c r="O79" s="429"/>
      <c r="P79" s="443" t="s">
        <v>5</v>
      </c>
      <c r="Q79" s="444"/>
      <c r="R79" s="444"/>
      <c r="S79" s="444"/>
      <c r="T79" s="445"/>
      <c r="U79" s="443" t="s">
        <v>23</v>
      </c>
      <c r="V79" s="444"/>
      <c r="W79" s="444"/>
      <c r="X79" s="444"/>
      <c r="Y79" s="444"/>
      <c r="Z79" s="445"/>
    </row>
    <row r="80" spans="2:55" x14ac:dyDescent="0.15">
      <c r="D80" s="436"/>
      <c r="E80" s="437"/>
      <c r="F80" s="437"/>
      <c r="G80" s="437"/>
      <c r="H80" s="437"/>
      <c r="I80" s="437"/>
      <c r="J80" s="437"/>
      <c r="K80" s="437"/>
      <c r="L80" s="437"/>
      <c r="M80" s="437"/>
      <c r="N80" s="437"/>
      <c r="O80" s="438"/>
      <c r="P80" s="454"/>
      <c r="Q80" s="455"/>
      <c r="R80" s="455"/>
      <c r="S80" s="455"/>
      <c r="T80" s="456"/>
      <c r="U80" s="454"/>
      <c r="V80" s="455"/>
      <c r="W80" s="455"/>
      <c r="X80" s="455"/>
      <c r="Y80" s="455"/>
      <c r="Z80" s="456"/>
    </row>
    <row r="81" spans="1:28" x14ac:dyDescent="0.15">
      <c r="D81" s="436"/>
      <c r="E81" s="437"/>
      <c r="F81" s="437"/>
      <c r="G81" s="437"/>
      <c r="H81" s="437"/>
      <c r="I81" s="437"/>
      <c r="J81" s="437"/>
      <c r="K81" s="437"/>
      <c r="L81" s="437"/>
      <c r="M81" s="437"/>
      <c r="N81" s="437"/>
      <c r="O81" s="438"/>
      <c r="P81" s="454"/>
      <c r="Q81" s="455"/>
      <c r="R81" s="455"/>
      <c r="S81" s="455"/>
      <c r="T81" s="456"/>
      <c r="U81" s="454"/>
      <c r="V81" s="455"/>
      <c r="W81" s="455"/>
      <c r="X81" s="455"/>
      <c r="Y81" s="455"/>
      <c r="Z81" s="456"/>
    </row>
    <row r="82" spans="1:28" x14ac:dyDescent="0.15">
      <c r="D82" s="436"/>
      <c r="E82" s="437"/>
      <c r="F82" s="437"/>
      <c r="G82" s="437"/>
      <c r="H82" s="437"/>
      <c r="I82" s="437"/>
      <c r="J82" s="437"/>
      <c r="K82" s="437"/>
      <c r="L82" s="437"/>
      <c r="M82" s="437"/>
      <c r="N82" s="437"/>
      <c r="O82" s="438"/>
      <c r="P82" s="454"/>
      <c r="Q82" s="455"/>
      <c r="R82" s="455"/>
      <c r="S82" s="455"/>
      <c r="T82" s="456"/>
      <c r="U82" s="454"/>
      <c r="V82" s="455"/>
      <c r="W82" s="455"/>
      <c r="X82" s="455"/>
      <c r="Y82" s="455"/>
      <c r="Z82" s="456"/>
    </row>
    <row r="83" spans="1:28" x14ac:dyDescent="0.15">
      <c r="D83" s="436"/>
      <c r="E83" s="437"/>
      <c r="F83" s="437"/>
      <c r="G83" s="437"/>
      <c r="H83" s="437"/>
      <c r="I83" s="437"/>
      <c r="J83" s="437"/>
      <c r="K83" s="437"/>
      <c r="L83" s="437"/>
      <c r="M83" s="437"/>
      <c r="N83" s="437"/>
      <c r="O83" s="438"/>
      <c r="P83" s="454"/>
      <c r="Q83" s="455"/>
      <c r="R83" s="455"/>
      <c r="S83" s="455"/>
      <c r="T83" s="456"/>
      <c r="U83" s="454"/>
      <c r="V83" s="455"/>
      <c r="W83" s="455"/>
      <c r="X83" s="455"/>
      <c r="Y83" s="455"/>
      <c r="Z83" s="456"/>
    </row>
    <row r="84" spans="1:28" x14ac:dyDescent="0.15">
      <c r="D84" s="436"/>
      <c r="E84" s="437"/>
      <c r="F84" s="437"/>
      <c r="G84" s="437"/>
      <c r="H84" s="437"/>
      <c r="I84" s="437"/>
      <c r="J84" s="437"/>
      <c r="K84" s="437"/>
      <c r="L84" s="437"/>
      <c r="M84" s="437"/>
      <c r="N84" s="437"/>
      <c r="O84" s="438"/>
      <c r="P84" s="454"/>
      <c r="Q84" s="455"/>
      <c r="R84" s="455"/>
      <c r="S84" s="455"/>
      <c r="T84" s="456"/>
      <c r="U84" s="454"/>
      <c r="V84" s="455"/>
      <c r="W84" s="455"/>
      <c r="X84" s="455"/>
      <c r="Y84" s="455"/>
      <c r="Z84" s="456"/>
    </row>
    <row r="85" spans="1:28" ht="6.75" customHeight="1" x14ac:dyDescent="0.15">
      <c r="D85" s="142"/>
      <c r="E85" s="142"/>
      <c r="F85" s="142"/>
      <c r="G85" s="142"/>
      <c r="H85" s="142"/>
      <c r="I85" s="143"/>
      <c r="J85" s="143"/>
      <c r="K85" s="143"/>
      <c r="L85" s="143"/>
      <c r="M85" s="143"/>
      <c r="N85" s="143"/>
      <c r="O85" s="143"/>
      <c r="P85" s="143"/>
      <c r="Q85" s="143"/>
      <c r="R85" s="143"/>
      <c r="S85" s="143"/>
      <c r="T85" s="143"/>
      <c r="U85" s="143"/>
      <c r="V85" s="143"/>
      <c r="W85" s="143"/>
      <c r="X85" s="143"/>
      <c r="Y85" s="28"/>
    </row>
    <row r="86" spans="1:28" hidden="1" x14ac:dyDescent="0.15">
      <c r="B86" s="119"/>
      <c r="C86" s="1" t="s">
        <v>251</v>
      </c>
      <c r="E86" s="16"/>
      <c r="P86" s="30"/>
    </row>
    <row r="87" spans="1:28" x14ac:dyDescent="0.15">
      <c r="D87" s="132" t="str">
        <f>IF(B86="","",IF(B86="✔","＜実績報告時の提出書類&gt;変更後の各階平面図、配置図",""))</f>
        <v/>
      </c>
      <c r="E87" s="16"/>
      <c r="P87" s="30"/>
      <c r="AA87" s="40" t="s">
        <v>89</v>
      </c>
    </row>
    <row r="88" spans="1:28" x14ac:dyDescent="0.15">
      <c r="A88" s="1" t="s">
        <v>42</v>
      </c>
      <c r="AA88" s="387"/>
      <c r="AB88" s="5" t="s">
        <v>520</v>
      </c>
    </row>
    <row r="89" spans="1:28" x14ac:dyDescent="0.15">
      <c r="B89" s="119"/>
      <c r="C89" s="1" t="s">
        <v>173</v>
      </c>
    </row>
    <row r="90" spans="1:28" ht="7.5" customHeight="1" x14ac:dyDescent="0.15"/>
    <row r="91" spans="1:28" x14ac:dyDescent="0.15">
      <c r="B91" s="119"/>
      <c r="C91" s="1" t="s">
        <v>128</v>
      </c>
    </row>
    <row r="92" spans="1:28" x14ac:dyDescent="0.15">
      <c r="D92" s="443" t="s">
        <v>105</v>
      </c>
      <c r="E92" s="444"/>
      <c r="F92" s="444"/>
      <c r="G92" s="444"/>
      <c r="H92" s="445"/>
      <c r="I92" s="495"/>
      <c r="J92" s="496"/>
      <c r="K92" s="496"/>
      <c r="L92" s="496"/>
      <c r="M92" s="496"/>
      <c r="N92" s="496"/>
      <c r="O92" s="496"/>
      <c r="P92" s="496"/>
      <c r="Q92" s="496"/>
      <c r="R92" s="496"/>
      <c r="S92" s="496"/>
      <c r="T92" s="496"/>
      <c r="U92" s="496"/>
      <c r="V92" s="496"/>
      <c r="W92" s="496"/>
      <c r="X92" s="497"/>
      <c r="AB92" s="5" t="str">
        <f>IF(AND(B91="✔",I92=""),"←直接入力してください","")</f>
        <v/>
      </c>
    </row>
    <row r="93" spans="1:28" x14ac:dyDescent="0.15">
      <c r="B93" s="16"/>
      <c r="C93" s="16"/>
      <c r="D93" s="54" t="s">
        <v>205</v>
      </c>
      <c r="E93" s="15"/>
      <c r="F93" s="15"/>
      <c r="G93" s="15"/>
      <c r="H93" s="15"/>
      <c r="I93" s="15"/>
      <c r="J93" s="15"/>
      <c r="K93" s="15"/>
      <c r="L93" s="15"/>
      <c r="M93" s="15"/>
      <c r="N93" s="15"/>
      <c r="O93" s="15"/>
      <c r="P93" s="15"/>
      <c r="Q93" s="15"/>
      <c r="R93" s="49"/>
      <c r="S93" s="49"/>
      <c r="T93" s="49"/>
      <c r="U93" s="49"/>
      <c r="V93" s="49"/>
      <c r="W93" s="49"/>
      <c r="X93" s="49"/>
      <c r="Y93" s="49"/>
      <c r="AB93" s="5"/>
    </row>
    <row r="94" spans="1:28" x14ac:dyDescent="0.15">
      <c r="B94" s="16"/>
      <c r="C94" s="16"/>
      <c r="D94" s="16"/>
      <c r="E94" s="16"/>
      <c r="F94" s="68"/>
      <c r="G94" s="16"/>
      <c r="H94" s="16"/>
      <c r="I94" s="16"/>
      <c r="J94" s="16"/>
      <c r="K94" s="146" t="s">
        <v>198</v>
      </c>
      <c r="L94" s="16"/>
      <c r="M94" s="16"/>
      <c r="N94" s="16"/>
      <c r="O94" s="16"/>
      <c r="P94" s="16"/>
      <c r="Q94" s="16"/>
    </row>
    <row r="95" spans="1:28" x14ac:dyDescent="0.15">
      <c r="B95" s="119"/>
      <c r="C95" s="1" t="s">
        <v>129</v>
      </c>
    </row>
    <row r="96" spans="1:28" x14ac:dyDescent="0.15">
      <c r="B96" s="545" t="str">
        <f>IF(AND(B91="✔",B95="✔"),"「プレカットを行う場合は、県内のプレカット工場で加工すること。」と「プレカットを一切使用しない。」のどちらかを✔してください。","")</f>
        <v/>
      </c>
      <c r="C96" s="545"/>
      <c r="D96" s="545"/>
      <c r="E96" s="545"/>
      <c r="F96" s="545"/>
      <c r="G96" s="545"/>
      <c r="H96" s="545"/>
      <c r="I96" s="545"/>
      <c r="J96" s="545"/>
      <c r="K96" s="545"/>
      <c r="L96" s="545"/>
      <c r="M96" s="545"/>
      <c r="N96" s="545"/>
      <c r="O96" s="545"/>
      <c r="P96" s="545"/>
      <c r="Q96" s="545"/>
      <c r="R96" s="545"/>
      <c r="S96" s="545"/>
      <c r="T96" s="545"/>
      <c r="U96" s="545"/>
      <c r="V96" s="545"/>
      <c r="W96" s="545"/>
      <c r="X96" s="545"/>
      <c r="Y96" s="545"/>
      <c r="Z96" s="545"/>
      <c r="AA96" s="545"/>
      <c r="AB96" s="4" t="str">
        <f>IF(B96="","","×")</f>
        <v/>
      </c>
    </row>
    <row r="97" spans="1:39" x14ac:dyDescent="0.15">
      <c r="B97" s="545"/>
      <c r="C97" s="545"/>
      <c r="D97" s="545"/>
      <c r="E97" s="545"/>
      <c r="F97" s="545"/>
      <c r="G97" s="545"/>
      <c r="H97" s="545"/>
      <c r="I97" s="545"/>
      <c r="J97" s="545"/>
      <c r="K97" s="545"/>
      <c r="L97" s="545"/>
      <c r="M97" s="545"/>
      <c r="N97" s="545"/>
      <c r="O97" s="545"/>
      <c r="P97" s="545"/>
      <c r="Q97" s="545"/>
      <c r="R97" s="545"/>
      <c r="S97" s="545"/>
      <c r="T97" s="545"/>
      <c r="U97" s="545"/>
      <c r="V97" s="545"/>
      <c r="W97" s="545"/>
      <c r="X97" s="545"/>
      <c r="Y97" s="545"/>
      <c r="Z97" s="545"/>
      <c r="AA97" s="545"/>
    </row>
    <row r="98" spans="1:39" x14ac:dyDescent="0.15">
      <c r="Q98" s="1" t="s">
        <v>197</v>
      </c>
      <c r="T98" s="31"/>
    </row>
    <row r="99" spans="1:39" ht="18" customHeight="1" x14ac:dyDescent="0.15">
      <c r="D99" s="443" t="s">
        <v>59</v>
      </c>
      <c r="E99" s="444"/>
      <c r="F99" s="444"/>
      <c r="G99" s="444"/>
      <c r="H99" s="444"/>
      <c r="I99" s="444"/>
      <c r="J99" s="444"/>
      <c r="K99" s="444"/>
      <c r="L99" s="444"/>
      <c r="M99" s="444"/>
      <c r="N99" s="444"/>
      <c r="O99" s="444"/>
      <c r="P99" s="445"/>
      <c r="Q99" s="443" t="s">
        <v>58</v>
      </c>
      <c r="R99" s="444"/>
      <c r="S99" s="444"/>
      <c r="T99" s="445"/>
      <c r="U99" s="573" t="str">
        <f>IF(I31="併用住宅","併用住宅の場合、住宅部分の使用量","")</f>
        <v/>
      </c>
      <c r="V99" s="573"/>
      <c r="W99" s="573"/>
      <c r="X99" s="573"/>
      <c r="Y99" s="475" t="s">
        <v>114</v>
      </c>
      <c r="Z99" s="475"/>
      <c r="AA99" s="475"/>
    </row>
    <row r="100" spans="1:39" x14ac:dyDescent="0.15">
      <c r="D100" s="430" t="s">
        <v>115</v>
      </c>
      <c r="E100" s="431"/>
      <c r="F100" s="431"/>
      <c r="G100" s="431"/>
      <c r="H100" s="431"/>
      <c r="I100" s="431"/>
      <c r="J100" s="431"/>
      <c r="K100" s="431"/>
      <c r="L100" s="431"/>
      <c r="M100" s="431"/>
      <c r="N100" s="431"/>
      <c r="O100" s="431"/>
      <c r="P100" s="432"/>
      <c r="Q100" s="439"/>
      <c r="R100" s="440"/>
      <c r="S100" s="440"/>
      <c r="T100" s="441"/>
      <c r="U100" s="573"/>
      <c r="V100" s="573"/>
      <c r="W100" s="573"/>
      <c r="X100" s="573"/>
      <c r="Y100" s="556"/>
      <c r="Z100" s="556"/>
      <c r="AA100" s="556"/>
      <c r="AE100" s="1"/>
      <c r="AF100" s="1"/>
      <c r="AG100" s="1"/>
      <c r="AH100" s="32" t="s">
        <v>65</v>
      </c>
      <c r="AI100" s="33">
        <v>10</v>
      </c>
      <c r="AJ100" s="33">
        <v>15</v>
      </c>
      <c r="AK100" s="33">
        <v>20</v>
      </c>
      <c r="AL100" s="33">
        <v>25</v>
      </c>
      <c r="AM100" s="33"/>
    </row>
    <row r="101" spans="1:39" x14ac:dyDescent="0.15">
      <c r="D101" s="34"/>
      <c r="E101" s="447" t="s">
        <v>166</v>
      </c>
      <c r="F101" s="448"/>
      <c r="G101" s="448"/>
      <c r="H101" s="448"/>
      <c r="I101" s="448"/>
      <c r="J101" s="448"/>
      <c r="K101" s="448"/>
      <c r="L101" s="448"/>
      <c r="M101" s="448"/>
      <c r="N101" s="448"/>
      <c r="O101" s="448"/>
      <c r="P101" s="449"/>
      <c r="Q101" s="439"/>
      <c r="R101" s="440"/>
      <c r="S101" s="440"/>
      <c r="T101" s="441"/>
      <c r="U101" s="452"/>
      <c r="V101" s="446"/>
      <c r="W101" s="446"/>
      <c r="X101" s="453"/>
      <c r="Y101" s="422" t="str">
        <f>IF(OR(I31="",Q100=""),"",(IF(I31="専用住宅",IF(Q101&gt;=AL100,AL101,IF(Q101&gt;=AK100,AK101,IF(Q101&gt;=AJ100,AJ101,IF(Q101&gt;=AI100,AI101,"")))),IF(I31="併用住宅",IF(U101&gt;=AL100,AL101,IF(U101&gt;=AK100,AK101,IF(U101&gt;=AJ100,AJ101,IF(U101&gt;=AI100,AI101,""))))))))</f>
        <v/>
      </c>
      <c r="Z101" s="423"/>
      <c r="AA101" s="35" t="s">
        <v>67</v>
      </c>
      <c r="AE101" s="1"/>
      <c r="AF101" s="1"/>
      <c r="AG101" s="1"/>
      <c r="AH101" s="32" t="s">
        <v>64</v>
      </c>
      <c r="AI101" s="33">
        <v>15</v>
      </c>
      <c r="AJ101" s="33">
        <v>15</v>
      </c>
      <c r="AK101" s="33">
        <v>15</v>
      </c>
      <c r="AL101" s="33">
        <v>15</v>
      </c>
      <c r="AM101" s="33"/>
    </row>
    <row r="102" spans="1:39" x14ac:dyDescent="0.15">
      <c r="D102" s="34"/>
      <c r="E102" s="36"/>
      <c r="F102" s="430" t="s">
        <v>164</v>
      </c>
      <c r="G102" s="450"/>
      <c r="H102" s="450"/>
      <c r="I102" s="450"/>
      <c r="J102" s="450"/>
      <c r="K102" s="450"/>
      <c r="L102" s="450"/>
      <c r="M102" s="450"/>
      <c r="N102" s="450"/>
      <c r="O102" s="450"/>
      <c r="P102" s="451"/>
      <c r="Q102" s="439"/>
      <c r="R102" s="440"/>
      <c r="S102" s="440"/>
      <c r="T102" s="441"/>
      <c r="U102" s="446"/>
      <c r="V102" s="446"/>
      <c r="W102" s="446"/>
      <c r="X102" s="446"/>
      <c r="Y102" s="422" t="str">
        <f>IF(I31="","",IF(I31="専用住宅",IF(OR(Q102="",Q102=0),"",INT(IF(Q102&gt;=25,MIN(25,Q102),IF(Q102&gt;=20,MIN(20,Q102),IF(Q102&gt;=15,MIN(15,Q102),IF(Q102&lt;15,MIN(10,Q102),0)))))),IF(I31="併用住宅",IF(OR(U102="",U102=0),"",INT(IF(U102&gt;=25,MIN(25,U102),IF(U102&gt;=20,MIN(20,U102),IF(U102&gt;=15,MIN(15,U102),IF(U102&lt;15,MIN(10,U102),0)))))))))</f>
        <v/>
      </c>
      <c r="Z102" s="423"/>
      <c r="AA102" s="35" t="s">
        <v>67</v>
      </c>
      <c r="AE102" s="1"/>
      <c r="AF102" s="1"/>
      <c r="AG102" s="1"/>
      <c r="AH102" s="32" t="s">
        <v>66</v>
      </c>
      <c r="AI102" s="33">
        <v>10</v>
      </c>
      <c r="AJ102" s="33">
        <v>15</v>
      </c>
      <c r="AK102" s="33">
        <v>20</v>
      </c>
      <c r="AL102" s="33">
        <v>25</v>
      </c>
      <c r="AM102" s="33"/>
    </row>
    <row r="103" spans="1:39" x14ac:dyDescent="0.15">
      <c r="D103" s="34"/>
      <c r="E103" s="36"/>
      <c r="F103" s="37"/>
      <c r="G103" s="442" t="s">
        <v>101</v>
      </c>
      <c r="H103" s="442"/>
      <c r="I103" s="442"/>
      <c r="J103" s="442"/>
      <c r="K103" s="442"/>
      <c r="L103" s="442"/>
      <c r="M103" s="442"/>
      <c r="N103" s="442"/>
      <c r="O103" s="442"/>
      <c r="P103" s="442"/>
      <c r="Q103" s="439"/>
      <c r="R103" s="440"/>
      <c r="S103" s="440"/>
      <c r="T103" s="441"/>
      <c r="U103" s="446"/>
      <c r="V103" s="446"/>
      <c r="W103" s="446"/>
      <c r="X103" s="446"/>
      <c r="Y103" s="422" t="str">
        <f>IF(I31="","",IF(I31="専用住宅",IF(OR(Q103="",Q103=0),"",IF(Q103&gt;=1,MIN(20,INT(Q103)*2))),IF(I31="併用住宅",IF(OR(U103="",U103=0),"",IF(U103&gt;=1,MIN(20,INT(U103)*2))))))</f>
        <v/>
      </c>
      <c r="Z103" s="423"/>
      <c r="AA103" s="35" t="s">
        <v>0</v>
      </c>
      <c r="AE103" s="1"/>
      <c r="AF103" s="1"/>
      <c r="AG103" s="1"/>
      <c r="AH103" s="32"/>
      <c r="AI103" s="33"/>
      <c r="AJ103" s="33"/>
      <c r="AK103" s="33"/>
      <c r="AL103" s="33"/>
      <c r="AM103" s="33"/>
    </row>
    <row r="104" spans="1:39" x14ac:dyDescent="0.15">
      <c r="D104" s="34"/>
      <c r="E104" s="36"/>
      <c r="F104" s="491" t="s">
        <v>116</v>
      </c>
      <c r="G104" s="450"/>
      <c r="H104" s="450"/>
      <c r="I104" s="450"/>
      <c r="J104" s="450"/>
      <c r="K104" s="450"/>
      <c r="L104" s="450"/>
      <c r="M104" s="450"/>
      <c r="N104" s="450"/>
      <c r="O104" s="450"/>
      <c r="P104" s="451"/>
      <c r="Q104" s="439"/>
      <c r="R104" s="440"/>
      <c r="S104" s="440"/>
      <c r="T104" s="441"/>
      <c r="U104" s="446"/>
      <c r="V104" s="446"/>
      <c r="W104" s="446"/>
      <c r="X104" s="446"/>
      <c r="Y104" s="3"/>
      <c r="Z104" s="3"/>
      <c r="AE104" s="1"/>
      <c r="AF104" s="1"/>
      <c r="AG104" s="1"/>
      <c r="AH104" s="32"/>
      <c r="AI104" s="33"/>
      <c r="AJ104" s="33"/>
      <c r="AK104" s="33"/>
      <c r="AL104" s="33"/>
      <c r="AM104" s="33"/>
    </row>
    <row r="105" spans="1:39" x14ac:dyDescent="0.15">
      <c r="D105" s="11"/>
      <c r="E105" s="38"/>
      <c r="F105" s="492" t="s">
        <v>117</v>
      </c>
      <c r="G105" s="493"/>
      <c r="H105" s="493"/>
      <c r="I105" s="493"/>
      <c r="J105" s="493"/>
      <c r="K105" s="493"/>
      <c r="L105" s="493"/>
      <c r="M105" s="493"/>
      <c r="N105" s="493"/>
      <c r="O105" s="493"/>
      <c r="P105" s="494"/>
      <c r="Q105" s="488"/>
      <c r="R105" s="489"/>
      <c r="S105" s="489"/>
      <c r="T105" s="490"/>
      <c r="U105" s="487"/>
      <c r="V105" s="487"/>
      <c r="W105" s="487"/>
      <c r="X105" s="487"/>
      <c r="Y105" s="567" t="str">
        <f>IF(OR(I31="",AND(Q104="",Q105="")),"",MIN(IF(AND(I31="専用住宅",Q104&gt;=1),5,IF(AND(I31="併用住宅",U104&gt;=1),5,0))+IF(AND(I31="専用住宅",Q105&gt;=1),INT(Q105)*0.2,IF(AND(I31="併用住宅",U105&gt;=1),INT(U105)*0.2,0)),15))</f>
        <v/>
      </c>
      <c r="Z105" s="568"/>
      <c r="AA105" s="35" t="s">
        <v>67</v>
      </c>
      <c r="AE105" s="1"/>
      <c r="AF105" s="1"/>
      <c r="AG105" s="1"/>
      <c r="AH105" s="32"/>
      <c r="AI105" s="33"/>
      <c r="AJ105" s="33"/>
      <c r="AK105" s="33"/>
      <c r="AL105" s="33"/>
      <c r="AM105" s="33"/>
    </row>
    <row r="106" spans="1:39" x14ac:dyDescent="0.15">
      <c r="E106" s="16"/>
      <c r="X106" s="39" t="s">
        <v>88</v>
      </c>
      <c r="Y106" s="528" t="str">
        <f>IF(Y101="","",IF(AND(B20="✔",B23="✔",B40="✔",B45="✔",B50="✔",D73="",B74="✔",B89="✔",OR(B91="✔",B95="✔"),B96=""),SUM(Y101:Z105),0))</f>
        <v/>
      </c>
      <c r="Z106" s="529"/>
      <c r="AA106" s="35" t="s">
        <v>0</v>
      </c>
      <c r="AB106" s="5" t="str">
        <f>IF(AND(Y106=0),"←合計金額が算出されない場合は、前のページにチェック漏れ等がありますので御確認ください。","")</f>
        <v/>
      </c>
    </row>
    <row r="107" spans="1:39" x14ac:dyDescent="0.15">
      <c r="A107" s="17" t="s">
        <v>174</v>
      </c>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55"/>
    </row>
    <row r="108" spans="1:39" x14ac:dyDescent="0.15">
      <c r="A108" s="17"/>
      <c r="B108" s="154" t="s">
        <v>134</v>
      </c>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55"/>
    </row>
    <row r="109" spans="1:39" x14ac:dyDescent="0.15">
      <c r="A109" s="17" t="s">
        <v>195</v>
      </c>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55"/>
    </row>
    <row r="110" spans="1:39" x14ac:dyDescent="0.15">
      <c r="A110" s="17" t="s">
        <v>196</v>
      </c>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55"/>
    </row>
    <row r="111" spans="1:39" x14ac:dyDescent="0.15">
      <c r="A111" s="17" t="s">
        <v>175</v>
      </c>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55"/>
    </row>
    <row r="112" spans="1:39" x14ac:dyDescent="0.15">
      <c r="A112" s="17"/>
      <c r="B112" s="154" t="s">
        <v>136</v>
      </c>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55"/>
    </row>
    <row r="113" spans="1:30" x14ac:dyDescent="0.15">
      <c r="A113" s="17" t="s">
        <v>176</v>
      </c>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55"/>
    </row>
    <row r="114" spans="1:30" x14ac:dyDescent="0.15">
      <c r="A114" s="17"/>
      <c r="B114" s="154" t="s">
        <v>199</v>
      </c>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55"/>
    </row>
    <row r="115" spans="1:30" x14ac:dyDescent="0.15">
      <c r="A115" s="17" t="s">
        <v>177</v>
      </c>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55"/>
    </row>
    <row r="116" spans="1:30" x14ac:dyDescent="0.15">
      <c r="A116" s="17"/>
      <c r="B116" s="154" t="s">
        <v>135</v>
      </c>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55"/>
    </row>
    <row r="117" spans="1:30" x14ac:dyDescent="0.15">
      <c r="A117" s="17" t="s">
        <v>293</v>
      </c>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55"/>
    </row>
    <row r="118" spans="1:30" x14ac:dyDescent="0.15">
      <c r="A118" s="17"/>
      <c r="B118" s="154" t="s">
        <v>162</v>
      </c>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55"/>
    </row>
    <row r="119" spans="1:30" x14ac:dyDescent="0.15">
      <c r="A119" s="17"/>
      <c r="B119" s="67" t="s">
        <v>294</v>
      </c>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55"/>
    </row>
    <row r="120" spans="1:30" x14ac:dyDescent="0.15">
      <c r="A120" s="17" t="s">
        <v>103</v>
      </c>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55"/>
    </row>
    <row r="121" spans="1:30" s="41" customFormat="1" ht="4.5" customHeight="1" x14ac:dyDescent="0.15"/>
    <row r="122" spans="1:30" x14ac:dyDescent="0.15">
      <c r="A122" s="1" t="s">
        <v>231</v>
      </c>
      <c r="Y122" s="475" t="s">
        <v>114</v>
      </c>
      <c r="Z122" s="475"/>
      <c r="AA122" s="475"/>
    </row>
    <row r="123" spans="1:30" ht="14.25" customHeight="1" x14ac:dyDescent="0.15">
      <c r="B123" s="1" t="s">
        <v>63</v>
      </c>
      <c r="G123" s="42"/>
      <c r="Y123" s="556"/>
      <c r="Z123" s="556"/>
      <c r="AA123" s="556"/>
    </row>
    <row r="124" spans="1:30" x14ac:dyDescent="0.15">
      <c r="B124" s="1" t="s">
        <v>295</v>
      </c>
      <c r="Y124" s="473" t="str">
        <f>IF(AND(Y106&lt;&gt;"",Y106&gt;=15,OR(B126="✔",P126="✔")),IF(B68="✔",0,10),"")</f>
        <v/>
      </c>
      <c r="Z124" s="474"/>
      <c r="AA124" s="35" t="s">
        <v>0</v>
      </c>
      <c r="AD124" s="4" t="s">
        <v>94</v>
      </c>
    </row>
    <row r="125" spans="1:30" ht="5.0999999999999996" customHeight="1" x14ac:dyDescent="0.15">
      <c r="G125" s="42"/>
    </row>
    <row r="126" spans="1:30" x14ac:dyDescent="0.15">
      <c r="B126" s="119"/>
      <c r="C126" s="1" t="s">
        <v>61</v>
      </c>
      <c r="P126" s="119"/>
      <c r="Q126" s="1" t="s">
        <v>248</v>
      </c>
      <c r="AA126" s="1"/>
    </row>
    <row r="127" spans="1:30" ht="13.5" customHeight="1" x14ac:dyDescent="0.15">
      <c r="C127" s="1" t="s">
        <v>62</v>
      </c>
      <c r="Q127" s="569"/>
      <c r="R127" s="569"/>
      <c r="S127" s="569"/>
      <c r="T127" s="569"/>
      <c r="U127" s="569"/>
      <c r="V127" s="569"/>
      <c r="W127" s="569"/>
      <c r="X127" s="569"/>
      <c r="Y127" s="569"/>
      <c r="Z127" s="569"/>
      <c r="AA127" s="569"/>
    </row>
    <row r="128" spans="1:30" ht="2.25" customHeight="1" x14ac:dyDescent="0.15">
      <c r="Q128" s="569"/>
      <c r="R128" s="569"/>
      <c r="S128" s="569"/>
      <c r="T128" s="569"/>
      <c r="U128" s="569"/>
      <c r="V128" s="569"/>
      <c r="W128" s="569"/>
      <c r="X128" s="569"/>
      <c r="Y128" s="569"/>
      <c r="Z128" s="569"/>
      <c r="AA128" s="569"/>
    </row>
    <row r="129" spans="1:30" x14ac:dyDescent="0.15">
      <c r="C129" s="16" t="s">
        <v>56</v>
      </c>
      <c r="Q129" s="16" t="s">
        <v>56</v>
      </c>
      <c r="AA129" s="1"/>
    </row>
    <row r="130" spans="1:30" x14ac:dyDescent="0.15">
      <c r="C130" s="564" t="s">
        <v>60</v>
      </c>
      <c r="D130" s="476"/>
      <c r="E130" s="476"/>
      <c r="F130" s="476"/>
      <c r="G130" s="476"/>
      <c r="H130" s="476"/>
      <c r="I130" s="476"/>
      <c r="J130" s="476"/>
      <c r="K130" s="476"/>
      <c r="L130" s="476"/>
      <c r="M130" s="476"/>
      <c r="N130" s="476"/>
      <c r="O130" s="77"/>
      <c r="P130" s="77"/>
      <c r="Q130" s="564" t="s">
        <v>57</v>
      </c>
      <c r="R130" s="564"/>
      <c r="S130" s="564"/>
      <c r="T130" s="564"/>
      <c r="U130" s="564"/>
      <c r="V130" s="564"/>
      <c r="W130" s="564"/>
      <c r="X130" s="564"/>
      <c r="Y130" s="564"/>
      <c r="Z130" s="564"/>
      <c r="AA130" s="564"/>
    </row>
    <row r="131" spans="1:30" ht="1.5" customHeight="1" x14ac:dyDescent="0.15">
      <c r="C131" s="476"/>
      <c r="D131" s="476"/>
      <c r="E131" s="476"/>
      <c r="F131" s="476"/>
      <c r="G131" s="476"/>
      <c r="H131" s="476"/>
      <c r="I131" s="476"/>
      <c r="J131" s="476"/>
      <c r="K131" s="476"/>
      <c r="L131" s="476"/>
      <c r="M131" s="476"/>
      <c r="N131" s="476"/>
      <c r="O131" s="77"/>
      <c r="P131" s="77"/>
      <c r="Q131" s="564"/>
      <c r="R131" s="564"/>
      <c r="S131" s="564"/>
      <c r="T131" s="564"/>
      <c r="U131" s="564"/>
      <c r="V131" s="564"/>
      <c r="W131" s="564"/>
      <c r="X131" s="564"/>
      <c r="Y131" s="564"/>
      <c r="Z131" s="564"/>
      <c r="AA131" s="564"/>
    </row>
    <row r="132" spans="1:30" x14ac:dyDescent="0.15">
      <c r="C132" s="56" t="s">
        <v>130</v>
      </c>
      <c r="D132" s="57"/>
      <c r="E132" s="57"/>
      <c r="F132" s="57"/>
      <c r="G132" s="57"/>
      <c r="H132" s="57"/>
      <c r="I132" s="57"/>
      <c r="J132" s="57"/>
      <c r="K132" s="57"/>
      <c r="L132" s="57"/>
      <c r="M132" s="57"/>
      <c r="N132" s="57"/>
      <c r="Q132" s="56" t="s">
        <v>130</v>
      </c>
      <c r="R132" s="57"/>
      <c r="S132" s="57"/>
      <c r="T132" s="57"/>
      <c r="U132" s="57"/>
      <c r="V132" s="57"/>
      <c r="W132" s="57"/>
      <c r="X132" s="57"/>
      <c r="Y132" s="57"/>
      <c r="Z132" s="57"/>
      <c r="AA132" s="57"/>
    </row>
    <row r="133" spans="1:30" ht="26.1" customHeight="1" x14ac:dyDescent="0.15">
      <c r="C133" s="458" t="s">
        <v>238</v>
      </c>
      <c r="D133" s="458"/>
      <c r="E133" s="458"/>
      <c r="F133" s="458"/>
      <c r="G133" s="458"/>
      <c r="H133" s="458"/>
      <c r="I133" s="458"/>
      <c r="J133" s="458"/>
      <c r="K133" s="458"/>
      <c r="L133" s="458"/>
      <c r="M133" s="458"/>
      <c r="N133" s="458"/>
      <c r="Q133" s="458" t="s">
        <v>238</v>
      </c>
      <c r="R133" s="458"/>
      <c r="S133" s="458"/>
      <c r="T133" s="458"/>
      <c r="U133" s="458"/>
      <c r="V133" s="458"/>
      <c r="W133" s="458"/>
      <c r="X133" s="458"/>
      <c r="Y133" s="458"/>
      <c r="Z133" s="458"/>
      <c r="AA133" s="458"/>
    </row>
    <row r="134" spans="1:30" ht="12.6" customHeight="1" x14ac:dyDescent="0.15">
      <c r="D134" s="44"/>
      <c r="E134" s="44"/>
      <c r="F134" s="44"/>
      <c r="G134" s="44"/>
      <c r="H134" s="44"/>
      <c r="I134" s="44"/>
      <c r="J134" s="44"/>
      <c r="K134" s="44"/>
      <c r="L134" s="44"/>
      <c r="M134" s="44"/>
      <c r="N134" s="44"/>
      <c r="Q134" s="64" t="s">
        <v>252</v>
      </c>
      <c r="R134" s="45"/>
      <c r="S134" s="45"/>
      <c r="T134" s="45"/>
      <c r="U134" s="45"/>
      <c r="V134" s="45"/>
      <c r="W134" s="45"/>
      <c r="X134" s="45"/>
      <c r="Y134" s="45"/>
      <c r="Z134" s="45"/>
      <c r="AA134" s="45"/>
    </row>
    <row r="135" spans="1:30" x14ac:dyDescent="0.15">
      <c r="C135" s="476" t="s">
        <v>95</v>
      </c>
      <c r="D135" s="476"/>
      <c r="E135" s="476"/>
      <c r="F135" s="476"/>
      <c r="G135" s="476"/>
      <c r="H135" s="476"/>
      <c r="I135" s="476"/>
      <c r="J135" s="476"/>
      <c r="K135" s="476"/>
      <c r="L135" s="476"/>
      <c r="M135" s="476"/>
      <c r="N135" s="476"/>
      <c r="O135" s="476"/>
      <c r="P135" s="476"/>
      <c r="Q135" s="476"/>
      <c r="R135" s="476"/>
      <c r="S135" s="476"/>
      <c r="T135" s="476"/>
      <c r="U135" s="476"/>
      <c r="V135" s="476"/>
      <c r="W135" s="476"/>
      <c r="X135" s="476"/>
      <c r="Y135" s="476"/>
      <c r="Z135" s="476"/>
      <c r="AA135" s="45"/>
    </row>
    <row r="136" spans="1:30" ht="12" customHeight="1" x14ac:dyDescent="0.15">
      <c r="C136" s="476"/>
      <c r="D136" s="476"/>
      <c r="E136" s="476"/>
      <c r="F136" s="476"/>
      <c r="G136" s="476"/>
      <c r="H136" s="476"/>
      <c r="I136" s="476"/>
      <c r="J136" s="476"/>
      <c r="K136" s="476"/>
      <c r="L136" s="476"/>
      <c r="M136" s="476"/>
      <c r="N136" s="476"/>
      <c r="O136" s="476"/>
      <c r="P136" s="476"/>
      <c r="Q136" s="476"/>
      <c r="R136" s="476"/>
      <c r="S136" s="476"/>
      <c r="T136" s="476"/>
      <c r="U136" s="476"/>
      <c r="V136" s="476"/>
      <c r="W136" s="476"/>
      <c r="X136" s="476"/>
      <c r="Y136" s="476"/>
      <c r="Z136" s="476"/>
      <c r="AA136" s="45"/>
    </row>
    <row r="137" spans="1:30" x14ac:dyDescent="0.15">
      <c r="A137" s="1" t="s">
        <v>232</v>
      </c>
      <c r="G137" s="42"/>
      <c r="Y137" s="475" t="s">
        <v>114</v>
      </c>
      <c r="Z137" s="475"/>
      <c r="AA137" s="475"/>
    </row>
    <row r="138" spans="1:30" ht="13.5" customHeight="1" x14ac:dyDescent="0.15">
      <c r="B138" s="1" t="s">
        <v>260</v>
      </c>
      <c r="G138" s="42"/>
      <c r="Y138" s="475"/>
      <c r="Z138" s="475"/>
      <c r="AA138" s="475"/>
    </row>
    <row r="139" spans="1:30" x14ac:dyDescent="0.15">
      <c r="B139" s="135" t="s">
        <v>261</v>
      </c>
      <c r="G139" s="42"/>
      <c r="Y139" s="473" t="str">
        <f>IF(AND(Y106&gt;=15,B143="✔",B145="✔",B147="✔",B149="✔"),10,IF(AND(Y106&gt;=15,B143="✔",B145="✔",B151="✔"),10,IF(AND(B145="✔",B153="✔",B143=""),10,"")))</f>
        <v/>
      </c>
      <c r="Z139" s="474"/>
      <c r="AA139" s="35" t="s">
        <v>0</v>
      </c>
    </row>
    <row r="140" spans="1:30" x14ac:dyDescent="0.15">
      <c r="B140" s="135" t="s">
        <v>262</v>
      </c>
      <c r="G140" s="42"/>
      <c r="V140" s="41"/>
      <c r="W140" s="41"/>
      <c r="X140" s="41"/>
      <c r="Y140" s="136"/>
      <c r="Z140" s="136"/>
      <c r="AA140" s="137"/>
    </row>
    <row r="141" spans="1:30" x14ac:dyDescent="0.15">
      <c r="B141" s="135" t="s">
        <v>263</v>
      </c>
      <c r="G141" s="42"/>
      <c r="V141" s="41"/>
      <c r="W141" s="41"/>
      <c r="X141" s="41"/>
      <c r="Y141" s="136"/>
      <c r="Z141" s="136"/>
      <c r="AA141" s="137"/>
    </row>
    <row r="142" spans="1:30" ht="5.0999999999999996" customHeight="1" x14ac:dyDescent="0.15">
      <c r="G142" s="42"/>
      <c r="V142" s="41"/>
      <c r="W142" s="41"/>
      <c r="X142" s="41"/>
      <c r="Y142" s="41"/>
      <c r="Z142" s="41"/>
      <c r="AA142" s="48"/>
    </row>
    <row r="143" spans="1:30" x14ac:dyDescent="0.15">
      <c r="B143" s="119"/>
      <c r="C143" s="1" t="s">
        <v>255</v>
      </c>
      <c r="G143" s="42"/>
      <c r="AD143" s="4" t="s">
        <v>94</v>
      </c>
    </row>
    <row r="144" spans="1:30" ht="6.95" customHeight="1" x14ac:dyDescent="0.15">
      <c r="G144" s="42"/>
    </row>
    <row r="145" spans="2:28" x14ac:dyDescent="0.15">
      <c r="B145" s="119"/>
      <c r="C145" s="41" t="s">
        <v>240</v>
      </c>
      <c r="D145" s="41"/>
      <c r="E145" s="41"/>
      <c r="F145" s="41"/>
      <c r="G145" s="130"/>
      <c r="H145" s="41"/>
      <c r="I145" s="41"/>
      <c r="J145" s="41"/>
      <c r="K145" s="41"/>
      <c r="L145" s="41"/>
      <c r="M145" s="41"/>
      <c r="N145" s="41"/>
      <c r="O145" s="41"/>
      <c r="P145" s="41"/>
    </row>
    <row r="146" spans="2:28" x14ac:dyDescent="0.15">
      <c r="B146" s="121"/>
      <c r="C146" s="46" t="s">
        <v>223</v>
      </c>
      <c r="G146" s="42"/>
    </row>
    <row r="147" spans="2:28" x14ac:dyDescent="0.15">
      <c r="B147" s="119"/>
      <c r="C147" s="42" t="s">
        <v>241</v>
      </c>
      <c r="G147" s="42"/>
    </row>
    <row r="148" spans="2:28" x14ac:dyDescent="0.15">
      <c r="C148" s="46" t="s">
        <v>163</v>
      </c>
      <c r="G148" s="42"/>
    </row>
    <row r="149" spans="2:28" x14ac:dyDescent="0.15">
      <c r="B149" s="119"/>
      <c r="C149" s="42" t="s">
        <v>242</v>
      </c>
      <c r="G149" s="42"/>
    </row>
    <row r="150" spans="2:28" ht="6.95" customHeight="1" x14ac:dyDescent="0.15">
      <c r="G150" s="42"/>
    </row>
    <row r="151" spans="2:28" x14ac:dyDescent="0.15">
      <c r="B151" s="119"/>
      <c r="C151" s="1" t="s">
        <v>243</v>
      </c>
      <c r="G151" s="42"/>
    </row>
    <row r="152" spans="2:28" ht="6" customHeight="1" x14ac:dyDescent="0.15">
      <c r="G152" s="42"/>
    </row>
    <row r="153" spans="2:28" x14ac:dyDescent="0.15">
      <c r="B153" s="119"/>
      <c r="C153" s="1" t="s">
        <v>259</v>
      </c>
      <c r="G153" s="42"/>
    </row>
    <row r="154" spans="2:28" x14ac:dyDescent="0.15">
      <c r="B154" s="457" t="s">
        <v>180</v>
      </c>
      <c r="C154" s="457"/>
      <c r="D154" s="457"/>
      <c r="E154" s="457"/>
      <c r="F154" s="457"/>
      <c r="G154" s="457"/>
      <c r="H154" s="459" t="s">
        <v>184</v>
      </c>
      <c r="I154" s="459"/>
      <c r="J154" s="459"/>
      <c r="K154" s="459"/>
      <c r="L154" s="459"/>
      <c r="M154" s="459"/>
      <c r="N154" s="459"/>
      <c r="O154" s="460"/>
      <c r="P154" s="460"/>
      <c r="Q154" s="460"/>
      <c r="R154" s="460"/>
      <c r="S154" s="460"/>
      <c r="T154" s="460"/>
      <c r="U154" s="460"/>
      <c r="V154" s="460"/>
      <c r="W154" s="460"/>
      <c r="X154" s="460"/>
      <c r="Y154" s="460"/>
      <c r="Z154" s="460"/>
      <c r="AB154" s="5" t="str">
        <f>IF(AND(O154="",Y139=10),"→申請者の申請時住所の小学校区を記載してください。","")</f>
        <v/>
      </c>
    </row>
    <row r="155" spans="2:28" x14ac:dyDescent="0.15">
      <c r="B155" s="457"/>
      <c r="C155" s="457"/>
      <c r="D155" s="457"/>
      <c r="E155" s="457"/>
      <c r="F155" s="457"/>
      <c r="G155" s="457"/>
      <c r="H155" s="459" t="s">
        <v>181</v>
      </c>
      <c r="I155" s="459"/>
      <c r="J155" s="459"/>
      <c r="K155" s="459"/>
      <c r="L155" s="459"/>
      <c r="M155" s="459"/>
      <c r="N155" s="459"/>
      <c r="O155" s="460"/>
      <c r="P155" s="460"/>
      <c r="Q155" s="460"/>
      <c r="R155" s="460"/>
      <c r="S155" s="460"/>
      <c r="T155" s="460"/>
      <c r="U155" s="460"/>
      <c r="V155" s="460"/>
      <c r="W155" s="460"/>
      <c r="X155" s="460"/>
      <c r="Y155" s="460"/>
      <c r="Z155" s="460"/>
      <c r="AB155" s="5" t="str">
        <f>IF(AND(O155="",Y139=10),"→申請者の住宅建設地の小学校区を記載してください。","")</f>
        <v/>
      </c>
    </row>
    <row r="156" spans="2:28" x14ac:dyDescent="0.15">
      <c r="B156" s="484" t="s">
        <v>250</v>
      </c>
      <c r="C156" s="484"/>
      <c r="D156" s="484"/>
      <c r="E156" s="484"/>
      <c r="F156" s="484"/>
      <c r="G156" s="484"/>
      <c r="H156" s="445" t="s">
        <v>182</v>
      </c>
      <c r="I156" s="459"/>
      <c r="J156" s="459"/>
      <c r="K156" s="459"/>
      <c r="L156" s="459"/>
      <c r="M156" s="459"/>
      <c r="N156" s="459"/>
      <c r="O156" s="460"/>
      <c r="P156" s="460"/>
      <c r="Q156" s="460"/>
      <c r="R156" s="460"/>
      <c r="S156" s="460"/>
      <c r="T156" s="460"/>
      <c r="U156" s="460"/>
      <c r="V156" s="460"/>
      <c r="W156" s="460"/>
      <c r="X156" s="460"/>
      <c r="Y156" s="460"/>
      <c r="Z156" s="460"/>
      <c r="AB156" s="5" t="str">
        <f>IF(AND(O156="",Y139=10),"→同居、近居対象の親族世帯の住所を記載してください。","")</f>
        <v/>
      </c>
    </row>
    <row r="157" spans="2:28" x14ac:dyDescent="0.15">
      <c r="B157" s="484"/>
      <c r="C157" s="484"/>
      <c r="D157" s="484"/>
      <c r="E157" s="484"/>
      <c r="F157" s="484"/>
      <c r="G157" s="484"/>
      <c r="H157" s="445" t="s">
        <v>183</v>
      </c>
      <c r="I157" s="459"/>
      <c r="J157" s="459"/>
      <c r="K157" s="459"/>
      <c r="L157" s="459"/>
      <c r="M157" s="459"/>
      <c r="N157" s="459"/>
      <c r="O157" s="460"/>
      <c r="P157" s="460"/>
      <c r="Q157" s="460"/>
      <c r="R157" s="460"/>
      <c r="S157" s="460"/>
      <c r="T157" s="460"/>
      <c r="U157" s="460"/>
      <c r="V157" s="460"/>
      <c r="W157" s="460"/>
      <c r="X157" s="460"/>
      <c r="Y157" s="460"/>
      <c r="Z157" s="460"/>
      <c r="AB157" s="5" t="str">
        <f>IF(AND(O157="",Y139=10),"→同居、近居対象の親族世帯の小学校区を記載してください。","")</f>
        <v/>
      </c>
    </row>
    <row r="158" spans="2:28" x14ac:dyDescent="0.15">
      <c r="B158" s="484"/>
      <c r="C158" s="484"/>
      <c r="D158" s="484"/>
      <c r="E158" s="484"/>
      <c r="F158" s="484"/>
      <c r="G158" s="484"/>
      <c r="H158" s="459" t="s">
        <v>254</v>
      </c>
      <c r="I158" s="459"/>
      <c r="J158" s="459"/>
      <c r="K158" s="459"/>
      <c r="L158" s="459"/>
      <c r="M158" s="459"/>
      <c r="N158" s="459"/>
      <c r="O158" s="460"/>
      <c r="P158" s="460"/>
      <c r="Q158" s="460"/>
      <c r="R158" s="460"/>
      <c r="S158" s="460"/>
      <c r="T158" s="460"/>
      <c r="U158" s="460"/>
      <c r="V158" s="460"/>
      <c r="W158" s="460"/>
      <c r="X158" s="460"/>
      <c r="Y158" s="460"/>
      <c r="Z158" s="460"/>
      <c r="AB158" s="5" t="str">
        <f>IF(AND(O158="",Y139=10),"→選択してください。","")</f>
        <v/>
      </c>
    </row>
    <row r="159" spans="2:28" x14ac:dyDescent="0.15">
      <c r="C159" s="58" t="s">
        <v>130</v>
      </c>
      <c r="D159" s="43"/>
      <c r="E159" s="43"/>
      <c r="F159" s="43"/>
      <c r="G159" s="43"/>
      <c r="H159" s="43"/>
      <c r="I159" s="43"/>
      <c r="J159" s="43"/>
      <c r="K159" s="43"/>
      <c r="L159" s="43"/>
      <c r="M159" s="43"/>
      <c r="N159" s="43"/>
    </row>
    <row r="160" spans="2:28" ht="13.5" customHeight="1" x14ac:dyDescent="0.15">
      <c r="C160" s="59" t="s">
        <v>106</v>
      </c>
      <c r="D160" s="45"/>
      <c r="E160" s="45"/>
      <c r="F160" s="45"/>
      <c r="G160" s="45"/>
      <c r="H160" s="45"/>
      <c r="I160" s="45"/>
      <c r="J160" s="45"/>
      <c r="K160" s="45"/>
      <c r="L160" s="45"/>
      <c r="M160" s="45"/>
      <c r="N160" s="45"/>
      <c r="O160" s="42"/>
      <c r="P160" s="42"/>
      <c r="Q160" s="42"/>
      <c r="R160" s="42"/>
      <c r="S160" s="42"/>
      <c r="T160" s="42"/>
      <c r="U160" s="42"/>
      <c r="V160" s="42"/>
    </row>
    <row r="161" spans="1:30" ht="13.5" customHeight="1" x14ac:dyDescent="0.15">
      <c r="C161" s="59" t="s">
        <v>253</v>
      </c>
      <c r="D161" s="45"/>
      <c r="E161" s="45"/>
      <c r="F161" s="45"/>
      <c r="G161" s="45"/>
      <c r="H161" s="45"/>
      <c r="I161" s="45"/>
      <c r="J161" s="45"/>
      <c r="K161" s="45"/>
      <c r="L161" s="45"/>
      <c r="M161" s="45"/>
      <c r="N161" s="45"/>
      <c r="O161" s="42"/>
      <c r="P161" s="42"/>
      <c r="Q161" s="42"/>
      <c r="R161" s="42"/>
      <c r="S161" s="42"/>
      <c r="T161" s="42"/>
      <c r="U161" s="42"/>
      <c r="V161" s="42"/>
    </row>
    <row r="162" spans="1:30" ht="9" customHeight="1" x14ac:dyDescent="0.15">
      <c r="C162" s="42"/>
      <c r="G162" s="42"/>
      <c r="AA162" s="40" t="s">
        <v>89</v>
      </c>
    </row>
    <row r="163" spans="1:30" x14ac:dyDescent="0.15">
      <c r="A163" s="1" t="s">
        <v>233</v>
      </c>
      <c r="Y163" s="475" t="s">
        <v>114</v>
      </c>
      <c r="Z163" s="475"/>
      <c r="AA163" s="475"/>
    </row>
    <row r="164" spans="1:30" ht="12.75" customHeight="1" x14ac:dyDescent="0.15">
      <c r="B164" s="479" t="s">
        <v>201</v>
      </c>
      <c r="C164" s="479"/>
      <c r="D164" s="479"/>
      <c r="E164" s="479"/>
      <c r="F164" s="479"/>
      <c r="G164" s="479"/>
      <c r="H164" s="479"/>
      <c r="I164" s="479"/>
      <c r="J164" s="479"/>
      <c r="K164" s="479"/>
      <c r="L164" s="479"/>
      <c r="M164" s="479"/>
      <c r="N164" s="479"/>
      <c r="O164" s="479"/>
      <c r="P164" s="479"/>
      <c r="Q164" s="479"/>
      <c r="R164" s="479"/>
      <c r="S164" s="479"/>
      <c r="T164" s="479"/>
      <c r="U164" s="479"/>
      <c r="V164" s="479"/>
      <c r="W164" s="479"/>
      <c r="X164" s="555"/>
      <c r="Y164" s="475"/>
      <c r="Z164" s="475"/>
      <c r="AA164" s="475"/>
    </row>
    <row r="165" spans="1:30" x14ac:dyDescent="0.15">
      <c r="B165" s="479"/>
      <c r="C165" s="479"/>
      <c r="D165" s="479"/>
      <c r="E165" s="479"/>
      <c r="F165" s="479"/>
      <c r="G165" s="479"/>
      <c r="H165" s="479"/>
      <c r="I165" s="479"/>
      <c r="J165" s="479"/>
      <c r="K165" s="479"/>
      <c r="L165" s="479"/>
      <c r="M165" s="479"/>
      <c r="N165" s="479"/>
      <c r="O165" s="479"/>
      <c r="P165" s="479"/>
      <c r="Q165" s="479"/>
      <c r="R165" s="479"/>
      <c r="S165" s="479"/>
      <c r="T165" s="479"/>
      <c r="U165" s="479"/>
      <c r="V165" s="479"/>
      <c r="W165" s="479"/>
      <c r="X165" s="555"/>
      <c r="Y165" s="473" t="str">
        <f>IF(AND(Y106&lt;&gt;"",Y106&gt;=15,B169="✔",I36&lt;&gt;"その他",SUM(F174,F179,F186,F194,F202,F212,F219)&gt;=4),20,"")</f>
        <v/>
      </c>
      <c r="Z165" s="474"/>
      <c r="AA165" s="35" t="s">
        <v>0</v>
      </c>
    </row>
    <row r="166" spans="1:30" x14ac:dyDescent="0.15">
      <c r="B166" s="47"/>
      <c r="C166" s="485" t="s">
        <v>213</v>
      </c>
      <c r="D166" s="485"/>
      <c r="E166" s="485"/>
      <c r="F166" s="485"/>
      <c r="G166" s="485"/>
      <c r="H166" s="485"/>
      <c r="I166" s="485"/>
      <c r="J166" s="485"/>
      <c r="K166" s="485"/>
      <c r="L166" s="485"/>
      <c r="M166" s="485"/>
      <c r="N166" s="485"/>
      <c r="O166" s="485"/>
      <c r="P166" s="485"/>
      <c r="Q166" s="485"/>
      <c r="R166" s="485"/>
      <c r="S166" s="485"/>
      <c r="T166" s="485"/>
      <c r="U166" s="485"/>
      <c r="V166" s="485"/>
      <c r="W166" s="485"/>
      <c r="X166" s="485"/>
      <c r="Y166" s="485"/>
      <c r="Z166" s="485"/>
      <c r="AA166" s="485"/>
    </row>
    <row r="167" spans="1:30" ht="13.5" customHeight="1" x14ac:dyDescent="0.15">
      <c r="B167" s="47"/>
      <c r="C167" s="485"/>
      <c r="D167" s="485"/>
      <c r="E167" s="485"/>
      <c r="F167" s="485"/>
      <c r="G167" s="485"/>
      <c r="H167" s="485"/>
      <c r="I167" s="485"/>
      <c r="J167" s="485"/>
      <c r="K167" s="485"/>
      <c r="L167" s="485"/>
      <c r="M167" s="485"/>
      <c r="N167" s="485"/>
      <c r="O167" s="485"/>
      <c r="P167" s="485"/>
      <c r="Q167" s="485"/>
      <c r="R167" s="485"/>
      <c r="S167" s="485"/>
      <c r="T167" s="485"/>
      <c r="U167" s="485"/>
      <c r="V167" s="485"/>
      <c r="W167" s="485"/>
      <c r="X167" s="485"/>
      <c r="Y167" s="485"/>
      <c r="Z167" s="485"/>
      <c r="AA167" s="485"/>
    </row>
    <row r="168" spans="1:30" ht="6.95" customHeight="1" x14ac:dyDescent="0.15">
      <c r="G168" s="42"/>
    </row>
    <row r="169" spans="1:30" x14ac:dyDescent="0.15">
      <c r="B169" s="119"/>
      <c r="C169" s="1" t="s">
        <v>26</v>
      </c>
      <c r="H169" s="1" t="s">
        <v>225</v>
      </c>
      <c r="AD169" s="4" t="s">
        <v>94</v>
      </c>
    </row>
    <row r="170" spans="1:30" x14ac:dyDescent="0.15">
      <c r="B170" s="28" t="str">
        <f>IF(AND(I36="その他",B169="✔"),"工法が異なります","")</f>
        <v/>
      </c>
      <c r="H170" s="1" t="s">
        <v>224</v>
      </c>
    </row>
    <row r="171" spans="1:30" ht="6.95" customHeight="1" x14ac:dyDescent="0.15">
      <c r="G171" s="42"/>
    </row>
    <row r="172" spans="1:30" ht="13.5" customHeight="1" x14ac:dyDescent="0.15">
      <c r="B172" s="119"/>
      <c r="C172" s="1" t="s">
        <v>71</v>
      </c>
      <c r="H172" s="479" t="s">
        <v>206</v>
      </c>
      <c r="I172" s="479"/>
      <c r="J172" s="479"/>
      <c r="K172" s="479"/>
      <c r="L172" s="479"/>
      <c r="M172" s="479"/>
      <c r="N172" s="479"/>
      <c r="O172" s="479"/>
      <c r="P172" s="479"/>
      <c r="Q172" s="479"/>
      <c r="R172" s="479"/>
      <c r="S172" s="479"/>
      <c r="T172" s="479"/>
      <c r="U172" s="479"/>
      <c r="V172" s="479"/>
      <c r="W172" s="479"/>
      <c r="X172" s="479"/>
      <c r="Y172" s="479"/>
      <c r="Z172" s="479"/>
      <c r="AA172" s="479"/>
      <c r="AC172" s="4">
        <f>IF(AND(B91="",B95="✔",B172="✔"),4,0)</f>
        <v>0</v>
      </c>
    </row>
    <row r="173" spans="1:30" x14ac:dyDescent="0.15">
      <c r="C173" s="1" t="s">
        <v>110</v>
      </c>
      <c r="H173" s="479"/>
      <c r="I173" s="479"/>
      <c r="J173" s="479"/>
      <c r="K173" s="479"/>
      <c r="L173" s="479"/>
      <c r="M173" s="479"/>
      <c r="N173" s="479"/>
      <c r="O173" s="479"/>
      <c r="P173" s="479"/>
      <c r="Q173" s="479"/>
      <c r="R173" s="479"/>
      <c r="S173" s="479"/>
      <c r="T173" s="479"/>
      <c r="U173" s="479"/>
      <c r="V173" s="479"/>
      <c r="W173" s="479"/>
      <c r="X173" s="479"/>
      <c r="Y173" s="479"/>
      <c r="Z173" s="479"/>
      <c r="AA173" s="479"/>
    </row>
    <row r="174" spans="1:30" x14ac:dyDescent="0.15">
      <c r="C174" s="552" t="s">
        <v>188</v>
      </c>
      <c r="D174" s="553"/>
      <c r="E174" s="554"/>
      <c r="F174" s="65" t="str">
        <f>IF(AC172=0,"",AC172)</f>
        <v/>
      </c>
      <c r="H174" s="479"/>
      <c r="I174" s="479"/>
      <c r="J174" s="479"/>
      <c r="K174" s="479"/>
      <c r="L174" s="479"/>
      <c r="M174" s="479"/>
      <c r="N174" s="479"/>
      <c r="O174" s="479"/>
      <c r="P174" s="479"/>
      <c r="Q174" s="479"/>
      <c r="R174" s="479"/>
      <c r="S174" s="479"/>
      <c r="T174" s="479"/>
      <c r="U174" s="479"/>
      <c r="V174" s="479"/>
      <c r="W174" s="479"/>
      <c r="X174" s="479"/>
      <c r="Y174" s="479"/>
      <c r="Z174" s="479"/>
      <c r="AA174" s="479"/>
    </row>
    <row r="175" spans="1:30" x14ac:dyDescent="0.15">
      <c r="C175" s="560" t="s">
        <v>211</v>
      </c>
      <c r="D175" s="560"/>
      <c r="E175" s="560"/>
      <c r="F175" s="560"/>
      <c r="G175" s="560"/>
      <c r="H175" s="560"/>
      <c r="I175" s="560"/>
      <c r="J175" s="560"/>
      <c r="K175" s="560"/>
      <c r="L175" s="560"/>
      <c r="M175" s="560"/>
      <c r="N175" s="560"/>
      <c r="O175" s="560"/>
      <c r="P175" s="560"/>
      <c r="Q175" s="560"/>
      <c r="R175" s="560"/>
      <c r="S175" s="560"/>
      <c r="T175" s="560"/>
      <c r="U175" s="560"/>
      <c r="V175" s="560"/>
      <c r="W175" s="560"/>
      <c r="X175" s="560"/>
      <c r="Y175" s="560"/>
      <c r="Z175" s="560"/>
      <c r="AA175" s="560"/>
    </row>
    <row r="176" spans="1:30" x14ac:dyDescent="0.15">
      <c r="H176" s="47"/>
      <c r="I176" s="47"/>
      <c r="J176" s="47"/>
      <c r="K176" s="47"/>
      <c r="L176" s="47"/>
      <c r="M176" s="47"/>
      <c r="N176" s="47"/>
      <c r="O176" s="47"/>
      <c r="P176" s="47"/>
      <c r="Q176" s="47"/>
      <c r="R176" s="47"/>
      <c r="S176" s="47"/>
      <c r="T176" s="47"/>
      <c r="U176" s="47"/>
      <c r="V176" s="47"/>
      <c r="W176" s="47"/>
      <c r="X176" s="47"/>
      <c r="Y176" s="47"/>
      <c r="Z176" s="47"/>
      <c r="AA176" s="47"/>
    </row>
    <row r="177" spans="2:29" x14ac:dyDescent="0.15">
      <c r="B177" s="119"/>
      <c r="C177" s="1" t="s">
        <v>72</v>
      </c>
      <c r="H177" s="1" t="s">
        <v>208</v>
      </c>
      <c r="AC177" s="4">
        <f>IF(AND(B177="✔",N181&gt;=40,OR(N180="ささら子下見板",N180="押縁下見板",N180="南京下見板")),2,0)</f>
        <v>0</v>
      </c>
    </row>
    <row r="178" spans="2:29" x14ac:dyDescent="0.15">
      <c r="C178" s="48" t="s">
        <v>111</v>
      </c>
      <c r="H178" s="478" t="s">
        <v>75</v>
      </c>
      <c r="I178" s="478"/>
      <c r="J178" s="478"/>
      <c r="K178" s="478"/>
      <c r="L178" s="478"/>
      <c r="M178" s="478"/>
      <c r="N178" s="478"/>
      <c r="O178" s="478"/>
      <c r="P178" s="478" t="s">
        <v>69</v>
      </c>
      <c r="Q178" s="478"/>
      <c r="R178" s="478"/>
      <c r="S178" s="478"/>
      <c r="T178" s="478"/>
      <c r="U178" s="478"/>
      <c r="V178" s="478"/>
      <c r="W178" s="478"/>
      <c r="X178" s="478"/>
      <c r="Y178" s="478"/>
      <c r="Z178" s="478"/>
      <c r="AA178" s="478"/>
    </row>
    <row r="179" spans="2:29" x14ac:dyDescent="0.15">
      <c r="C179" s="443" t="s">
        <v>188</v>
      </c>
      <c r="D179" s="444"/>
      <c r="E179" s="445"/>
      <c r="F179" s="65" t="str">
        <f>IF(AC177=0,"",AC177)</f>
        <v/>
      </c>
      <c r="H179" s="478" t="s">
        <v>76</v>
      </c>
      <c r="I179" s="478"/>
      <c r="J179" s="478"/>
      <c r="K179" s="478"/>
      <c r="L179" s="478"/>
      <c r="M179" s="478"/>
      <c r="N179" s="478"/>
      <c r="O179" s="478"/>
      <c r="P179" s="478" t="s">
        <v>70</v>
      </c>
      <c r="Q179" s="478"/>
      <c r="R179" s="478"/>
      <c r="S179" s="478"/>
      <c r="T179" s="478"/>
      <c r="U179" s="478"/>
      <c r="V179" s="478"/>
      <c r="W179" s="478"/>
      <c r="X179" s="478"/>
      <c r="Y179" s="478"/>
      <c r="Z179" s="478"/>
      <c r="AA179" s="478"/>
    </row>
    <row r="180" spans="2:29" x14ac:dyDescent="0.15">
      <c r="H180" s="1" t="s">
        <v>124</v>
      </c>
      <c r="N180" s="454"/>
      <c r="O180" s="455"/>
      <c r="P180" s="455"/>
      <c r="Q180" s="455"/>
      <c r="R180" s="455"/>
      <c r="S180" s="456"/>
      <c r="AB180" s="5" t="str">
        <f>IF(AND(B177="✔",N180=""),"←リストから選択してください（ささら子下見板、押縁下見板、南京下見板）","")</f>
        <v/>
      </c>
    </row>
    <row r="181" spans="2:29" x14ac:dyDescent="0.15">
      <c r="H181" s="16" t="s">
        <v>125</v>
      </c>
      <c r="N181" s="480"/>
      <c r="O181" s="481"/>
      <c r="P181" s="482"/>
      <c r="AB181" s="5" t="str">
        <f>IF(AND(B177="✔",N181=""),"←施工面積を入力してください。","")</f>
        <v/>
      </c>
    </row>
    <row r="182" spans="2:29" x14ac:dyDescent="0.15">
      <c r="C182" s="483" t="s">
        <v>212</v>
      </c>
      <c r="D182" s="483"/>
      <c r="E182" s="483"/>
      <c r="F182" s="483"/>
      <c r="G182" s="483"/>
      <c r="H182" s="483"/>
      <c r="I182" s="483"/>
      <c r="J182" s="483"/>
      <c r="K182" s="483"/>
      <c r="L182" s="483"/>
      <c r="M182" s="483"/>
      <c r="N182" s="483"/>
      <c r="O182" s="483"/>
      <c r="P182" s="483"/>
      <c r="Q182" s="483"/>
      <c r="R182" s="483"/>
      <c r="S182" s="483"/>
      <c r="T182" s="483"/>
      <c r="U182" s="483"/>
      <c r="V182" s="483"/>
      <c r="W182" s="483"/>
      <c r="X182" s="483"/>
      <c r="Y182" s="483"/>
      <c r="Z182" s="483"/>
      <c r="AA182" s="483"/>
    </row>
    <row r="183" spans="2:29" ht="8.1" customHeight="1" x14ac:dyDescent="0.15"/>
    <row r="184" spans="2:29" x14ac:dyDescent="0.15">
      <c r="B184" s="119"/>
      <c r="C184" s="1" t="s">
        <v>73</v>
      </c>
      <c r="H184" s="69" t="s">
        <v>219</v>
      </c>
      <c r="AC184" s="4">
        <f>IF(AND(B184="✔",N188&gt;=40),2,IF(AND(B184="✔",N188+N189&gt;=40),1,0))</f>
        <v>0</v>
      </c>
    </row>
    <row r="185" spans="2:29" x14ac:dyDescent="0.15">
      <c r="C185" s="1" t="s">
        <v>185</v>
      </c>
      <c r="H185" s="69" t="s">
        <v>220</v>
      </c>
    </row>
    <row r="186" spans="2:29" x14ac:dyDescent="0.15">
      <c r="C186" s="552" t="s">
        <v>188</v>
      </c>
      <c r="D186" s="553"/>
      <c r="E186" s="554"/>
      <c r="F186" s="65" t="str">
        <f>IF(AC184=0,"",AC184)</f>
        <v/>
      </c>
      <c r="H186" s="1" t="s">
        <v>221</v>
      </c>
    </row>
    <row r="187" spans="2:29" x14ac:dyDescent="0.15">
      <c r="H187" s="29" t="s">
        <v>214</v>
      </c>
      <c r="AB187" s="70" t="str">
        <f>IF(AND(N188&gt;0,R188=""),"←こて塗り仕上げの材料を選択してください。",IF(AND(R188="その他のこて塗り",V188=""),"←こて塗りの材料を記載してください。",""))</f>
        <v/>
      </c>
    </row>
    <row r="188" spans="2:29" x14ac:dyDescent="0.15">
      <c r="B188" s="16" t="s">
        <v>210</v>
      </c>
      <c r="N188" s="454"/>
      <c r="O188" s="455"/>
      <c r="P188" s="456"/>
      <c r="Q188" s="1" t="s">
        <v>187</v>
      </c>
      <c r="R188" s="551"/>
      <c r="S188" s="551"/>
      <c r="T188" s="551"/>
      <c r="U188" s="551"/>
      <c r="V188" s="546"/>
      <c r="W188" s="547"/>
      <c r="X188" s="547"/>
      <c r="Y188" s="547"/>
      <c r="Z188" s="547"/>
      <c r="AB188" s="5" t="str">
        <f>IF(AND(B184="✔",N188=""),"←こて塗り（珪藻土及びじゅらく以外）の面積を入力してください。","")</f>
        <v/>
      </c>
      <c r="AC188" s="70"/>
    </row>
    <row r="189" spans="2:29" x14ac:dyDescent="0.15">
      <c r="B189" s="16" t="s">
        <v>186</v>
      </c>
      <c r="N189" s="454"/>
      <c r="O189" s="455"/>
      <c r="P189" s="456"/>
      <c r="Q189" s="1" t="s">
        <v>187</v>
      </c>
      <c r="R189" s="551"/>
      <c r="S189" s="551"/>
      <c r="T189" s="551"/>
      <c r="U189" s="551"/>
      <c r="V189" s="546"/>
      <c r="W189" s="547"/>
      <c r="X189" s="547"/>
      <c r="Y189" s="547"/>
      <c r="Z189" s="547"/>
      <c r="AB189" s="5" t="str">
        <f>IF(AND(B184="✔",N189=""),"←こて塗り（珪藻土及びじゅらく）の面積を入力してください。","")</f>
        <v/>
      </c>
      <c r="AC189" s="70"/>
    </row>
    <row r="190" spans="2:29" x14ac:dyDescent="0.15">
      <c r="C190" s="55" t="s">
        <v>215</v>
      </c>
      <c r="AB190" s="70" t="str">
        <f>IF(AND(N189&gt;0,R189=""),"こて塗り仕上げの材料を選択してください。",IF(AND(R189="その他のこて塗り",V189=""),"←こて塗りの材料を記載してください。",""))</f>
        <v/>
      </c>
    </row>
    <row r="191" spans="2:29" ht="8.1" customHeight="1" x14ac:dyDescent="0.15"/>
    <row r="192" spans="2:29" x14ac:dyDescent="0.15">
      <c r="B192" s="119"/>
      <c r="C192" s="1" t="s">
        <v>107</v>
      </c>
      <c r="H192" s="479" t="s">
        <v>108</v>
      </c>
      <c r="I192" s="479"/>
      <c r="J192" s="479"/>
      <c r="K192" s="479"/>
      <c r="L192" s="479"/>
      <c r="M192" s="479"/>
      <c r="N192" s="479"/>
      <c r="O192" s="479"/>
      <c r="P192" s="479"/>
      <c r="Q192" s="479"/>
      <c r="R192" s="479"/>
      <c r="S192" s="479"/>
      <c r="T192" s="479"/>
      <c r="U192" s="479"/>
      <c r="V192" s="479"/>
      <c r="W192" s="479"/>
      <c r="X192" s="479"/>
      <c r="Y192" s="479"/>
      <c r="Z192" s="479"/>
      <c r="AA192" s="479"/>
      <c r="AC192" s="4">
        <f>IF(AND(B192="✔",OR(N195="和瓦",N195="平板瓦",N195="S瓦")),2,0)</f>
        <v>0</v>
      </c>
    </row>
    <row r="193" spans="2:29" x14ac:dyDescent="0.15">
      <c r="C193" s="48" t="s">
        <v>111</v>
      </c>
      <c r="H193" s="479"/>
      <c r="I193" s="479"/>
      <c r="J193" s="479"/>
      <c r="K193" s="479"/>
      <c r="L193" s="479"/>
      <c r="M193" s="479"/>
      <c r="N193" s="479"/>
      <c r="O193" s="479"/>
      <c r="P193" s="479"/>
      <c r="Q193" s="479"/>
      <c r="R193" s="479"/>
      <c r="S193" s="479"/>
      <c r="T193" s="479"/>
      <c r="U193" s="479"/>
      <c r="V193" s="479"/>
      <c r="W193" s="479"/>
      <c r="X193" s="479"/>
      <c r="Y193" s="479"/>
      <c r="Z193" s="479"/>
      <c r="AA193" s="479"/>
    </row>
    <row r="194" spans="2:29" x14ac:dyDescent="0.15">
      <c r="C194" s="552" t="s">
        <v>188</v>
      </c>
      <c r="D194" s="553"/>
      <c r="E194" s="554"/>
      <c r="F194" s="65" t="str">
        <f>IF(AC192=0,"",AC192)</f>
        <v/>
      </c>
      <c r="H194" s="28" t="s">
        <v>113</v>
      </c>
      <c r="I194" s="47"/>
      <c r="J194" s="47"/>
      <c r="K194" s="47"/>
      <c r="L194" s="47"/>
      <c r="M194" s="47"/>
      <c r="N194" s="47"/>
      <c r="O194" s="47"/>
      <c r="P194" s="47"/>
      <c r="Q194" s="47"/>
      <c r="R194" s="47"/>
      <c r="S194" s="47"/>
      <c r="T194" s="47"/>
      <c r="U194" s="47"/>
      <c r="V194" s="47"/>
      <c r="W194" s="47"/>
      <c r="X194" s="47"/>
      <c r="Y194" s="47"/>
      <c r="Z194" s="47"/>
      <c r="AA194" s="47"/>
    </row>
    <row r="195" spans="2:29" x14ac:dyDescent="0.15">
      <c r="I195" s="561" t="s">
        <v>118</v>
      </c>
      <c r="J195" s="561"/>
      <c r="K195" s="561"/>
      <c r="L195" s="561"/>
      <c r="M195" s="47"/>
      <c r="N195" s="436"/>
      <c r="O195" s="437"/>
      <c r="P195" s="438"/>
      <c r="Q195" s="47"/>
      <c r="R195" s="47"/>
      <c r="S195" s="47"/>
      <c r="T195" s="47"/>
      <c r="U195" s="47"/>
      <c r="V195" s="47"/>
      <c r="W195" s="47"/>
      <c r="X195" s="47"/>
      <c r="Y195" s="47"/>
      <c r="Z195" s="47"/>
      <c r="AA195" s="47"/>
      <c r="AB195" s="5" t="str">
        <f>IF(AND(B192="✔",N195=""),"←リストから選択してください（和瓦、平板瓦、S瓦）","")</f>
        <v/>
      </c>
    </row>
    <row r="196" spans="2:29" x14ac:dyDescent="0.15">
      <c r="C196" s="485" t="s">
        <v>239</v>
      </c>
      <c r="D196" s="485"/>
      <c r="E196" s="485"/>
      <c r="F196" s="485"/>
      <c r="G196" s="485"/>
      <c r="H196" s="485"/>
      <c r="I196" s="485"/>
      <c r="J196" s="485"/>
      <c r="K196" s="485"/>
      <c r="L196" s="485"/>
      <c r="M196" s="485"/>
      <c r="N196" s="485"/>
      <c r="O196" s="485"/>
      <c r="P196" s="485"/>
      <c r="Q196" s="485"/>
      <c r="R196" s="485"/>
      <c r="S196" s="485"/>
      <c r="T196" s="485"/>
      <c r="U196" s="485"/>
      <c r="V196" s="485"/>
      <c r="W196" s="485"/>
      <c r="X196" s="485"/>
      <c r="Y196" s="485"/>
      <c r="Z196" s="485"/>
      <c r="AA196" s="485"/>
    </row>
    <row r="197" spans="2:29" x14ac:dyDescent="0.15">
      <c r="C197" s="485"/>
      <c r="D197" s="485"/>
      <c r="E197" s="485"/>
      <c r="F197" s="485"/>
      <c r="G197" s="485"/>
      <c r="H197" s="485"/>
      <c r="I197" s="485"/>
      <c r="J197" s="485"/>
      <c r="K197" s="485"/>
      <c r="L197" s="485"/>
      <c r="M197" s="485"/>
      <c r="N197" s="485"/>
      <c r="O197" s="485"/>
      <c r="P197" s="485"/>
      <c r="Q197" s="485"/>
      <c r="R197" s="485"/>
      <c r="S197" s="485"/>
      <c r="T197" s="485"/>
      <c r="U197" s="485"/>
      <c r="V197" s="485"/>
      <c r="W197" s="485"/>
      <c r="X197" s="485"/>
      <c r="Y197" s="485"/>
      <c r="Z197" s="485"/>
      <c r="AA197" s="485"/>
    </row>
    <row r="198" spans="2:29" x14ac:dyDescent="0.15">
      <c r="C198" s="485"/>
      <c r="D198" s="485"/>
      <c r="E198" s="485"/>
      <c r="F198" s="485"/>
      <c r="G198" s="485"/>
      <c r="H198" s="485"/>
      <c r="I198" s="485"/>
      <c r="J198" s="485"/>
      <c r="K198" s="485"/>
      <c r="L198" s="485"/>
      <c r="M198" s="485"/>
      <c r="N198" s="485"/>
      <c r="O198" s="485"/>
      <c r="P198" s="485"/>
      <c r="Q198" s="485"/>
      <c r="R198" s="485"/>
      <c r="S198" s="485"/>
      <c r="T198" s="485"/>
      <c r="U198" s="485"/>
      <c r="V198" s="485"/>
      <c r="W198" s="485"/>
      <c r="X198" s="485"/>
      <c r="Y198" s="485"/>
      <c r="Z198" s="485"/>
      <c r="AA198" s="485"/>
    </row>
    <row r="199" spans="2:29" ht="6" customHeight="1" x14ac:dyDescent="0.15"/>
    <row r="200" spans="2:29" x14ac:dyDescent="0.15">
      <c r="B200" s="119"/>
      <c r="C200" s="1" t="s">
        <v>74</v>
      </c>
      <c r="H200" s="479" t="s">
        <v>209</v>
      </c>
      <c r="I200" s="479"/>
      <c r="J200" s="479"/>
      <c r="K200" s="479"/>
      <c r="L200" s="479"/>
      <c r="M200" s="479"/>
      <c r="N200" s="479"/>
      <c r="O200" s="479"/>
      <c r="P200" s="479"/>
      <c r="Q200" s="479"/>
      <c r="R200" s="479"/>
      <c r="S200" s="479"/>
      <c r="T200" s="479"/>
      <c r="U200" s="479"/>
      <c r="V200" s="479"/>
      <c r="W200" s="479"/>
      <c r="X200" s="479"/>
      <c r="Y200" s="479"/>
      <c r="Z200" s="479"/>
      <c r="AA200" s="479"/>
      <c r="AC200" s="4">
        <f>IF(AND(B200="✔",N205&gt;=10),2,IF(AND(B200="✔",N205&gt;=5),1,0))</f>
        <v>0</v>
      </c>
    </row>
    <row r="201" spans="2:29" x14ac:dyDescent="0.15">
      <c r="C201" s="1" t="s">
        <v>112</v>
      </c>
      <c r="H201" s="479"/>
      <c r="I201" s="479"/>
      <c r="J201" s="479"/>
      <c r="K201" s="479"/>
      <c r="L201" s="479"/>
      <c r="M201" s="479"/>
      <c r="N201" s="479"/>
      <c r="O201" s="479"/>
      <c r="P201" s="479"/>
      <c r="Q201" s="479"/>
      <c r="R201" s="479"/>
      <c r="S201" s="479"/>
      <c r="T201" s="479"/>
      <c r="U201" s="479"/>
      <c r="V201" s="479"/>
      <c r="W201" s="479"/>
      <c r="X201" s="479"/>
      <c r="Y201" s="479"/>
      <c r="Z201" s="479"/>
      <c r="AA201" s="479"/>
    </row>
    <row r="202" spans="2:29" x14ac:dyDescent="0.15">
      <c r="C202" s="552" t="s">
        <v>188</v>
      </c>
      <c r="D202" s="553"/>
      <c r="E202" s="554"/>
      <c r="F202" s="65" t="str">
        <f>IF(AC200=0,"",AC200)</f>
        <v/>
      </c>
      <c r="H202" s="479"/>
      <c r="I202" s="479"/>
      <c r="J202" s="479"/>
      <c r="K202" s="479"/>
      <c r="L202" s="479"/>
      <c r="M202" s="479"/>
      <c r="N202" s="479"/>
      <c r="O202" s="479"/>
      <c r="P202" s="479"/>
      <c r="Q202" s="479"/>
      <c r="R202" s="479"/>
      <c r="S202" s="479"/>
      <c r="T202" s="479"/>
      <c r="U202" s="479"/>
      <c r="V202" s="479"/>
      <c r="W202" s="479"/>
      <c r="X202" s="479"/>
      <c r="Y202" s="479"/>
      <c r="Z202" s="479"/>
      <c r="AA202" s="479"/>
    </row>
    <row r="203" spans="2:29" ht="13.5" customHeight="1" x14ac:dyDescent="0.15">
      <c r="H203" s="478" t="s">
        <v>77</v>
      </c>
      <c r="I203" s="478"/>
      <c r="J203" s="478"/>
      <c r="K203" s="478"/>
      <c r="L203" s="478"/>
      <c r="M203" s="478"/>
      <c r="N203" s="478"/>
      <c r="O203" s="478"/>
      <c r="P203" s="477" t="s">
        <v>79</v>
      </c>
      <c r="Q203" s="477"/>
      <c r="R203" s="477"/>
      <c r="S203" s="477"/>
      <c r="T203" s="477"/>
      <c r="U203" s="477"/>
      <c r="V203" s="477"/>
      <c r="W203" s="477"/>
      <c r="X203" s="477"/>
      <c r="Y203" s="477"/>
      <c r="Z203" s="477"/>
      <c r="AA203" s="477"/>
    </row>
    <row r="204" spans="2:29" x14ac:dyDescent="0.15">
      <c r="H204" s="478" t="s">
        <v>78</v>
      </c>
      <c r="I204" s="478"/>
      <c r="J204" s="478"/>
      <c r="K204" s="478"/>
      <c r="L204" s="478"/>
      <c r="M204" s="478"/>
      <c r="N204" s="478"/>
      <c r="O204" s="478"/>
      <c r="P204" s="478" t="s">
        <v>80</v>
      </c>
      <c r="Q204" s="478"/>
      <c r="R204" s="478"/>
      <c r="S204" s="478"/>
      <c r="T204" s="478"/>
      <c r="U204" s="478"/>
      <c r="V204" s="478"/>
      <c r="W204" s="478"/>
      <c r="X204" s="478"/>
      <c r="Y204" s="478"/>
      <c r="Z204" s="478"/>
      <c r="AA204" s="478"/>
    </row>
    <row r="205" spans="2:29" x14ac:dyDescent="0.15">
      <c r="G205" s="1" t="s">
        <v>119</v>
      </c>
      <c r="N205" s="454"/>
      <c r="O205" s="455"/>
      <c r="P205" s="456"/>
      <c r="Q205" s="1" t="s">
        <v>109</v>
      </c>
      <c r="AB205" s="5" t="str">
        <f>IF(AND(B200="✔",N205=""),"←見付面積を入力してください。","")</f>
        <v/>
      </c>
    </row>
    <row r="206" spans="2:29" x14ac:dyDescent="0.15">
      <c r="C206" s="485" t="s">
        <v>216</v>
      </c>
      <c r="D206" s="485"/>
      <c r="E206" s="485"/>
      <c r="F206" s="485"/>
      <c r="G206" s="485"/>
      <c r="H206" s="485"/>
      <c r="I206" s="485"/>
      <c r="J206" s="485"/>
      <c r="K206" s="485"/>
      <c r="L206" s="485"/>
      <c r="M206" s="485"/>
      <c r="N206" s="485"/>
      <c r="O206" s="485"/>
      <c r="P206" s="485"/>
      <c r="Q206" s="485"/>
      <c r="R206" s="485"/>
      <c r="S206" s="485"/>
      <c r="T206" s="485"/>
      <c r="U206" s="485"/>
      <c r="V206" s="485"/>
      <c r="W206" s="485"/>
      <c r="X206" s="485"/>
      <c r="Y206" s="485"/>
      <c r="Z206" s="485"/>
      <c r="AA206" s="485"/>
    </row>
    <row r="207" spans="2:29" x14ac:dyDescent="0.15">
      <c r="C207" s="485"/>
      <c r="D207" s="485"/>
      <c r="E207" s="485"/>
      <c r="F207" s="485"/>
      <c r="G207" s="485"/>
      <c r="H207" s="485"/>
      <c r="I207" s="485"/>
      <c r="J207" s="485"/>
      <c r="K207" s="485"/>
      <c r="L207" s="485"/>
      <c r="M207" s="485"/>
      <c r="N207" s="485"/>
      <c r="O207" s="485"/>
      <c r="P207" s="485"/>
      <c r="Q207" s="485"/>
      <c r="R207" s="485"/>
      <c r="S207" s="485"/>
      <c r="T207" s="485"/>
      <c r="U207" s="485"/>
      <c r="V207" s="485"/>
      <c r="W207" s="485"/>
      <c r="X207" s="485"/>
      <c r="Y207" s="485"/>
      <c r="Z207" s="485"/>
      <c r="AA207" s="485"/>
    </row>
    <row r="208" spans="2:29" x14ac:dyDescent="0.15">
      <c r="C208" s="485"/>
      <c r="D208" s="485"/>
      <c r="E208" s="485"/>
      <c r="F208" s="485"/>
      <c r="G208" s="485"/>
      <c r="H208" s="485"/>
      <c r="I208" s="485"/>
      <c r="J208" s="485"/>
      <c r="K208" s="485"/>
      <c r="L208" s="485"/>
      <c r="M208" s="485"/>
      <c r="N208" s="485"/>
      <c r="O208" s="485"/>
      <c r="P208" s="485"/>
      <c r="Q208" s="485"/>
      <c r="R208" s="485"/>
      <c r="S208" s="485"/>
      <c r="T208" s="485"/>
      <c r="U208" s="485"/>
      <c r="V208" s="485"/>
      <c r="W208" s="485"/>
      <c r="X208" s="485"/>
      <c r="Y208" s="485"/>
      <c r="Z208" s="485"/>
      <c r="AA208" s="485"/>
    </row>
    <row r="209" spans="2:29" ht="8.1" customHeight="1" x14ac:dyDescent="0.15">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row>
    <row r="210" spans="2:29" x14ac:dyDescent="0.15">
      <c r="B210" s="119"/>
      <c r="C210" s="1" t="s">
        <v>120</v>
      </c>
      <c r="H210" s="479" t="s">
        <v>207</v>
      </c>
      <c r="I210" s="479"/>
      <c r="J210" s="479"/>
      <c r="K210" s="479"/>
      <c r="L210" s="479"/>
      <c r="M210" s="479"/>
      <c r="N210" s="479"/>
      <c r="O210" s="479"/>
      <c r="P210" s="479"/>
      <c r="Q210" s="479"/>
      <c r="R210" s="479"/>
      <c r="S210" s="479"/>
      <c r="T210" s="479"/>
      <c r="U210" s="479"/>
      <c r="V210" s="479"/>
      <c r="W210" s="479"/>
      <c r="X210" s="479"/>
      <c r="Y210" s="479"/>
      <c r="Z210" s="479"/>
      <c r="AA210" s="479"/>
      <c r="AC210" s="4">
        <f>IF(AND(B210="✔",N212&gt;=6),1,0)</f>
        <v>0</v>
      </c>
    </row>
    <row r="211" spans="2:29" x14ac:dyDescent="0.15">
      <c r="C211" s="1" t="s">
        <v>121</v>
      </c>
      <c r="H211" s="479"/>
      <c r="I211" s="479"/>
      <c r="J211" s="479"/>
      <c r="K211" s="479"/>
      <c r="L211" s="479"/>
      <c r="M211" s="479"/>
      <c r="N211" s="479"/>
      <c r="O211" s="479"/>
      <c r="P211" s="479"/>
      <c r="Q211" s="479"/>
      <c r="R211" s="479"/>
      <c r="S211" s="479"/>
      <c r="T211" s="479"/>
      <c r="U211" s="479"/>
      <c r="V211" s="479"/>
      <c r="W211" s="479"/>
      <c r="X211" s="479"/>
      <c r="Y211" s="479"/>
      <c r="Z211" s="479"/>
      <c r="AA211" s="479"/>
    </row>
    <row r="212" spans="2:29" x14ac:dyDescent="0.15">
      <c r="C212" s="552" t="s">
        <v>188</v>
      </c>
      <c r="D212" s="553"/>
      <c r="E212" s="554"/>
      <c r="F212" s="65" t="str">
        <f>IF(AC210=0,"",AC210)</f>
        <v/>
      </c>
      <c r="I212" s="1" t="s">
        <v>122</v>
      </c>
      <c r="N212" s="454"/>
      <c r="O212" s="455"/>
      <c r="P212" s="456"/>
      <c r="Q212" s="1" t="s">
        <v>123</v>
      </c>
      <c r="AB212" s="5" t="str">
        <f>IF(AND(B210="✔",N212=""),"←畳の数量を入力してください。","")</f>
        <v/>
      </c>
    </row>
    <row r="213" spans="2:29" x14ac:dyDescent="0.15">
      <c r="C213" s="485" t="s">
        <v>217</v>
      </c>
      <c r="D213" s="485"/>
      <c r="E213" s="485"/>
      <c r="F213" s="485"/>
      <c r="G213" s="485"/>
      <c r="H213" s="485"/>
      <c r="I213" s="485"/>
      <c r="J213" s="485"/>
      <c r="K213" s="485"/>
      <c r="L213" s="485"/>
      <c r="M213" s="485"/>
      <c r="N213" s="485"/>
      <c r="O213" s="485"/>
      <c r="P213" s="485"/>
      <c r="Q213" s="485"/>
      <c r="R213" s="485"/>
      <c r="S213" s="485"/>
      <c r="T213" s="485"/>
      <c r="U213" s="485"/>
      <c r="V213" s="485"/>
      <c r="W213" s="485"/>
      <c r="X213" s="485"/>
      <c r="Y213" s="485"/>
      <c r="Z213" s="485"/>
      <c r="AA213" s="485"/>
    </row>
    <row r="214" spans="2:29" x14ac:dyDescent="0.15">
      <c r="C214" s="485"/>
      <c r="D214" s="485"/>
      <c r="E214" s="485"/>
      <c r="F214" s="485"/>
      <c r="G214" s="485"/>
      <c r="H214" s="485"/>
      <c r="I214" s="485"/>
      <c r="J214" s="485"/>
      <c r="K214" s="485"/>
      <c r="L214" s="485"/>
      <c r="M214" s="485"/>
      <c r="N214" s="485"/>
      <c r="O214" s="485"/>
      <c r="P214" s="485"/>
      <c r="Q214" s="485"/>
      <c r="R214" s="485"/>
      <c r="S214" s="485"/>
      <c r="T214" s="485"/>
      <c r="U214" s="485"/>
      <c r="V214" s="485"/>
      <c r="W214" s="485"/>
      <c r="X214" s="485"/>
      <c r="Y214" s="485"/>
      <c r="Z214" s="485"/>
      <c r="AA214" s="485"/>
    </row>
    <row r="215" spans="2:29" x14ac:dyDescent="0.15">
      <c r="C215" s="485"/>
      <c r="D215" s="485"/>
      <c r="E215" s="485"/>
      <c r="F215" s="485"/>
      <c r="G215" s="485"/>
      <c r="H215" s="485"/>
      <c r="I215" s="485"/>
      <c r="J215" s="485"/>
      <c r="K215" s="485"/>
      <c r="L215" s="485"/>
      <c r="M215" s="485"/>
      <c r="N215" s="485"/>
      <c r="O215" s="485"/>
      <c r="P215" s="485"/>
      <c r="Q215" s="485"/>
      <c r="R215" s="485"/>
      <c r="S215" s="485"/>
      <c r="T215" s="485"/>
      <c r="U215" s="485"/>
      <c r="V215" s="485"/>
      <c r="W215" s="485"/>
      <c r="X215" s="485"/>
      <c r="Y215" s="485"/>
      <c r="Z215" s="485"/>
      <c r="AA215" s="485"/>
    </row>
    <row r="217" spans="2:29" ht="13.5" customHeight="1" x14ac:dyDescent="0.15">
      <c r="B217" s="119"/>
      <c r="C217" s="558" t="s">
        <v>204</v>
      </c>
      <c r="D217" s="559"/>
      <c r="E217" s="559"/>
      <c r="F217" s="559"/>
      <c r="G217" s="559"/>
      <c r="H217" s="562" t="s">
        <v>229</v>
      </c>
      <c r="I217" s="562"/>
      <c r="J217" s="562"/>
      <c r="K217" s="562"/>
      <c r="L217" s="562"/>
      <c r="M217" s="562"/>
      <c r="N217" s="562"/>
      <c r="O217" s="562"/>
      <c r="P217" s="562"/>
      <c r="Q217" s="562"/>
      <c r="R217" s="562"/>
      <c r="S217" s="562"/>
      <c r="T217" s="562"/>
      <c r="U217" s="562"/>
      <c r="V217" s="562"/>
      <c r="W217" s="562"/>
      <c r="X217" s="562"/>
      <c r="Y217" s="562"/>
      <c r="Z217" s="562"/>
      <c r="AA217" s="562"/>
      <c r="AC217" s="4">
        <f>IF(AND(B217="✔",N223&gt;=20),2,IF(AND(B217="✔",N223&gt;=10),1,0))</f>
        <v>0</v>
      </c>
    </row>
    <row r="218" spans="2:29" ht="13.5" customHeight="1" x14ac:dyDescent="0.15">
      <c r="C218" s="1" t="s">
        <v>112</v>
      </c>
      <c r="D218" s="42"/>
      <c r="E218" s="42"/>
      <c r="F218" s="42"/>
      <c r="G218" s="42"/>
      <c r="H218" s="562"/>
      <c r="I218" s="562"/>
      <c r="J218" s="562"/>
      <c r="K218" s="562"/>
      <c r="L218" s="562"/>
      <c r="M218" s="562"/>
      <c r="N218" s="562"/>
      <c r="O218" s="562"/>
      <c r="P218" s="562"/>
      <c r="Q218" s="562"/>
      <c r="R218" s="562"/>
      <c r="S218" s="562"/>
      <c r="T218" s="562"/>
      <c r="U218" s="562"/>
      <c r="V218" s="562"/>
      <c r="W218" s="562"/>
      <c r="X218" s="562"/>
      <c r="Y218" s="562"/>
      <c r="Z218" s="562"/>
      <c r="AA218" s="562"/>
    </row>
    <row r="219" spans="2:29" x14ac:dyDescent="0.15">
      <c r="C219" s="552" t="s">
        <v>188</v>
      </c>
      <c r="D219" s="553"/>
      <c r="E219" s="554"/>
      <c r="F219" s="65" t="str">
        <f>IF(AC217=0,"",AC217)</f>
        <v/>
      </c>
      <c r="H219" s="562"/>
      <c r="I219" s="562"/>
      <c r="J219" s="562"/>
      <c r="K219" s="562"/>
      <c r="L219" s="562"/>
      <c r="M219" s="562"/>
      <c r="N219" s="562"/>
      <c r="O219" s="562"/>
      <c r="P219" s="562"/>
      <c r="Q219" s="562"/>
      <c r="R219" s="562"/>
      <c r="S219" s="562"/>
      <c r="T219" s="562"/>
      <c r="U219" s="562"/>
      <c r="V219" s="562"/>
      <c r="W219" s="562"/>
      <c r="X219" s="562"/>
      <c r="Y219" s="562"/>
      <c r="Z219" s="562"/>
      <c r="AA219" s="562"/>
    </row>
    <row r="220" spans="2:29" x14ac:dyDescent="0.15">
      <c r="D220" s="47"/>
      <c r="E220" s="47"/>
      <c r="F220" s="47"/>
      <c r="H220" s="562"/>
      <c r="I220" s="562"/>
      <c r="J220" s="562"/>
      <c r="K220" s="562"/>
      <c r="L220" s="562"/>
      <c r="M220" s="562"/>
      <c r="N220" s="562"/>
      <c r="O220" s="562"/>
      <c r="P220" s="562"/>
      <c r="Q220" s="562"/>
      <c r="R220" s="562"/>
      <c r="S220" s="562"/>
      <c r="T220" s="562"/>
      <c r="U220" s="562"/>
      <c r="V220" s="562"/>
      <c r="W220" s="562"/>
      <c r="X220" s="562"/>
      <c r="Y220" s="562"/>
      <c r="Z220" s="562"/>
      <c r="AA220" s="562"/>
    </row>
    <row r="221" spans="2:29" ht="13.5" customHeight="1" x14ac:dyDescent="0.15">
      <c r="H221" s="562"/>
      <c r="I221" s="562"/>
      <c r="J221" s="562"/>
      <c r="K221" s="562"/>
      <c r="L221" s="562"/>
      <c r="M221" s="562"/>
      <c r="N221" s="562"/>
      <c r="O221" s="562"/>
      <c r="P221" s="562"/>
      <c r="Q221" s="562"/>
      <c r="R221" s="562"/>
      <c r="S221" s="562"/>
      <c r="T221" s="562"/>
      <c r="U221" s="562"/>
      <c r="V221" s="562"/>
      <c r="W221" s="562"/>
      <c r="X221" s="562"/>
      <c r="Y221" s="562"/>
      <c r="Z221" s="562"/>
      <c r="AA221" s="562"/>
    </row>
    <row r="222" spans="2:29" x14ac:dyDescent="0.15">
      <c r="C222" s="479" t="s">
        <v>203</v>
      </c>
      <c r="D222" s="479"/>
      <c r="E222" s="479"/>
      <c r="F222" s="479"/>
      <c r="G222" s="479"/>
      <c r="H222" s="479"/>
      <c r="I222" s="479"/>
      <c r="J222" s="479"/>
      <c r="K222" s="479"/>
      <c r="L222" s="479"/>
      <c r="M222" s="10"/>
      <c r="N222" s="10"/>
      <c r="O222" s="10"/>
      <c r="P222" s="10"/>
      <c r="Q222" s="10"/>
      <c r="R222" s="10"/>
      <c r="S222" s="10"/>
      <c r="T222" s="10"/>
      <c r="U222" s="10"/>
      <c r="V222" s="10"/>
      <c r="W222" s="10"/>
      <c r="X222" s="10"/>
      <c r="Y222" s="10"/>
      <c r="Z222" s="10"/>
      <c r="AA222" s="10"/>
    </row>
    <row r="223" spans="2:29" x14ac:dyDescent="0.15">
      <c r="C223" s="479"/>
      <c r="D223" s="479"/>
      <c r="E223" s="479"/>
      <c r="F223" s="479"/>
      <c r="G223" s="479"/>
      <c r="H223" s="479"/>
      <c r="I223" s="479"/>
      <c r="J223" s="479"/>
      <c r="K223" s="479"/>
      <c r="L223" s="479"/>
      <c r="N223" s="454"/>
      <c r="O223" s="455"/>
      <c r="P223" s="456"/>
      <c r="Q223" s="1" t="s">
        <v>109</v>
      </c>
      <c r="AB223" s="5" t="str">
        <f>IF(AND(B217="✔",N223=""),"←小屋組又は床組みの県産材構造現し見上げ面積を入力してください。","")</f>
        <v/>
      </c>
    </row>
    <row r="224" spans="2:29" ht="42" customHeight="1" x14ac:dyDescent="0.15">
      <c r="C224" s="485" t="s">
        <v>228</v>
      </c>
      <c r="D224" s="485"/>
      <c r="E224" s="485"/>
      <c r="F224" s="485"/>
      <c r="G224" s="485"/>
      <c r="H224" s="485"/>
      <c r="I224" s="485"/>
      <c r="J224" s="485"/>
      <c r="K224" s="485"/>
      <c r="L224" s="485"/>
      <c r="M224" s="485"/>
      <c r="N224" s="485"/>
      <c r="O224" s="485"/>
      <c r="P224" s="485"/>
      <c r="Q224" s="485"/>
      <c r="R224" s="485"/>
      <c r="S224" s="485"/>
      <c r="T224" s="485"/>
      <c r="U224" s="485"/>
      <c r="V224" s="485"/>
      <c r="W224" s="485"/>
      <c r="X224" s="485"/>
      <c r="Y224" s="485"/>
      <c r="Z224" s="485"/>
      <c r="AA224" s="485"/>
    </row>
    <row r="225" spans="1:28" x14ac:dyDescent="0.15">
      <c r="B225" s="442" t="s">
        <v>189</v>
      </c>
      <c r="C225" s="442"/>
      <c r="D225" s="442"/>
      <c r="E225" s="442"/>
      <c r="F225" s="66" t="str">
        <f>IF(SUM(F174,F179,F186,F194,F202,F212,F219)=0,"",SUM(F174,F179,F186,F194,F202,F212,F219))</f>
        <v/>
      </c>
      <c r="G225" s="61"/>
      <c r="H225" s="61"/>
      <c r="I225" s="61"/>
      <c r="J225" s="61"/>
      <c r="K225" s="61"/>
      <c r="L225" s="61"/>
      <c r="M225" s="61"/>
      <c r="N225" s="61"/>
      <c r="O225" s="61"/>
      <c r="P225" s="61"/>
      <c r="Q225" s="61"/>
      <c r="R225" s="61"/>
      <c r="S225" s="61"/>
      <c r="T225" s="61"/>
      <c r="U225" s="61"/>
      <c r="V225" s="61"/>
      <c r="W225" s="61"/>
      <c r="X225" s="61"/>
      <c r="Y225" s="61"/>
      <c r="Z225" s="61"/>
      <c r="AA225" s="61"/>
    </row>
    <row r="226" spans="1:28" x14ac:dyDescent="0.15">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40" t="s">
        <v>89</v>
      </c>
    </row>
    <row r="227" spans="1:28" x14ac:dyDescent="0.15">
      <c r="G227" s="42"/>
      <c r="K227" s="563" t="str">
        <f>IFERROR(IF(T231="","",T231+T232),T231)</f>
        <v/>
      </c>
      <c r="L227" s="563"/>
      <c r="M227" s="563"/>
      <c r="AB227" s="134">
        <f>SUM(Y101,Y102,Y103,Y105,Y124,Y139,Y165)</f>
        <v>0</v>
      </c>
    </row>
    <row r="228" spans="1:28" x14ac:dyDescent="0.15">
      <c r="C228" s="1" t="s">
        <v>230</v>
      </c>
      <c r="G228" s="42"/>
      <c r="K228" s="563"/>
      <c r="L228" s="563"/>
      <c r="M228" s="563"/>
      <c r="N228" s="1" t="s">
        <v>81</v>
      </c>
    </row>
    <row r="229" spans="1:28" x14ac:dyDescent="0.15">
      <c r="G229" s="42"/>
    </row>
    <row r="230" spans="1:28" x14ac:dyDescent="0.15">
      <c r="D230" s="1" t="s">
        <v>289</v>
      </c>
      <c r="G230" s="42"/>
    </row>
    <row r="231" spans="1:28" ht="27" customHeight="1" x14ac:dyDescent="0.15">
      <c r="D231" s="417" t="s">
        <v>290</v>
      </c>
      <c r="E231" s="418"/>
      <c r="F231" s="418"/>
      <c r="G231" s="418"/>
      <c r="H231" s="418"/>
      <c r="I231" s="418"/>
      <c r="J231" s="418"/>
      <c r="K231" s="418"/>
      <c r="L231" s="418"/>
      <c r="M231" s="418"/>
      <c r="N231" s="418"/>
      <c r="O231" s="418"/>
      <c r="P231" s="418"/>
      <c r="Q231" s="418"/>
      <c r="R231" s="418"/>
      <c r="S231" s="419"/>
      <c r="T231" s="413" t="str">
        <f>IF(Y106="","",MIN(SUM(Y106,Y124,Y139,Y165),100))</f>
        <v/>
      </c>
      <c r="U231" s="414"/>
      <c r="V231" s="414"/>
      <c r="W231" s="13" t="s">
        <v>292</v>
      </c>
      <c r="X231" s="14"/>
    </row>
    <row r="232" spans="1:28" ht="28.5" customHeight="1" x14ac:dyDescent="0.15">
      <c r="D232" s="420" t="s">
        <v>291</v>
      </c>
      <c r="E232" s="421"/>
      <c r="F232" s="421"/>
      <c r="G232" s="421"/>
      <c r="H232" s="421"/>
      <c r="I232" s="421"/>
      <c r="J232" s="421"/>
      <c r="K232" s="421"/>
      <c r="L232" s="421"/>
      <c r="M232" s="421"/>
      <c r="N232" s="421"/>
      <c r="O232" s="421"/>
      <c r="P232" s="421"/>
      <c r="Q232" s="421"/>
      <c r="R232" s="421"/>
      <c r="S232" s="421"/>
      <c r="T232" s="415" t="str">
        <f>IF(B89="",IF(B64="","",AB232),AB232)</f>
        <v/>
      </c>
      <c r="U232" s="416"/>
      <c r="V232" s="416"/>
      <c r="W232" s="13" t="s">
        <v>292</v>
      </c>
      <c r="X232" s="14"/>
      <c r="AB232" s="4" t="str">
        <f>IFERROR(IF(U52="","",IF(U52="T-G1",10,IF(U52="T-G2",30,IF(U52="T-G3",50,0)))+IF(B66="",IF(U58="『ZEH』",50,IF(U58="Nearly ZEH",50,0)))),0)</f>
        <v/>
      </c>
    </row>
    <row r="233" spans="1:28" x14ac:dyDescent="0.15">
      <c r="G233" s="42"/>
    </row>
    <row r="234" spans="1:28" x14ac:dyDescent="0.15">
      <c r="G234" s="42"/>
    </row>
    <row r="235" spans="1:28" x14ac:dyDescent="0.15">
      <c r="A235" s="16" t="s">
        <v>96</v>
      </c>
      <c r="G235" s="42"/>
    </row>
    <row r="237" spans="1:28" x14ac:dyDescent="0.15">
      <c r="C237" s="1" t="s">
        <v>86</v>
      </c>
    </row>
    <row r="238" spans="1:28" x14ac:dyDescent="0.15">
      <c r="C238" s="28" t="s">
        <v>126</v>
      </c>
    </row>
    <row r="240" spans="1:28" x14ac:dyDescent="0.15">
      <c r="C240" s="1" t="s">
        <v>82</v>
      </c>
    </row>
    <row r="241" spans="1:27" x14ac:dyDescent="0.15">
      <c r="C241" s="1" t="s">
        <v>525</v>
      </c>
    </row>
    <row r="242" spans="1:27" hidden="1" x14ac:dyDescent="0.15">
      <c r="C242" s="1" t="str">
        <f>IF(I75="有","他に利用する補助金一覧表（様式第６号別紙）","")</f>
        <v/>
      </c>
    </row>
    <row r="243" spans="1:27" x14ac:dyDescent="0.15">
      <c r="C243" s="1" t="s">
        <v>249</v>
      </c>
    </row>
    <row r="244" spans="1:27" x14ac:dyDescent="0.15">
      <c r="C244" s="1" t="s">
        <v>258</v>
      </c>
    </row>
    <row r="254" spans="1:27" x14ac:dyDescent="0.15">
      <c r="A254" s="479" t="s">
        <v>526</v>
      </c>
      <c r="B254" s="479"/>
      <c r="C254" s="479"/>
      <c r="D254" s="479"/>
      <c r="E254" s="479"/>
      <c r="F254" s="479"/>
      <c r="G254" s="479"/>
      <c r="H254" s="479"/>
      <c r="I254" s="479"/>
      <c r="J254" s="479"/>
      <c r="K254" s="479"/>
      <c r="L254" s="479"/>
      <c r="M254" s="479"/>
      <c r="N254" s="479"/>
      <c r="O254" s="479"/>
      <c r="P254" s="479"/>
      <c r="Q254" s="479"/>
      <c r="R254" s="479"/>
      <c r="S254" s="479"/>
      <c r="T254" s="479"/>
      <c r="U254" s="479"/>
      <c r="V254" s="479"/>
      <c r="W254" s="479"/>
      <c r="X254" s="479"/>
      <c r="Y254" s="479"/>
      <c r="Z254" s="479"/>
      <c r="AA254" s="479"/>
    </row>
    <row r="255" spans="1:27" x14ac:dyDescent="0.15">
      <c r="A255" s="479"/>
      <c r="B255" s="479"/>
      <c r="C255" s="479"/>
      <c r="D255" s="479"/>
      <c r="E255" s="479"/>
      <c r="F255" s="479"/>
      <c r="G255" s="479"/>
      <c r="H255" s="479"/>
      <c r="I255" s="479"/>
      <c r="J255" s="479"/>
      <c r="K255" s="479"/>
      <c r="L255" s="479"/>
      <c r="M255" s="479"/>
      <c r="N255" s="479"/>
      <c r="O255" s="479"/>
      <c r="P255" s="479"/>
      <c r="Q255" s="479"/>
      <c r="R255" s="479"/>
      <c r="S255" s="479"/>
      <c r="T255" s="479"/>
      <c r="U255" s="479"/>
      <c r="V255" s="479"/>
      <c r="W255" s="479"/>
      <c r="X255" s="479"/>
      <c r="Y255" s="479"/>
      <c r="Z255" s="479"/>
      <c r="AA255" s="479"/>
    </row>
    <row r="257" spans="1:28" ht="17.25" customHeight="1" x14ac:dyDescent="0.15">
      <c r="J257" s="557" t="s">
        <v>226</v>
      </c>
      <c r="K257" s="460"/>
      <c r="L257" s="460"/>
      <c r="M257" s="460"/>
      <c r="N257" s="460"/>
      <c r="O257" s="460"/>
      <c r="P257" s="460"/>
      <c r="Q257" s="460"/>
      <c r="R257" s="460"/>
      <c r="S257" s="460"/>
      <c r="T257" s="460"/>
      <c r="U257" s="460"/>
      <c r="V257" s="460"/>
      <c r="W257" s="460"/>
      <c r="X257" s="460"/>
      <c r="Y257" s="460"/>
      <c r="Z257" s="460"/>
      <c r="AA257" s="460"/>
      <c r="AB257" s="5" t="str">
        <f>IF(P257="","←工事監理者氏名（工事監理者が不要な場合は工事施工者氏名を選択し、当該内容）を入力してください。","")</f>
        <v>←工事監理者氏名（工事監理者が不要な場合は工事施工者氏名を選択し、当該内容）を入力してください。</v>
      </c>
    </row>
    <row r="258" spans="1:28" ht="17.25" customHeight="1" x14ac:dyDescent="0.15">
      <c r="J258" s="459" t="s">
        <v>190</v>
      </c>
      <c r="K258" s="459"/>
      <c r="L258" s="459"/>
      <c r="M258" s="459"/>
      <c r="N258" s="459"/>
      <c r="O258" s="459"/>
      <c r="P258" s="460"/>
      <c r="Q258" s="460"/>
      <c r="R258" s="460"/>
      <c r="S258" s="460"/>
      <c r="T258" s="460"/>
      <c r="U258" s="460"/>
      <c r="V258" s="460"/>
      <c r="W258" s="460"/>
      <c r="X258" s="460"/>
      <c r="Y258" s="460"/>
      <c r="Z258" s="460"/>
      <c r="AA258" s="460"/>
      <c r="AB258" s="5" t="str">
        <f>IF(P258="","←建築士事務所名を入力してください。","")</f>
        <v>←建築士事務所名を入力してください。</v>
      </c>
    </row>
    <row r="259" spans="1:28" ht="17.25" customHeight="1" x14ac:dyDescent="0.15">
      <c r="J259" s="498" t="s">
        <v>191</v>
      </c>
      <c r="K259" s="499"/>
      <c r="L259" s="499"/>
      <c r="M259" s="499"/>
      <c r="N259" s="499"/>
      <c r="O259" s="500"/>
      <c r="P259" s="443" t="s">
        <v>59</v>
      </c>
      <c r="Q259" s="444"/>
      <c r="R259" s="444"/>
      <c r="S259" s="444"/>
      <c r="T259" s="455"/>
      <c r="U259" s="455"/>
      <c r="V259" s="455"/>
      <c r="W259" s="455"/>
      <c r="X259" s="455"/>
      <c r="Y259" s="455"/>
      <c r="Z259" s="455"/>
      <c r="AA259" s="456"/>
      <c r="AB259" s="5" t="str">
        <f>IF(T259="","←建築士事務所の登録区分を選択（１級、２級、木造）してください。","")</f>
        <v>←建築士事務所の登録区分を選択（１級、２級、木造）してください。</v>
      </c>
    </row>
    <row r="260" spans="1:28" ht="17.25" customHeight="1" x14ac:dyDescent="0.15">
      <c r="J260" s="546"/>
      <c r="K260" s="547"/>
      <c r="L260" s="547"/>
      <c r="M260" s="547"/>
      <c r="N260" s="547"/>
      <c r="O260" s="548"/>
      <c r="P260" s="443" t="s">
        <v>193</v>
      </c>
      <c r="Q260" s="444"/>
      <c r="R260" s="444"/>
      <c r="S260" s="444"/>
      <c r="T260" s="455"/>
      <c r="U260" s="455"/>
      <c r="V260" s="455"/>
      <c r="W260" s="455"/>
      <c r="X260" s="455"/>
      <c r="Y260" s="455"/>
      <c r="Z260" s="444" t="s">
        <v>194</v>
      </c>
      <c r="AA260" s="445"/>
      <c r="AB260" s="5" t="str">
        <f>IF(T260="","←建築士事務所の登録を受けた都道府県名入力してください。","")</f>
        <v>←建築士事務所の登録を受けた都道府県名入力してください。</v>
      </c>
    </row>
    <row r="261" spans="1:28" ht="17.25" customHeight="1" x14ac:dyDescent="0.15">
      <c r="J261" s="501"/>
      <c r="K261" s="502"/>
      <c r="L261" s="502"/>
      <c r="M261" s="502"/>
      <c r="N261" s="502"/>
      <c r="O261" s="503"/>
      <c r="P261" s="443" t="s">
        <v>192</v>
      </c>
      <c r="Q261" s="444"/>
      <c r="R261" s="444"/>
      <c r="S261" s="444"/>
      <c r="T261" s="549"/>
      <c r="U261" s="549"/>
      <c r="V261" s="549"/>
      <c r="W261" s="549"/>
      <c r="X261" s="549"/>
      <c r="Y261" s="549"/>
      <c r="Z261" s="549"/>
      <c r="AA261" s="550"/>
      <c r="AB261" s="5" t="str">
        <f>IF(T261="","←建築士事務所の登録番号を入力してください。","")</f>
        <v>←建築士事務所の登録番号を入力してください。</v>
      </c>
    </row>
    <row r="262" spans="1:28" x14ac:dyDescent="0.15">
      <c r="A262" s="1" t="s">
        <v>218</v>
      </c>
    </row>
    <row r="263" spans="1:28" ht="31.5" customHeight="1" x14ac:dyDescent="0.15">
      <c r="A263" s="479" t="s">
        <v>227</v>
      </c>
      <c r="B263" s="479"/>
      <c r="C263" s="479"/>
      <c r="D263" s="479"/>
      <c r="E263" s="479"/>
      <c r="F263" s="479"/>
      <c r="G263" s="479"/>
      <c r="H263" s="479"/>
      <c r="I263" s="479"/>
      <c r="J263" s="479"/>
      <c r="K263" s="479"/>
      <c r="L263" s="479"/>
      <c r="M263" s="479"/>
      <c r="N263" s="479"/>
      <c r="O263" s="479"/>
      <c r="P263" s="479"/>
      <c r="Q263" s="479"/>
      <c r="R263" s="479"/>
      <c r="S263" s="479"/>
      <c r="T263" s="479"/>
      <c r="U263" s="479"/>
      <c r="V263" s="479"/>
      <c r="W263" s="479"/>
      <c r="X263" s="479"/>
      <c r="Y263" s="479"/>
      <c r="Z263" s="479"/>
      <c r="AA263" s="479"/>
    </row>
  </sheetData>
  <mergeCells count="202">
    <mergeCell ref="A4:AA4"/>
    <mergeCell ref="D30:H30"/>
    <mergeCell ref="I30:X30"/>
    <mergeCell ref="A254:AA255"/>
    <mergeCell ref="K227:M228"/>
    <mergeCell ref="H172:AA174"/>
    <mergeCell ref="H178:O178"/>
    <mergeCell ref="H179:O179"/>
    <mergeCell ref="C130:N131"/>
    <mergeCell ref="I75:N75"/>
    <mergeCell ref="P75:AA75"/>
    <mergeCell ref="I46:N46"/>
    <mergeCell ref="D99:P99"/>
    <mergeCell ref="Q100:T100"/>
    <mergeCell ref="Q101:T101"/>
    <mergeCell ref="Y101:Z101"/>
    <mergeCell ref="S47:T47"/>
    <mergeCell ref="V47:W47"/>
    <mergeCell ref="Q130:AA131"/>
    <mergeCell ref="Y105:Z105"/>
    <mergeCell ref="Q127:AA128"/>
    <mergeCell ref="D47:N47"/>
    <mergeCell ref="U99:X100"/>
    <mergeCell ref="Y99:AA100"/>
    <mergeCell ref="Y124:Z124"/>
    <mergeCell ref="Y122:AA123"/>
    <mergeCell ref="H155:N155"/>
    <mergeCell ref="A263:AA263"/>
    <mergeCell ref="P259:S259"/>
    <mergeCell ref="J257:O257"/>
    <mergeCell ref="P257:AA257"/>
    <mergeCell ref="J258:O258"/>
    <mergeCell ref="P258:AA258"/>
    <mergeCell ref="C217:G217"/>
    <mergeCell ref="C175:AA175"/>
    <mergeCell ref="C179:E179"/>
    <mergeCell ref="C186:E186"/>
    <mergeCell ref="C194:E194"/>
    <mergeCell ref="C202:E202"/>
    <mergeCell ref="C212:E212"/>
    <mergeCell ref="C206:AA208"/>
    <mergeCell ref="C213:AA215"/>
    <mergeCell ref="C224:AA224"/>
    <mergeCell ref="I195:L195"/>
    <mergeCell ref="H217:AA221"/>
    <mergeCell ref="C222:L223"/>
    <mergeCell ref="T259:AA259"/>
    <mergeCell ref="P178:AA178"/>
    <mergeCell ref="J259:O261"/>
    <mergeCell ref="T260:Y260"/>
    <mergeCell ref="Z260:AA260"/>
    <mergeCell ref="P261:S261"/>
    <mergeCell ref="T261:AA261"/>
    <mergeCell ref="C166:AA167"/>
    <mergeCell ref="Y163:AA164"/>
    <mergeCell ref="Y165:Z165"/>
    <mergeCell ref="N188:P188"/>
    <mergeCell ref="N189:P189"/>
    <mergeCell ref="N195:P195"/>
    <mergeCell ref="R188:U188"/>
    <mergeCell ref="R189:U189"/>
    <mergeCell ref="V188:Z188"/>
    <mergeCell ref="V189:Z189"/>
    <mergeCell ref="P260:S260"/>
    <mergeCell ref="C219:E219"/>
    <mergeCell ref="N205:P205"/>
    <mergeCell ref="H210:AA211"/>
    <mergeCell ref="N223:P223"/>
    <mergeCell ref="B164:X165"/>
    <mergeCell ref="C174:E174"/>
    <mergeCell ref="B225:E225"/>
    <mergeCell ref="N212:P212"/>
    <mergeCell ref="Y106:Z106"/>
    <mergeCell ref="Q103:T103"/>
    <mergeCell ref="Y103:Z103"/>
    <mergeCell ref="O10:Z10"/>
    <mergeCell ref="O31:R31"/>
    <mergeCell ref="A16:AA16"/>
    <mergeCell ref="C20:AA21"/>
    <mergeCell ref="I38:M38"/>
    <mergeCell ref="V38:W38"/>
    <mergeCell ref="I34:N34"/>
    <mergeCell ref="W31:X31"/>
    <mergeCell ref="S31:V31"/>
    <mergeCell ref="S37:T37"/>
    <mergeCell ref="S38:T38"/>
    <mergeCell ref="V37:W37"/>
    <mergeCell ref="L32:L33"/>
    <mergeCell ref="I37:M37"/>
    <mergeCell ref="S34:U34"/>
    <mergeCell ref="V34:W34"/>
    <mergeCell ref="N38:Q38"/>
    <mergeCell ref="U103:X103"/>
    <mergeCell ref="B96:AA97"/>
    <mergeCell ref="U81:Z81"/>
    <mergeCell ref="A5:AA6"/>
    <mergeCell ref="D34:H34"/>
    <mergeCell ref="D36:H36"/>
    <mergeCell ref="I36:X36"/>
    <mergeCell ref="D31:H31"/>
    <mergeCell ref="V32:W32"/>
    <mergeCell ref="V33:W33"/>
    <mergeCell ref="R32:U32"/>
    <mergeCell ref="R33:U33"/>
    <mergeCell ref="H8:I8"/>
    <mergeCell ref="K8:L8"/>
    <mergeCell ref="N12:Z12"/>
    <mergeCell ref="N13:Z13"/>
    <mergeCell ref="N11:Z11"/>
    <mergeCell ref="I35:K35"/>
    <mergeCell ref="E8:F8"/>
    <mergeCell ref="C8:D8"/>
    <mergeCell ref="A3:AA3"/>
    <mergeCell ref="U104:X104"/>
    <mergeCell ref="U105:X105"/>
    <mergeCell ref="Q105:T105"/>
    <mergeCell ref="F104:P104"/>
    <mergeCell ref="F105:P105"/>
    <mergeCell ref="D92:H92"/>
    <mergeCell ref="I92:X92"/>
    <mergeCell ref="I29:X29"/>
    <mergeCell ref="D28:H29"/>
    <mergeCell ref="I28:L28"/>
    <mergeCell ref="M28:X28"/>
    <mergeCell ref="I31:N31"/>
    <mergeCell ref="M32:Q33"/>
    <mergeCell ref="D32:H33"/>
    <mergeCell ref="I32:K33"/>
    <mergeCell ref="N37:Q37"/>
    <mergeCell ref="D37:H38"/>
    <mergeCell ref="U83:Z83"/>
    <mergeCell ref="D84:O84"/>
    <mergeCell ref="P84:T84"/>
    <mergeCell ref="U84:Z84"/>
    <mergeCell ref="D81:O81"/>
    <mergeCell ref="P81:T81"/>
    <mergeCell ref="P203:AA203"/>
    <mergeCell ref="H204:O204"/>
    <mergeCell ref="P204:AA204"/>
    <mergeCell ref="H200:AA202"/>
    <mergeCell ref="H192:AA193"/>
    <mergeCell ref="N181:P181"/>
    <mergeCell ref="N180:S180"/>
    <mergeCell ref="C182:AA182"/>
    <mergeCell ref="H156:N156"/>
    <mergeCell ref="O156:Z156"/>
    <mergeCell ref="H157:N157"/>
    <mergeCell ref="O157:Z157"/>
    <mergeCell ref="B156:G158"/>
    <mergeCell ref="H158:N158"/>
    <mergeCell ref="O158:Z158"/>
    <mergeCell ref="P179:AA179"/>
    <mergeCell ref="C196:AA198"/>
    <mergeCell ref="H203:O203"/>
    <mergeCell ref="B154:G155"/>
    <mergeCell ref="C133:N133"/>
    <mergeCell ref="Q133:AA133"/>
    <mergeCell ref="H154:N154"/>
    <mergeCell ref="O154:Z154"/>
    <mergeCell ref="I42:X42"/>
    <mergeCell ref="I41:X41"/>
    <mergeCell ref="D42:H42"/>
    <mergeCell ref="D43:H43"/>
    <mergeCell ref="U79:Z79"/>
    <mergeCell ref="P79:T79"/>
    <mergeCell ref="D79:O79"/>
    <mergeCell ref="D80:O80"/>
    <mergeCell ref="P80:T80"/>
    <mergeCell ref="U80:Z80"/>
    <mergeCell ref="D41:H41"/>
    <mergeCell ref="I43:X43"/>
    <mergeCell ref="U52:Z52"/>
    <mergeCell ref="U55:Z55"/>
    <mergeCell ref="U58:Z58"/>
    <mergeCell ref="Y139:Z139"/>
    <mergeCell ref="Y137:AA138"/>
    <mergeCell ref="C135:Z136"/>
    <mergeCell ref="O155:Z155"/>
    <mergeCell ref="T231:V231"/>
    <mergeCell ref="T232:V232"/>
    <mergeCell ref="D231:S231"/>
    <mergeCell ref="D232:S232"/>
    <mergeCell ref="Y102:Z102"/>
    <mergeCell ref="D46:H46"/>
    <mergeCell ref="D75:H75"/>
    <mergeCell ref="D100:P100"/>
    <mergeCell ref="O47:Q47"/>
    <mergeCell ref="D76:H76"/>
    <mergeCell ref="I76:X76"/>
    <mergeCell ref="D82:O82"/>
    <mergeCell ref="Q104:T104"/>
    <mergeCell ref="G103:P103"/>
    <mergeCell ref="Q102:T102"/>
    <mergeCell ref="Q99:T99"/>
    <mergeCell ref="U102:X102"/>
    <mergeCell ref="E101:P101"/>
    <mergeCell ref="F102:P102"/>
    <mergeCell ref="U101:X101"/>
    <mergeCell ref="P82:T82"/>
    <mergeCell ref="U82:Z82"/>
    <mergeCell ref="D83:O83"/>
    <mergeCell ref="P83:T83"/>
  </mergeCells>
  <phoneticPr fontId="1"/>
  <conditionalFormatting sqref="O10:Z10 N11:Z13 I36:X36 I41:X43 I29:I32 M28 O47">
    <cfRule type="containsBlanks" dxfId="98" priority="170">
      <formula>LEN(TRIM(I10))=0</formula>
    </cfRule>
  </conditionalFormatting>
  <conditionalFormatting sqref="L35 Q35 V35">
    <cfRule type="containsBlanks" dxfId="97" priority="164">
      <formula>LEN(TRIM(L35))=0</formula>
    </cfRule>
  </conditionalFormatting>
  <conditionalFormatting sqref="V32:W32">
    <cfRule type="expression" dxfId="96" priority="158">
      <formula>AND($I$31="併用住宅",$V$32="")</formula>
    </cfRule>
  </conditionalFormatting>
  <conditionalFormatting sqref="V33:W33">
    <cfRule type="expression" dxfId="95" priority="157">
      <formula>AND($I$31="併用住宅",$V$33="")</formula>
    </cfRule>
  </conditionalFormatting>
  <conditionalFormatting sqref="I75:N75">
    <cfRule type="containsBlanks" dxfId="94" priority="155">
      <formula>LEN(TRIM(I75))=0</formula>
    </cfRule>
  </conditionalFormatting>
  <conditionalFormatting sqref="Q100:Q105">
    <cfRule type="containsBlanks" dxfId="93" priority="153">
      <formula>LEN(TRIM(Q100))=0</formula>
    </cfRule>
  </conditionalFormatting>
  <conditionalFormatting sqref="U102:X105">
    <cfRule type="expression" dxfId="92" priority="146">
      <formula>$I$31="併用住宅"</formula>
    </cfRule>
    <cfRule type="expression" dxfId="91" priority="150">
      <formula>AND($I$31="併用住宅",$U$102="")</formula>
    </cfRule>
  </conditionalFormatting>
  <conditionalFormatting sqref="U99:X100">
    <cfRule type="expression" dxfId="90" priority="149">
      <formula>$I$31="併用住宅"</formula>
    </cfRule>
  </conditionalFormatting>
  <conditionalFormatting sqref="B20">
    <cfRule type="containsBlanks" dxfId="89" priority="197">
      <formula>LEN(TRIM(B20))=0</formula>
    </cfRule>
  </conditionalFormatting>
  <conditionalFormatting sqref="B91">
    <cfRule type="containsBlanks" dxfId="88" priority="204">
      <formula>LEN(TRIM(B91))=0</formula>
    </cfRule>
  </conditionalFormatting>
  <conditionalFormatting sqref="U101:X101">
    <cfRule type="expression" dxfId="87" priority="147">
      <formula>$I$31="併用住宅"</formula>
    </cfRule>
    <cfRule type="expression" dxfId="86" priority="151">
      <formula>AND($I$31="併用住宅",$U$101="")</formula>
    </cfRule>
  </conditionalFormatting>
  <conditionalFormatting sqref="B89">
    <cfRule type="containsBlanks" dxfId="85" priority="203">
      <formula>LEN(TRIM(B89))=0</formula>
    </cfRule>
  </conditionalFormatting>
  <conditionalFormatting sqref="B23">
    <cfRule type="containsBlanks" dxfId="84" priority="198">
      <formula>LEN(TRIM(B23))=0</formula>
    </cfRule>
  </conditionalFormatting>
  <conditionalFormatting sqref="B40">
    <cfRule type="containsBlanks" dxfId="83" priority="199">
      <formula>LEN(TRIM(B40))=0</formula>
    </cfRule>
  </conditionalFormatting>
  <conditionalFormatting sqref="B45">
    <cfRule type="containsBlanks" dxfId="82" priority="200">
      <formula>LEN(TRIM(B45))=0</formula>
    </cfRule>
  </conditionalFormatting>
  <conditionalFormatting sqref="B50">
    <cfRule type="containsBlanks" dxfId="81" priority="201">
      <formula>LEN(TRIM(B50))=0</formula>
    </cfRule>
  </conditionalFormatting>
  <conditionalFormatting sqref="N212:P212">
    <cfRule type="containsBlanks" dxfId="80" priority="191">
      <formula>LEN(TRIM(N212))=0</formula>
    </cfRule>
  </conditionalFormatting>
  <conditionalFormatting sqref="S31">
    <cfRule type="containsBlanks" dxfId="79" priority="94">
      <formula>LEN(TRIM(S31))=0</formula>
    </cfRule>
  </conditionalFormatting>
  <conditionalFormatting sqref="V34">
    <cfRule type="containsBlanks" dxfId="78" priority="89">
      <formula>LEN(TRIM(V34))=0</formula>
    </cfRule>
  </conditionalFormatting>
  <conditionalFormatting sqref="H8">
    <cfRule type="containsBlanks" dxfId="77" priority="86">
      <formula>LEN(TRIM(H8))=0</formula>
    </cfRule>
  </conditionalFormatting>
  <conditionalFormatting sqref="K8">
    <cfRule type="containsBlanks" dxfId="76" priority="85">
      <formula>LEN(TRIM(K8))=0</formula>
    </cfRule>
  </conditionalFormatting>
  <conditionalFormatting sqref="C8 E8">
    <cfRule type="containsBlanks" dxfId="75" priority="84">
      <formula>LEN(TRIM(C8))=0</formula>
    </cfRule>
  </conditionalFormatting>
  <conditionalFormatting sqref="N180:S180">
    <cfRule type="containsBlanks" dxfId="74" priority="183">
      <formula>LEN(TRIM(N180))=0</formula>
    </cfRule>
  </conditionalFormatting>
  <conditionalFormatting sqref="N181:P181">
    <cfRule type="containsBlanks" dxfId="73" priority="184">
      <formula>LEN(TRIM(N181))=0</formula>
    </cfRule>
  </conditionalFormatting>
  <conditionalFormatting sqref="B145">
    <cfRule type="containsBlanks" dxfId="72" priority="175">
      <formula>LEN(TRIM(B145))=0</formula>
    </cfRule>
  </conditionalFormatting>
  <conditionalFormatting sqref="N205:P205">
    <cfRule type="containsBlanks" dxfId="71" priority="190">
      <formula>LEN(TRIM(N205))=0</formula>
    </cfRule>
  </conditionalFormatting>
  <conditionalFormatting sqref="N223:P223">
    <cfRule type="containsBlanks" dxfId="70" priority="193">
      <formula>LEN(TRIM(N223))=0</formula>
    </cfRule>
  </conditionalFormatting>
  <conditionalFormatting sqref="N195:P195">
    <cfRule type="containsBlanks" dxfId="69" priority="189">
      <formula>LEN(TRIM(N195))=0</formula>
    </cfRule>
  </conditionalFormatting>
  <conditionalFormatting sqref="I46:N46">
    <cfRule type="containsBlanks" dxfId="68" priority="76">
      <formula>LEN(TRIM(I46))=0</formula>
    </cfRule>
  </conditionalFormatting>
  <conditionalFormatting sqref="V37 S37">
    <cfRule type="containsBlanks" dxfId="67" priority="73">
      <formula>LEN(TRIM(S37))=0</formula>
    </cfRule>
  </conditionalFormatting>
  <conditionalFormatting sqref="N37:Q37">
    <cfRule type="containsBlanks" dxfId="66" priority="72">
      <formula>LEN(TRIM(N37))=0</formula>
    </cfRule>
  </conditionalFormatting>
  <conditionalFormatting sqref="V38 S38">
    <cfRule type="containsBlanks" dxfId="65" priority="71">
      <formula>LEN(TRIM(S38))=0</formula>
    </cfRule>
  </conditionalFormatting>
  <conditionalFormatting sqref="N38:Q38">
    <cfRule type="containsBlanks" dxfId="64" priority="70">
      <formula>LEN(TRIM(N38))=0</formula>
    </cfRule>
  </conditionalFormatting>
  <conditionalFormatting sqref="O154:Z158">
    <cfRule type="containsBlanks" dxfId="63" priority="69">
      <formula>LEN(TRIM(O154))=0</formula>
    </cfRule>
  </conditionalFormatting>
  <conditionalFormatting sqref="B217">
    <cfRule type="containsBlanks" dxfId="62" priority="186">
      <formula>LEN(TRIM(B217))=0</formula>
    </cfRule>
  </conditionalFormatting>
  <conditionalFormatting sqref="B143">
    <cfRule type="containsBlanks" dxfId="61" priority="174">
      <formula>LEN(TRIM(B143))=0</formula>
    </cfRule>
  </conditionalFormatting>
  <conditionalFormatting sqref="N188:P189">
    <cfRule type="containsBlanks" dxfId="60" priority="185">
      <formula>LEN(TRIM(N188))=0</formula>
    </cfRule>
  </conditionalFormatting>
  <conditionalFormatting sqref="B74">
    <cfRule type="containsBlanks" dxfId="59" priority="202">
      <formula>LEN(TRIM(B74))=0</formula>
    </cfRule>
  </conditionalFormatting>
  <conditionalFormatting sqref="B95">
    <cfRule type="containsBlanks" dxfId="58" priority="196">
      <formula>LEN(TRIM(B95))=0</formula>
    </cfRule>
  </conditionalFormatting>
  <conditionalFormatting sqref="B126">
    <cfRule type="containsBlanks" dxfId="57" priority="172">
      <formula>LEN(TRIM(B126))=0</formula>
    </cfRule>
  </conditionalFormatting>
  <conditionalFormatting sqref="P126">
    <cfRule type="containsBlanks" dxfId="56" priority="173">
      <formula>LEN(TRIM(P126))=0</formula>
    </cfRule>
  </conditionalFormatting>
  <conditionalFormatting sqref="B147">
    <cfRule type="containsBlanks" dxfId="55" priority="176">
      <formula>LEN(TRIM(B147))=0</formula>
    </cfRule>
  </conditionalFormatting>
  <conditionalFormatting sqref="B149">
    <cfRule type="containsBlanks" dxfId="54" priority="177">
      <formula>LEN(TRIM(B149))=0</formula>
    </cfRule>
  </conditionalFormatting>
  <conditionalFormatting sqref="B151">
    <cfRule type="containsBlanks" dxfId="53" priority="178">
      <formula>LEN(TRIM(B151))=0</formula>
    </cfRule>
  </conditionalFormatting>
  <conditionalFormatting sqref="B169">
    <cfRule type="containsBlanks" dxfId="52" priority="179">
      <formula>LEN(TRIM(B169))=0</formula>
    </cfRule>
  </conditionalFormatting>
  <conditionalFormatting sqref="B172">
    <cfRule type="containsBlanks" dxfId="51" priority="180">
      <formula>LEN(TRIM(B172))=0</formula>
    </cfRule>
  </conditionalFormatting>
  <conditionalFormatting sqref="B177">
    <cfRule type="containsBlanks" dxfId="50" priority="181">
      <formula>LEN(TRIM(B177))=0</formula>
    </cfRule>
  </conditionalFormatting>
  <conditionalFormatting sqref="B184">
    <cfRule type="containsBlanks" dxfId="49" priority="182">
      <formula>LEN(TRIM(B184))=0</formula>
    </cfRule>
  </conditionalFormatting>
  <conditionalFormatting sqref="B192">
    <cfRule type="containsBlanks" dxfId="48" priority="188">
      <formula>LEN(TRIM(B192))=0</formula>
    </cfRule>
  </conditionalFormatting>
  <conditionalFormatting sqref="B200">
    <cfRule type="containsBlanks" dxfId="47" priority="194">
      <formula>LEN(TRIM(B200))=0</formula>
    </cfRule>
  </conditionalFormatting>
  <conditionalFormatting sqref="B210">
    <cfRule type="containsBlanks" dxfId="46" priority="192">
      <formula>LEN(TRIM(B210))=0</formula>
    </cfRule>
  </conditionalFormatting>
  <conditionalFormatting sqref="P257:AA258">
    <cfRule type="containsBlanks" dxfId="45" priority="46">
      <formula>LEN(TRIM(P257))=0</formula>
    </cfRule>
  </conditionalFormatting>
  <conditionalFormatting sqref="T259:AA259 T261:AA261 T260 Z260">
    <cfRule type="containsBlanks" dxfId="44" priority="45">
      <formula>LEN(TRIM(T259))=0</formula>
    </cfRule>
  </conditionalFormatting>
  <conditionalFormatting sqref="I92:X92">
    <cfRule type="containsBlanks" dxfId="43" priority="44">
      <formula>LEN(TRIM(I92))=0</formula>
    </cfRule>
  </conditionalFormatting>
  <conditionalFormatting sqref="R188:U189">
    <cfRule type="containsBlanks" dxfId="42" priority="187">
      <formula>LEN(TRIM(R188))=0</formula>
    </cfRule>
  </conditionalFormatting>
  <conditionalFormatting sqref="V188:Z188">
    <cfRule type="expression" dxfId="41" priority="38">
      <formula>AND($R$188="その他のこて塗り",$V$188="")</formula>
    </cfRule>
    <cfRule type="expression" dxfId="40" priority="39">
      <formula>"$R$158=""その他のこて塗り"""</formula>
    </cfRule>
  </conditionalFormatting>
  <conditionalFormatting sqref="V189:Z189">
    <cfRule type="expression" dxfId="39" priority="37">
      <formula>AND($R$189="その他のこて塗り",$V$189="")</formula>
    </cfRule>
  </conditionalFormatting>
  <conditionalFormatting sqref="I34">
    <cfRule type="containsBlanks" dxfId="38" priority="29">
      <formula>LEN(TRIM(I34))=0</formula>
    </cfRule>
  </conditionalFormatting>
  <conditionalFormatting sqref="V47 S47">
    <cfRule type="containsBlanks" dxfId="37" priority="28">
      <formula>LEN(TRIM(S47))=0</formula>
    </cfRule>
  </conditionalFormatting>
  <conditionalFormatting sqref="B86">
    <cfRule type="containsBlanks" dxfId="36" priority="25">
      <formula>LEN(TRIM(B86))=0</formula>
    </cfRule>
  </conditionalFormatting>
  <conditionalFormatting sqref="I76:X78 I85:X85">
    <cfRule type="expression" dxfId="35" priority="26">
      <formula>AND($I$36="その他",#REF!="")</formula>
    </cfRule>
  </conditionalFormatting>
  <conditionalFormatting sqref="B66">
    <cfRule type="containsBlanks" dxfId="34" priority="23">
      <formula>LEN(TRIM(B66))=0</formula>
    </cfRule>
  </conditionalFormatting>
  <conditionalFormatting sqref="B153">
    <cfRule type="containsBlanks" dxfId="33" priority="22">
      <formula>LEN(TRIM(B153))=0</formula>
    </cfRule>
  </conditionalFormatting>
  <conditionalFormatting sqref="B52">
    <cfRule type="containsBlanks" dxfId="32" priority="21">
      <formula>LEN(TRIM(B52))=0</formula>
    </cfRule>
  </conditionalFormatting>
  <conditionalFormatting sqref="U79:U80 U82:U84">
    <cfRule type="expression" dxfId="31" priority="19">
      <formula>AND($I$36="その他",#REF!="")</formula>
    </cfRule>
  </conditionalFormatting>
  <conditionalFormatting sqref="P79:P80 P82:P84">
    <cfRule type="expression" dxfId="30" priority="18">
      <formula>AND($I$36="その他",#REF!="")</formula>
    </cfRule>
  </conditionalFormatting>
  <conditionalFormatting sqref="D80:Z80 D82:Z84">
    <cfRule type="cellIs" dxfId="29" priority="17" operator="equal">
      <formula>""</formula>
    </cfRule>
  </conditionalFormatting>
  <conditionalFormatting sqref="U81">
    <cfRule type="expression" dxfId="28" priority="16">
      <formula>AND($I$36="その他",#REF!="")</formula>
    </cfRule>
  </conditionalFormatting>
  <conditionalFormatting sqref="P81">
    <cfRule type="expression" dxfId="27" priority="15">
      <formula>AND($I$36="その他",#REF!="")</formula>
    </cfRule>
  </conditionalFormatting>
  <conditionalFormatting sqref="D81:Z81">
    <cfRule type="cellIs" dxfId="26" priority="14" operator="equal">
      <formula>""</formula>
    </cfRule>
  </conditionalFormatting>
  <conditionalFormatting sqref="B68">
    <cfRule type="containsBlanks" dxfId="25" priority="13">
      <formula>LEN(TRIM(B68))=0</formula>
    </cfRule>
  </conditionalFormatting>
  <conditionalFormatting sqref="B55">
    <cfRule type="containsBlanks" dxfId="24" priority="12">
      <formula>LEN(TRIM(B55))=0</formula>
    </cfRule>
  </conditionalFormatting>
  <conditionalFormatting sqref="B58">
    <cfRule type="containsBlanks" dxfId="23" priority="11">
      <formula>LEN(TRIM(B58))=0</formula>
    </cfRule>
  </conditionalFormatting>
  <conditionalFormatting sqref="U58:Z58">
    <cfRule type="cellIs" dxfId="22" priority="9" operator="equal">
      <formula>""</formula>
    </cfRule>
  </conditionalFormatting>
  <conditionalFormatting sqref="U55:Z55">
    <cfRule type="cellIs" dxfId="21" priority="8" operator="equal">
      <formula>""</formula>
    </cfRule>
  </conditionalFormatting>
  <conditionalFormatting sqref="U52:Z52">
    <cfRule type="cellIs" dxfId="20" priority="7" operator="equal">
      <formula>""</formula>
    </cfRule>
  </conditionalFormatting>
  <conditionalFormatting sqref="B61">
    <cfRule type="containsBlanks" dxfId="19" priority="6">
      <formula>LEN(TRIM(B61))=0</formula>
    </cfRule>
  </conditionalFormatting>
  <conditionalFormatting sqref="B64">
    <cfRule type="containsBlanks" dxfId="18" priority="4">
      <formula>LEN(TRIM(B64))=0</formula>
    </cfRule>
  </conditionalFormatting>
  <conditionalFormatting sqref="B70">
    <cfRule type="containsBlanks" dxfId="17" priority="2">
      <formula>LEN(TRIM(B70))=0</formula>
    </cfRule>
  </conditionalFormatting>
  <conditionalFormatting sqref="C72">
    <cfRule type="containsBlanks" dxfId="16" priority="1">
      <formula>LEN(TRIM(C72))=0</formula>
    </cfRule>
  </conditionalFormatting>
  <dataValidations count="35">
    <dataValidation type="whole" operator="greaterThanOrEqual" allowBlank="1" showInputMessage="1" showErrorMessage="1" error="1か所以上が必須です。" sqref="V35 Q35 L35">
      <formula1>1</formula1>
    </dataValidation>
    <dataValidation type="list" allowBlank="1" showInputMessage="1" showErrorMessage="1" sqref="I75:N75">
      <formula1>"有,無,"</formula1>
    </dataValidation>
    <dataValidation type="list" allowBlank="1" showInputMessage="1" showErrorMessage="1" sqref="I31">
      <formula1>"専用住宅,併用住宅"</formula1>
    </dataValidation>
    <dataValidation type="list" allowBlank="1" showInputMessage="1" showErrorMessage="1" sqref="I36:X36">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0:T1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1:T101">
      <formula1>10</formula1>
      <formula2>Q100</formula2>
    </dataValidation>
    <dataValidation type="list" allowBlank="1" showInputMessage="1" showErrorMessage="1" sqref="N195:P195">
      <formula1>"和瓦,平板瓦,S瓦,"</formula1>
    </dataValidation>
    <dataValidation type="list" allowBlank="1" showInputMessage="1" showErrorMessage="1" sqref="N180:S180">
      <formula1>"ささら子下見板,押縁下見板,南京下見板,"</formula1>
    </dataValidation>
    <dataValidation type="list" allowBlank="1" showInputMessage="1" showErrorMessage="1" sqref="M28:X28">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7:T38 S47:T47">
      <formula1>"1,2,3,4,5,6,7,8,9,10,11,12,"</formula1>
    </dataValidation>
    <dataValidation type="list" allowBlank="1" showInputMessage="1" showErrorMessage="1" sqref="V34:W34">
      <formula1>"1,2,3,"</formula1>
    </dataValidation>
    <dataValidation type="list" allowBlank="1" showInputMessage="1" showErrorMessage="1" sqref="K8:L8">
      <formula1>"1,2,3,4,5,6,7,8,9,10,11,12,13,14,15,16,17,18,19,20,21,22,23,24,25,26,27,28,29,30,31, "</formula1>
    </dataValidation>
    <dataValidation type="list" allowBlank="1" showInputMessage="1" showErrorMessage="1" sqref="N37:Q38 E8:F8">
      <formula1>"5,6,7,8,9,10,"</formula1>
    </dataValidation>
    <dataValidation type="list" allowBlank="1" showInputMessage="1" showErrorMessage="1" sqref="I46:N46">
      <formula1>"要,不要,"</formula1>
    </dataValidation>
    <dataValidation type="list" allowBlank="1" showInputMessage="1" showErrorMessage="1" sqref="V37:W38 V47:W47">
      <formula1>"1,2,3,4,5,6,7,8,9,10,11,12,13,14,15,16,17,18,19,20,21,22,23,24,25,26,27,28,29,30,31,"</formula1>
    </dataValidation>
    <dataValidation type="list" allowBlank="1" showInputMessage="1" showErrorMessage="1" sqref="B20 B23 B40 B45 B50 B89 B74 B91 B61 B126 P126 B143 B145 B147 B149 B153 B169 B172 B177 B184 B192 B200 B210 B217 B86 B151 B66 B52 B64 B55 B58 B95 B70 B68 C72">
      <formula1>"✔,"</formula1>
    </dataValidation>
    <dataValidation type="list" allowBlank="1" showInputMessage="1" showErrorMessage="1" sqref="T259:AA259">
      <formula1>"一級建築士事務所,二級建築士事務所,木造建築士事務所"</formula1>
    </dataValidation>
    <dataValidation type="list" allowBlank="1" showInputMessage="1" showErrorMessage="1" sqref="J257:O257">
      <formula1>"工事監理者氏名,工事施工者氏名"</formula1>
    </dataValidation>
    <dataValidation type="whole" showInputMessage="1" showErrorMessage="1" errorTitle="エラー" error="県産材の使用材積以下の整数値（小数点以下切捨て）を入力してください。_x000a_" sqref="Q102:T102">
      <formula1>0</formula1>
      <formula2>Q101</formula2>
    </dataValidation>
    <dataValidation type="whole" operator="lessThanOrEqual" allowBlank="1" showInputMessage="1" showErrorMessage="1" error="県産規格材の使用材積以下の整数値（小数点以下切捨て）を入力してください。" sqref="Q103:T103">
      <formula1>Q102</formula1>
    </dataValidation>
    <dataValidation type="whole" allowBlank="1" showInputMessage="1" showErrorMessage="1" error="県産材の使用材積以下の整数値（小数点以下切捨て）を入力してください。_x000a_" sqref="Q104:T104">
      <formula1>0</formula1>
      <formula2>Q101</formula2>
    </dataValidation>
    <dataValidation type="whole" allowBlank="1" showInputMessage="1" showErrorMessage="1" error="整数値（小数点以下切捨て）を入力してください。" sqref="Q105:T105">
      <formula1>0</formula1>
      <formula2>1000000</formula2>
    </dataValidation>
    <dataValidation type="whole" allowBlank="1" showInputMessage="1" showErrorMessage="1" error="10以上かつ併用住宅全体の県産材の使用材積以下の整数値（小数点以下切捨て）を入力してください。（10未満の数値や整数値以外の内容は入力できません。）_x000a_住宅部分の県産材10m3未満は補助対象外です。" sqref="U101:X101">
      <formula1>10</formula1>
      <formula2>Q101</formula2>
    </dataValidation>
    <dataValidation type="whole" allowBlank="1" showInputMessage="1" showErrorMessage="1" error="住宅部分の県産材の使用材積以下かつ併用住宅全体の県産規格材の使用材積以下の整数値（小数点以下切捨て）を入力してください。" sqref="U102:X102">
      <formula1>0</formula1>
      <formula2>MIN(Q102,U101)</formula2>
    </dataValidation>
    <dataValidation type="whole" allowBlank="1" showInputMessage="1" showErrorMessage="1" error="住宅部分の県産規格材の使用材積以下かつ併用住宅全体の県産機械等級区分構造材の使用材積以下の整数値（小数点以下切捨て）を入力してください。" sqref="U103:X103">
      <formula1>0</formula1>
      <formula2>MIN(Q103,U102)</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4:X104">
      <formula1>0</formula1>
      <formula2>MIN(Q104,U101)</formula2>
    </dataValidation>
    <dataValidation type="whole" allowBlank="1" showInputMessage="1" showErrorMessage="1" errorTitle="エラー" error="併用住宅全体の県産内外装材、県産木塀の見付面積以下の整数値（小数点以下切捨て）を入力してください。" sqref="U105:X105">
      <formula1>0</formula1>
      <formula2>Q105</formula2>
    </dataValidation>
    <dataValidation type="list" allowBlank="1" showInputMessage="1" showErrorMessage="1" sqref="R188:U188">
      <formula1>"モルタル塗,漆喰塗,土壁塗,そとん壁,その他のこて塗り"</formula1>
    </dataValidation>
    <dataValidation type="list" allowBlank="1" showInputMessage="1" showErrorMessage="1" sqref="R189:U189">
      <formula1>"珪藻土塗,じゅらく塗,その他のこて塗り"</formula1>
    </dataValidation>
    <dataValidation type="list" allowBlank="1" showInputMessage="1" showErrorMessage="1" sqref="O158:Z158">
      <formula1>"申請者と同じ,申請者と異なる"</formula1>
    </dataValidation>
    <dataValidation type="list" allowBlank="1" showInputMessage="1" showErrorMessage="1" sqref="U52:Z52">
      <formula1>"T-G1,T-G2,T-G3"</formula1>
    </dataValidation>
    <dataValidation type="list" allowBlank="1" showInputMessage="1" showErrorMessage="1" sqref="U55:Z55">
      <formula1>"太陽光発電（自家設置）,太陽光発電（リース）,太陽光発電（PPA）,太陽熱利用設備,バイオマス利用設備,地中熱利用設備,その他"</formula1>
    </dataValidation>
    <dataValidation type="list" allowBlank="1" showInputMessage="1" showErrorMessage="1" sqref="U58:Z58">
      <formula1>"『ZEH』,Nearly ZEH,ZEH Oriented（補助対象外）"</formula1>
    </dataValidation>
    <dataValidation type="list" allowBlank="1" showInputMessage="1" showErrorMessage="1" sqref="O47:Q47">
      <formula1>"2,3,4,5,6,7,8,9,10,"</formula1>
    </dataValidation>
    <dataValidation type="list" allowBlank="1" showInputMessage="1" showErrorMessage="1" sqref="I92:X92">
      <formula1>"智頭,久大,大山,ミヨシ,その他"</formula1>
    </dataValidation>
  </dataValidations>
  <printOptions horizontalCentered="1"/>
  <pageMargins left="0.70866141732283472" right="0.70866141732283472" top="0.47244094488188981" bottom="0.35433070866141736" header="0.31496062992125984" footer="0.31496062992125984"/>
  <pageSetup paperSize="9" scale="90" orientation="portrait" horizontalDpi="1200" verticalDpi="1200" r:id="rId1"/>
  <rowBreaks count="3" manualBreakCount="3">
    <brk id="87" max="26" man="1"/>
    <brk id="162" max="26" man="1"/>
    <brk id="226"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view="pageBreakPreview" topLeftCell="A21" zoomScale="85" zoomScaleNormal="100" zoomScaleSheetLayoutView="85" workbookViewId="0">
      <selection activeCell="B15" sqref="B15"/>
    </sheetView>
  </sheetViews>
  <sheetFormatPr defaultColWidth="9" defaultRowHeight="13.5" x14ac:dyDescent="0.15"/>
  <cols>
    <col min="1" max="1" width="4.75" style="1" customWidth="1"/>
    <col min="2" max="4" width="24.625" style="1" customWidth="1"/>
    <col min="5" max="16384" width="9" style="1"/>
  </cols>
  <sheetData>
    <row r="1" spans="1:6" x14ac:dyDescent="0.15">
      <c r="A1" s="1" t="s">
        <v>179</v>
      </c>
    </row>
    <row r="5" spans="1:6" ht="14.25" x14ac:dyDescent="0.15">
      <c r="A5" s="574" t="s">
        <v>165</v>
      </c>
      <c r="B5" s="574"/>
      <c r="C5" s="574"/>
      <c r="D5" s="574"/>
      <c r="E5" s="574"/>
    </row>
    <row r="7" spans="1:6" ht="38.25" customHeight="1" x14ac:dyDescent="0.15">
      <c r="C7" s="6" t="s">
        <v>45</v>
      </c>
      <c r="D7" s="479" t="str">
        <f>IF('【様式第６号】事業計画書兼チェックシート（新築）'!N11="","",'【様式第６号】事業計画書兼チェックシート（新築）'!N11)</f>
        <v/>
      </c>
      <c r="E7" s="479"/>
    </row>
    <row r="8" spans="1:6" x14ac:dyDescent="0.15">
      <c r="C8" s="6" t="s">
        <v>46</v>
      </c>
      <c r="D8" s="575" t="str">
        <f>IF('【様式第６号】事業計画書兼チェックシート（新築）'!N12="","",'【様式第６号】事業計画書兼チェックシート（新築）'!N12)</f>
        <v/>
      </c>
      <c r="E8" s="575"/>
    </row>
    <row r="10" spans="1:6" x14ac:dyDescent="0.15">
      <c r="A10" s="1" t="s">
        <v>40</v>
      </c>
    </row>
    <row r="11" spans="1:6" x14ac:dyDescent="0.15">
      <c r="A11" s="1" t="s">
        <v>41</v>
      </c>
    </row>
    <row r="13" spans="1:6" x14ac:dyDescent="0.15">
      <c r="B13" s="72" t="s">
        <v>39</v>
      </c>
      <c r="C13" s="72" t="s">
        <v>5</v>
      </c>
      <c r="D13" s="72" t="s">
        <v>44</v>
      </c>
    </row>
    <row r="14" spans="1:6" ht="27.95" customHeight="1" x14ac:dyDescent="0.15">
      <c r="A14" s="141" t="s">
        <v>43</v>
      </c>
      <c r="B14" s="138" t="s">
        <v>265</v>
      </c>
      <c r="C14" s="140" t="s">
        <v>266</v>
      </c>
      <c r="D14" s="139" t="s">
        <v>267</v>
      </c>
    </row>
    <row r="15" spans="1:6" ht="29.45" customHeight="1" x14ac:dyDescent="0.15">
      <c r="A15" s="73" t="s">
        <v>43</v>
      </c>
      <c r="B15" s="75" t="s">
        <v>268</v>
      </c>
      <c r="C15" s="75" t="s">
        <v>269</v>
      </c>
      <c r="D15" s="75" t="s">
        <v>270</v>
      </c>
      <c r="F15" s="131"/>
    </row>
    <row r="16" spans="1:6" x14ac:dyDescent="0.15">
      <c r="B16" s="74"/>
      <c r="C16" s="74"/>
      <c r="D16" s="74"/>
    </row>
    <row r="17" spans="1:7" x14ac:dyDescent="0.15">
      <c r="B17" s="71" t="s">
        <v>39</v>
      </c>
      <c r="C17" s="72" t="s">
        <v>5</v>
      </c>
      <c r="D17" s="72" t="s">
        <v>23</v>
      </c>
    </row>
    <row r="18" spans="1:7" ht="36" customHeight="1" x14ac:dyDescent="0.15">
      <c r="B18" s="122"/>
      <c r="C18" s="122"/>
      <c r="D18" s="123"/>
    </row>
    <row r="19" spans="1:7" ht="36" customHeight="1" x14ac:dyDescent="0.15">
      <c r="B19" s="122"/>
      <c r="C19" s="122"/>
      <c r="D19" s="123"/>
    </row>
    <row r="20" spans="1:7" ht="36" customHeight="1" x14ac:dyDescent="0.15">
      <c r="B20" s="122"/>
      <c r="C20" s="122"/>
      <c r="D20" s="123"/>
    </row>
    <row r="21" spans="1:7" ht="36" customHeight="1" x14ac:dyDescent="0.15">
      <c r="B21" s="122"/>
      <c r="C21" s="122"/>
      <c r="D21" s="123"/>
      <c r="G21" s="1" t="s">
        <v>244</v>
      </c>
    </row>
    <row r="22" spans="1:7" ht="36" customHeight="1" x14ac:dyDescent="0.15">
      <c r="B22" s="122"/>
      <c r="C22" s="122"/>
      <c r="D22" s="123"/>
      <c r="G22" s="1" t="s">
        <v>245</v>
      </c>
    </row>
    <row r="23" spans="1:7" ht="36" customHeight="1" x14ac:dyDescent="0.15">
      <c r="B23" s="122"/>
      <c r="C23" s="122"/>
      <c r="D23" s="123"/>
      <c r="G23" s="1" t="s">
        <v>246</v>
      </c>
    </row>
    <row r="24" spans="1:7" ht="36" customHeight="1" x14ac:dyDescent="0.15">
      <c r="B24" s="122"/>
      <c r="C24" s="122"/>
      <c r="D24" s="123"/>
      <c r="G24" s="1" t="s">
        <v>247</v>
      </c>
    </row>
    <row r="26" spans="1:7" x14ac:dyDescent="0.15">
      <c r="A26" s="1" t="s">
        <v>53</v>
      </c>
    </row>
    <row r="27" spans="1:7" x14ac:dyDescent="0.15">
      <c r="A27" s="76" t="s">
        <v>52</v>
      </c>
      <c r="B27" s="576" t="s">
        <v>51</v>
      </c>
      <c r="C27" s="576"/>
      <c r="D27" s="576"/>
      <c r="E27" s="576"/>
    </row>
    <row r="28" spans="1:7" x14ac:dyDescent="0.15">
      <c r="A28" s="77"/>
      <c r="B28" s="576"/>
      <c r="C28" s="576"/>
      <c r="D28" s="576"/>
      <c r="E28" s="576"/>
    </row>
    <row r="29" spans="1:7" x14ac:dyDescent="0.15">
      <c r="A29" s="76" t="s">
        <v>54</v>
      </c>
      <c r="B29" s="576" t="s">
        <v>55</v>
      </c>
      <c r="C29" s="576"/>
      <c r="D29" s="576"/>
      <c r="E29" s="576"/>
    </row>
    <row r="30" spans="1:7" x14ac:dyDescent="0.15">
      <c r="A30" s="76"/>
      <c r="B30" s="576"/>
      <c r="C30" s="576"/>
      <c r="D30" s="576"/>
      <c r="E30" s="576"/>
    </row>
    <row r="31" spans="1:7" x14ac:dyDescent="0.15">
      <c r="A31" s="76"/>
      <c r="B31" s="576"/>
      <c r="C31" s="576"/>
      <c r="D31" s="576"/>
      <c r="E31" s="576"/>
    </row>
    <row r="32" spans="1:7" x14ac:dyDescent="0.15">
      <c r="A32" s="77"/>
      <c r="B32" s="576"/>
      <c r="C32" s="576"/>
      <c r="D32" s="576"/>
      <c r="E32" s="576"/>
    </row>
  </sheetData>
  <mergeCells count="5">
    <mergeCell ref="A5:E5"/>
    <mergeCell ref="D7:E7"/>
    <mergeCell ref="D8:E8"/>
    <mergeCell ref="B27:E28"/>
    <mergeCell ref="B29:E32"/>
  </mergeCells>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1"/>
  <sheetViews>
    <sheetView view="pageBreakPreview" zoomScaleNormal="100" zoomScaleSheetLayoutView="100" workbookViewId="0">
      <selection activeCell="H24" sqref="H24"/>
    </sheetView>
  </sheetViews>
  <sheetFormatPr defaultColWidth="3.125" defaultRowHeight="18" customHeight="1" x14ac:dyDescent="0.15"/>
  <cols>
    <col min="1" max="26" width="3.125" style="78"/>
    <col min="27" max="27" width="3.125" style="79"/>
    <col min="28" max="16384" width="3.125" style="78"/>
  </cols>
  <sheetData>
    <row r="1" spans="1:27" ht="18" customHeight="1" x14ac:dyDescent="0.15">
      <c r="A1" s="78" t="s">
        <v>167</v>
      </c>
    </row>
    <row r="2" spans="1:27" ht="18" customHeight="1" x14ac:dyDescent="0.15">
      <c r="A2" s="144"/>
      <c r="B2" s="144"/>
      <c r="C2" s="144"/>
      <c r="D2" s="144"/>
      <c r="E2" s="144"/>
      <c r="F2" s="144"/>
      <c r="G2" s="144"/>
      <c r="H2" s="144"/>
      <c r="I2" s="144"/>
      <c r="J2" s="144"/>
      <c r="K2" s="144"/>
      <c r="L2" s="144"/>
      <c r="M2" s="144"/>
      <c r="N2" s="144"/>
      <c r="O2" s="145" t="s">
        <v>274</v>
      </c>
      <c r="P2" s="145"/>
      <c r="Q2" s="585" t="str">
        <f>IF('【様式第６号】事業計画書兼チェックシート（新築）'!E8="","",'【様式第６号】事業計画書兼チェックシート（新築）'!E8)</f>
        <v/>
      </c>
      <c r="R2" s="585"/>
      <c r="S2" s="144" t="s">
        <v>273</v>
      </c>
      <c r="T2" s="585" t="str">
        <f>IF('【様式第６号】事業計画書兼チェックシート（新築）'!H8="","",'【様式第６号】事業計画書兼チェックシート（新築）'!H8)</f>
        <v/>
      </c>
      <c r="U2" s="585"/>
      <c r="V2" s="144" t="s">
        <v>272</v>
      </c>
      <c r="W2" s="585" t="str">
        <f>IF('【様式第６号】事業計画書兼チェックシート（新築）'!K8="","",'【様式第６号】事業計画書兼チェックシート（新築）'!K8)</f>
        <v/>
      </c>
      <c r="X2" s="585"/>
      <c r="Y2" s="144" t="s">
        <v>271</v>
      </c>
      <c r="Z2" s="144"/>
      <c r="AA2" s="79" t="s">
        <v>276</v>
      </c>
    </row>
    <row r="3" spans="1:27" ht="18" hidden="1" customHeight="1" x14ac:dyDescent="0.15">
      <c r="A3" s="80"/>
      <c r="B3" s="80"/>
      <c r="C3" s="80"/>
      <c r="D3" s="80"/>
      <c r="E3" s="80"/>
      <c r="F3" s="80"/>
      <c r="G3" s="80"/>
      <c r="H3" s="80"/>
      <c r="I3" s="80"/>
      <c r="J3" s="80"/>
      <c r="K3" s="80"/>
      <c r="L3" s="80"/>
      <c r="M3" s="80"/>
      <c r="N3" s="80"/>
      <c r="O3" s="80"/>
      <c r="P3" s="80"/>
      <c r="Q3" s="80"/>
      <c r="R3" s="80"/>
      <c r="S3" s="80"/>
      <c r="T3" s="80"/>
      <c r="U3" s="80"/>
      <c r="V3" s="80"/>
      <c r="W3" s="80"/>
      <c r="X3" s="80"/>
      <c r="Y3" s="80"/>
      <c r="Z3" s="80"/>
    </row>
    <row r="5" spans="1:27" ht="18" customHeight="1" x14ac:dyDescent="0.15">
      <c r="B5" s="78" t="str">
        <f>IF('【様式第６号】事業計画書兼チェックシート（新築）'!BG28="","鳥取県　　　　　所長　様",'【様式第６号】事業計画書兼チェックシート（新築）'!BG28&amp;"　様")</f>
        <v>鳥取県西部総合事務所長　様</v>
      </c>
    </row>
    <row r="7" spans="1:27" ht="18" customHeight="1" x14ac:dyDescent="0.15">
      <c r="M7" s="78" t="s">
        <v>14</v>
      </c>
    </row>
    <row r="8" spans="1:27" ht="18" customHeight="1" x14ac:dyDescent="0.15">
      <c r="M8" s="78" t="s">
        <v>13</v>
      </c>
      <c r="O8" s="81" t="s">
        <v>47</v>
      </c>
      <c r="P8" s="584" t="str">
        <f>IF('【様式第６号】事業計画書兼チェックシート（新築）'!O10="","",'【様式第６号】事業計画書兼チェックシート（新築）'!O10)</f>
        <v/>
      </c>
      <c r="Q8" s="584"/>
      <c r="R8" s="584"/>
      <c r="S8" s="584"/>
      <c r="T8" s="584"/>
      <c r="U8" s="584"/>
      <c r="V8" s="584"/>
      <c r="W8" s="584"/>
      <c r="X8" s="584"/>
    </row>
    <row r="9" spans="1:27" ht="50.25" customHeight="1" x14ac:dyDescent="0.15">
      <c r="O9" s="612" t="str">
        <f>IF('【様式第６号】事業計画書兼チェックシート（新築）'!N11="","",'【様式第６号】事業計画書兼チェックシート（新築）'!N11)</f>
        <v/>
      </c>
      <c r="P9" s="612"/>
      <c r="Q9" s="612"/>
      <c r="R9" s="612"/>
      <c r="S9" s="612"/>
      <c r="T9" s="612"/>
      <c r="U9" s="612"/>
      <c r="V9" s="612"/>
      <c r="W9" s="612"/>
      <c r="X9" s="612"/>
    </row>
    <row r="10" spans="1:27" ht="18" customHeight="1" x14ac:dyDescent="0.15">
      <c r="M10" s="78" t="s">
        <v>6</v>
      </c>
      <c r="O10" s="612" t="str">
        <f>IF('【様式第６号】事業計画書兼チェックシート（新築）'!N12="","",'【様式第６号】事業計画書兼チェックシート（新築）'!N12)</f>
        <v/>
      </c>
      <c r="P10" s="612"/>
      <c r="Q10" s="612"/>
      <c r="R10" s="612"/>
      <c r="S10" s="612"/>
      <c r="T10" s="612"/>
      <c r="U10" s="612"/>
      <c r="V10" s="612"/>
      <c r="W10" s="612"/>
      <c r="X10" s="612"/>
      <c r="AA10" s="79" t="s">
        <v>83</v>
      </c>
    </row>
    <row r="11" spans="1:27" ht="18" customHeight="1" x14ac:dyDescent="0.15">
      <c r="M11" s="78" t="s">
        <v>9</v>
      </c>
      <c r="O11" s="581" t="str">
        <f>IF('【様式第６号】事業計画書兼チェックシート（新築）'!N13="","",'【様式第６号】事業計画書兼チェックシート（新築）'!N13)</f>
        <v/>
      </c>
      <c r="P11" s="581"/>
      <c r="Q11" s="581"/>
      <c r="R11" s="581"/>
      <c r="S11" s="581"/>
      <c r="T11" s="581"/>
      <c r="U11" s="581"/>
      <c r="V11" s="581"/>
      <c r="W11" s="581"/>
      <c r="X11" s="581"/>
    </row>
    <row r="12" spans="1:27" ht="18" hidden="1" customHeight="1" x14ac:dyDescent="0.15"/>
    <row r="14" spans="1:27" ht="18" customHeight="1" x14ac:dyDescent="0.15">
      <c r="A14" s="583" t="s">
        <v>523</v>
      </c>
      <c r="B14" s="583"/>
      <c r="C14" s="583"/>
      <c r="D14" s="583"/>
      <c r="E14" s="583"/>
      <c r="F14" s="583"/>
      <c r="G14" s="583"/>
      <c r="H14" s="583"/>
      <c r="I14" s="583"/>
      <c r="J14" s="583"/>
      <c r="K14" s="583"/>
      <c r="L14" s="583"/>
      <c r="M14" s="583"/>
      <c r="N14" s="583"/>
      <c r="O14" s="583"/>
      <c r="P14" s="583"/>
      <c r="Q14" s="583"/>
      <c r="R14" s="583"/>
      <c r="S14" s="583"/>
      <c r="T14" s="583"/>
      <c r="U14" s="583"/>
      <c r="V14" s="583"/>
      <c r="W14" s="583"/>
      <c r="X14" s="583"/>
      <c r="Y14" s="583"/>
      <c r="Z14" s="583"/>
    </row>
    <row r="16" spans="1:27" ht="36" customHeight="1" x14ac:dyDescent="0.15">
      <c r="A16" s="582" t="s">
        <v>24</v>
      </c>
      <c r="B16" s="582"/>
      <c r="C16" s="582"/>
      <c r="D16" s="582"/>
      <c r="E16" s="582"/>
      <c r="F16" s="582"/>
      <c r="G16" s="582"/>
      <c r="H16" s="582"/>
      <c r="I16" s="582"/>
      <c r="J16" s="582"/>
      <c r="K16" s="582"/>
      <c r="L16" s="582"/>
      <c r="M16" s="582"/>
      <c r="N16" s="582"/>
      <c r="O16" s="582"/>
      <c r="P16" s="582"/>
      <c r="Q16" s="582"/>
      <c r="R16" s="582"/>
      <c r="S16" s="582"/>
      <c r="T16" s="582"/>
      <c r="U16" s="582"/>
      <c r="V16" s="582"/>
      <c r="W16" s="582"/>
      <c r="X16" s="582"/>
      <c r="Y16" s="582"/>
      <c r="Z16" s="582"/>
    </row>
    <row r="18" spans="1:27" ht="18" customHeight="1" x14ac:dyDescent="0.15">
      <c r="A18" s="583" t="s">
        <v>15</v>
      </c>
      <c r="B18" s="583"/>
      <c r="C18" s="583"/>
      <c r="D18" s="583"/>
      <c r="E18" s="583"/>
      <c r="F18" s="583"/>
      <c r="G18" s="583"/>
      <c r="H18" s="583"/>
      <c r="I18" s="583"/>
      <c r="J18" s="583"/>
      <c r="K18" s="583"/>
      <c r="L18" s="583"/>
      <c r="M18" s="583"/>
      <c r="N18" s="583"/>
      <c r="O18" s="583"/>
      <c r="P18" s="583"/>
      <c r="Q18" s="583"/>
      <c r="R18" s="583"/>
      <c r="S18" s="583"/>
      <c r="T18" s="583"/>
      <c r="U18" s="583"/>
      <c r="V18" s="583"/>
      <c r="W18" s="583"/>
      <c r="X18" s="583"/>
      <c r="Y18" s="583"/>
      <c r="Z18" s="583"/>
    </row>
    <row r="19" spans="1:27" ht="18" hidden="1" customHeight="1" x14ac:dyDescent="0.15"/>
    <row r="20" spans="1:27" ht="18" customHeight="1" x14ac:dyDescent="0.15">
      <c r="B20" s="82" t="s">
        <v>16</v>
      </c>
      <c r="C20" s="83"/>
      <c r="D20" s="83"/>
      <c r="E20" s="83"/>
      <c r="F20" s="83"/>
      <c r="G20" s="84"/>
      <c r="H20" s="577" t="s">
        <v>17</v>
      </c>
      <c r="I20" s="578"/>
      <c r="J20" s="578"/>
      <c r="K20" s="578"/>
      <c r="L20" s="578"/>
      <c r="M20" s="578"/>
      <c r="N20" s="578"/>
      <c r="O20" s="578"/>
      <c r="P20" s="578"/>
      <c r="Q20" s="578"/>
      <c r="R20" s="578"/>
      <c r="S20" s="578"/>
      <c r="T20" s="578"/>
      <c r="U20" s="578"/>
      <c r="V20" s="578"/>
      <c r="W20" s="578"/>
      <c r="X20" s="578"/>
      <c r="Y20" s="579"/>
    </row>
    <row r="21" spans="1:27" ht="18" customHeight="1" x14ac:dyDescent="0.15">
      <c r="B21" s="82" t="s">
        <v>18</v>
      </c>
      <c r="C21" s="83"/>
      <c r="D21" s="83"/>
      <c r="E21" s="83"/>
      <c r="F21" s="83"/>
      <c r="G21" s="84"/>
      <c r="H21" s="85"/>
      <c r="I21" s="86"/>
      <c r="J21" s="86"/>
      <c r="K21" s="86"/>
      <c r="L21" s="87" t="s">
        <v>25</v>
      </c>
      <c r="M21" s="580" t="str">
        <f>IF('【様式第６号】事業計画書兼チェックシート（新築）'!T231="","",'【様式第６号】事業計画書兼チェックシート（新築）'!AB227*10000)</f>
        <v/>
      </c>
      <c r="N21" s="580"/>
      <c r="O21" s="580"/>
      <c r="P21" s="580"/>
      <c r="Q21" s="580"/>
      <c r="R21" s="580"/>
      <c r="S21" s="86" t="s">
        <v>19</v>
      </c>
      <c r="T21" s="86"/>
      <c r="U21" s="86"/>
      <c r="V21" s="86"/>
      <c r="W21" s="86"/>
      <c r="X21" s="86"/>
      <c r="Y21" s="88"/>
      <c r="AA21" s="79" t="s">
        <v>84</v>
      </c>
    </row>
    <row r="22" spans="1:27" ht="18" customHeight="1" x14ac:dyDescent="0.15">
      <c r="B22" s="82" t="s">
        <v>20</v>
      </c>
      <c r="C22" s="83"/>
      <c r="D22" s="83"/>
      <c r="E22" s="83"/>
      <c r="F22" s="83"/>
      <c r="G22" s="84"/>
      <c r="H22" s="89"/>
      <c r="I22" s="90"/>
      <c r="J22" s="90"/>
      <c r="K22" s="90"/>
      <c r="L22" s="91" t="s">
        <v>25</v>
      </c>
      <c r="M22" s="580" t="str">
        <f>IF('【様式第６号】事業計画書兼チェックシート（新築）'!T231="","",'【様式第６号】事業計画書兼チェックシート（新築）'!T231*10000)</f>
        <v/>
      </c>
      <c r="N22" s="580"/>
      <c r="O22" s="580"/>
      <c r="P22" s="580"/>
      <c r="Q22" s="580"/>
      <c r="R22" s="580"/>
      <c r="S22" s="86" t="s">
        <v>19</v>
      </c>
      <c r="T22" s="90"/>
      <c r="U22" s="90"/>
      <c r="V22" s="90"/>
      <c r="W22" s="90"/>
      <c r="X22" s="90"/>
      <c r="Y22" s="92"/>
      <c r="AA22" s="79" t="s">
        <v>84</v>
      </c>
    </row>
    <row r="23" spans="1:27" ht="18" customHeight="1" x14ac:dyDescent="0.15">
      <c r="B23" s="93" t="s">
        <v>21</v>
      </c>
      <c r="C23" s="94"/>
      <c r="D23" s="94"/>
      <c r="E23" s="94"/>
      <c r="F23" s="94"/>
      <c r="G23" s="95"/>
      <c r="H23" s="96"/>
      <c r="I23" s="97"/>
      <c r="J23" s="94"/>
      <c r="K23" s="94"/>
      <c r="L23" s="94"/>
      <c r="M23" s="94"/>
      <c r="N23" s="94"/>
      <c r="O23" s="94"/>
      <c r="P23" s="94"/>
      <c r="Q23" s="94"/>
      <c r="R23" s="94"/>
      <c r="S23" s="94"/>
      <c r="T23" s="94"/>
      <c r="U23" s="94"/>
      <c r="V23" s="94"/>
      <c r="W23" s="94"/>
      <c r="X23" s="94"/>
      <c r="Y23" s="95"/>
    </row>
    <row r="24" spans="1:27" ht="18" customHeight="1" x14ac:dyDescent="0.15">
      <c r="B24" s="98"/>
      <c r="C24" s="99"/>
      <c r="D24" s="99"/>
      <c r="E24" s="99"/>
      <c r="F24" s="99"/>
      <c r="G24" s="100"/>
      <c r="H24" s="101" t="s">
        <v>518</v>
      </c>
      <c r="I24" s="102"/>
      <c r="J24" s="99"/>
      <c r="K24" s="99"/>
      <c r="L24" s="99"/>
      <c r="M24" s="99"/>
      <c r="N24" s="99"/>
      <c r="O24" s="99"/>
      <c r="P24" s="99"/>
      <c r="Q24" s="99"/>
      <c r="R24" s="99"/>
      <c r="S24" s="99"/>
      <c r="T24" s="99"/>
      <c r="U24" s="99"/>
      <c r="V24" s="99"/>
      <c r="W24" s="99"/>
      <c r="X24" s="99"/>
      <c r="Y24" s="100"/>
      <c r="AA24" s="79" t="s">
        <v>85</v>
      </c>
    </row>
    <row r="25" spans="1:27" ht="18" customHeight="1" x14ac:dyDescent="0.15">
      <c r="B25" s="98"/>
      <c r="C25" s="99"/>
      <c r="D25" s="99"/>
      <c r="E25" s="99"/>
      <c r="F25" s="99"/>
      <c r="G25" s="100"/>
      <c r="H25" s="101" t="s">
        <v>519</v>
      </c>
      <c r="I25" s="102"/>
      <c r="J25" s="99"/>
      <c r="K25" s="99"/>
      <c r="L25" s="99"/>
      <c r="M25" s="99"/>
      <c r="N25" s="99"/>
      <c r="O25" s="99"/>
      <c r="P25" s="99"/>
      <c r="Q25" s="99"/>
      <c r="R25" s="99"/>
      <c r="S25" s="99"/>
      <c r="T25" s="99"/>
      <c r="U25" s="99"/>
      <c r="V25" s="99"/>
      <c r="W25" s="99"/>
      <c r="X25" s="99"/>
      <c r="Y25" s="100"/>
    </row>
    <row r="26" spans="1:27" ht="18" hidden="1" customHeight="1" x14ac:dyDescent="0.15">
      <c r="B26" s="98"/>
      <c r="C26" s="99"/>
      <c r="D26" s="99"/>
      <c r="E26" s="99"/>
      <c r="F26" s="99"/>
      <c r="G26" s="100"/>
      <c r="H26" s="101" t="str">
        <f>IF('【様式第６号】事業計画書兼チェックシート（新築）'!I75="有","・他に利用する補助金一覧表（様式第６号別紙）","")</f>
        <v/>
      </c>
      <c r="I26" s="102"/>
      <c r="J26" s="99"/>
      <c r="K26" s="99"/>
      <c r="L26" s="99"/>
      <c r="M26" s="99"/>
      <c r="N26" s="99"/>
      <c r="O26" s="99"/>
      <c r="P26" s="99"/>
      <c r="Q26" s="99"/>
      <c r="R26" s="99"/>
      <c r="S26" s="99"/>
      <c r="T26" s="99"/>
      <c r="U26" s="99"/>
      <c r="V26" s="99"/>
      <c r="W26" s="99"/>
      <c r="X26" s="99"/>
      <c r="Y26" s="100"/>
    </row>
    <row r="27" spans="1:27" ht="18" customHeight="1" x14ac:dyDescent="0.15">
      <c r="B27" s="98"/>
      <c r="C27" s="99"/>
      <c r="D27" s="99"/>
      <c r="E27" s="99"/>
      <c r="F27" s="99"/>
      <c r="G27" s="100"/>
      <c r="H27" s="101" t="str">
        <f>IF('【様式第６号】事業計画書兼チェックシート（新築）'!C243="","","・"&amp;'【様式第６号】事業計画書兼チェックシート（新築）'!C243)</f>
        <v>・各階平面図、配置図</v>
      </c>
      <c r="I27" s="102"/>
      <c r="J27" s="99"/>
      <c r="K27" s="99"/>
      <c r="L27" s="99"/>
      <c r="M27" s="99"/>
      <c r="N27" s="99"/>
      <c r="O27" s="99"/>
      <c r="P27" s="99"/>
      <c r="Q27" s="99"/>
      <c r="R27" s="99"/>
      <c r="S27" s="99"/>
      <c r="T27" s="99"/>
      <c r="U27" s="99"/>
      <c r="V27" s="99"/>
      <c r="W27" s="99"/>
      <c r="X27" s="99"/>
      <c r="Y27" s="100"/>
    </row>
    <row r="28" spans="1:27" ht="18" customHeight="1" x14ac:dyDescent="0.15">
      <c r="B28" s="98"/>
      <c r="C28" s="99"/>
      <c r="D28" s="99"/>
      <c r="E28" s="99"/>
      <c r="F28" s="99"/>
      <c r="G28" s="100"/>
      <c r="H28" s="101" t="s">
        <v>257</v>
      </c>
      <c r="I28" s="102"/>
      <c r="J28" s="99"/>
      <c r="K28" s="99"/>
      <c r="L28" s="99"/>
      <c r="M28" s="99"/>
      <c r="N28" s="99"/>
      <c r="O28" s="99"/>
      <c r="P28" s="99"/>
      <c r="Q28" s="99"/>
      <c r="R28" s="99"/>
      <c r="S28" s="99"/>
      <c r="T28" s="99"/>
      <c r="U28" s="99"/>
      <c r="V28" s="99"/>
      <c r="W28" s="99"/>
      <c r="X28" s="99"/>
      <c r="Y28" s="100"/>
    </row>
    <row r="29" spans="1:27" ht="18" customHeight="1" x14ac:dyDescent="0.15">
      <c r="B29" s="98"/>
      <c r="C29" s="99"/>
      <c r="D29" s="99"/>
      <c r="E29" s="99"/>
      <c r="F29" s="99"/>
      <c r="G29" s="100"/>
      <c r="H29" s="101"/>
      <c r="I29" s="102"/>
      <c r="J29" s="99"/>
      <c r="K29" s="99"/>
      <c r="L29" s="99"/>
      <c r="M29" s="99"/>
      <c r="N29" s="99"/>
      <c r="O29" s="99"/>
      <c r="P29" s="99"/>
      <c r="Q29" s="99"/>
      <c r="R29" s="99"/>
      <c r="S29" s="99"/>
      <c r="T29" s="99"/>
      <c r="U29" s="99"/>
      <c r="V29" s="99"/>
      <c r="W29" s="99"/>
      <c r="X29" s="99"/>
      <c r="Y29" s="100"/>
    </row>
    <row r="30" spans="1:27" ht="18" customHeight="1" x14ac:dyDescent="0.15">
      <c r="B30" s="98"/>
      <c r="C30" s="99"/>
      <c r="D30" s="99"/>
      <c r="E30" s="99"/>
      <c r="F30" s="99"/>
      <c r="G30" s="100"/>
      <c r="H30" s="101"/>
      <c r="I30" s="102"/>
      <c r="J30" s="99"/>
      <c r="K30" s="99"/>
      <c r="L30" s="99"/>
      <c r="M30" s="99"/>
      <c r="N30" s="99"/>
      <c r="O30" s="99"/>
      <c r="P30" s="99"/>
      <c r="Q30" s="99"/>
      <c r="R30" s="99"/>
      <c r="S30" s="99"/>
      <c r="T30" s="99"/>
      <c r="U30" s="99"/>
      <c r="V30" s="99"/>
      <c r="W30" s="99"/>
      <c r="X30" s="99"/>
      <c r="Y30" s="100"/>
    </row>
    <row r="31" spans="1:27" ht="18" customHeight="1" x14ac:dyDescent="0.15">
      <c r="B31" s="98"/>
      <c r="C31" s="99"/>
      <c r="D31" s="99"/>
      <c r="E31" s="99"/>
      <c r="F31" s="99"/>
      <c r="G31" s="100"/>
      <c r="H31" s="103"/>
      <c r="I31" s="102"/>
      <c r="J31" s="99"/>
      <c r="K31" s="99"/>
      <c r="L31" s="99"/>
      <c r="M31" s="99"/>
      <c r="N31" s="99"/>
      <c r="O31" s="99"/>
      <c r="P31" s="99"/>
      <c r="Q31" s="99"/>
      <c r="R31" s="99"/>
      <c r="S31" s="99"/>
      <c r="T31" s="99"/>
      <c r="U31" s="99"/>
      <c r="V31" s="99"/>
      <c r="W31" s="99"/>
      <c r="X31" s="99"/>
      <c r="Y31" s="100"/>
    </row>
    <row r="32" spans="1:27" ht="18" customHeight="1" x14ac:dyDescent="0.15">
      <c r="B32" s="104"/>
      <c r="C32" s="105"/>
      <c r="D32" s="105"/>
      <c r="E32" s="105"/>
      <c r="F32" s="105"/>
      <c r="G32" s="106"/>
      <c r="H32" s="107"/>
      <c r="I32" s="108"/>
      <c r="J32" s="105"/>
      <c r="K32" s="105"/>
      <c r="L32" s="105"/>
      <c r="M32" s="105"/>
      <c r="N32" s="105"/>
      <c r="O32" s="105"/>
      <c r="P32" s="105"/>
      <c r="Q32" s="105"/>
      <c r="R32" s="105"/>
      <c r="S32" s="105"/>
      <c r="T32" s="105"/>
      <c r="U32" s="105"/>
      <c r="V32" s="105"/>
      <c r="W32" s="105"/>
      <c r="X32" s="105"/>
      <c r="Y32" s="106"/>
    </row>
    <row r="33" spans="1:35" ht="11.25" customHeight="1" x14ac:dyDescent="0.15">
      <c r="K33" s="109"/>
    </row>
    <row r="34" spans="1:35" ht="11.25" customHeight="1" x14ac:dyDescent="0.15"/>
    <row r="35" spans="1:35" s="114" customFormat="1" ht="18" customHeight="1" x14ac:dyDescent="0.15">
      <c r="A35" s="110" t="s">
        <v>234</v>
      </c>
      <c r="B35" s="111"/>
      <c r="C35" s="111"/>
      <c r="D35" s="111"/>
      <c r="E35" s="111"/>
      <c r="F35" s="111"/>
      <c r="G35" s="111"/>
      <c r="H35" s="111"/>
      <c r="I35" s="111"/>
      <c r="J35" s="111"/>
      <c r="K35" s="111"/>
      <c r="L35" s="111"/>
      <c r="M35" s="111"/>
      <c r="N35" s="111"/>
      <c r="O35" s="111"/>
      <c r="P35" s="111"/>
      <c r="Q35" s="112"/>
      <c r="R35" s="111"/>
      <c r="S35" s="111"/>
      <c r="T35" s="111"/>
      <c r="U35" s="111"/>
      <c r="V35" s="111"/>
      <c r="W35" s="111"/>
      <c r="X35" s="111"/>
      <c r="Y35" s="111"/>
      <c r="Z35" s="111"/>
      <c r="AA35" s="113"/>
    </row>
    <row r="36" spans="1:35" s="115" customFormat="1" ht="18" customHeight="1" x14ac:dyDescent="0.15">
      <c r="A36" s="110"/>
      <c r="B36" s="115" t="s">
        <v>12</v>
      </c>
      <c r="AA36" s="116"/>
    </row>
    <row r="37" spans="1:35" s="114" customFormat="1" ht="18" customHeight="1" x14ac:dyDescent="0.15">
      <c r="B37" s="597" t="s">
        <v>235</v>
      </c>
      <c r="C37" s="598"/>
      <c r="D37" s="598"/>
      <c r="E37" s="598"/>
      <c r="F37" s="598"/>
      <c r="G37" s="598"/>
      <c r="H37" s="599"/>
      <c r="I37" s="117" t="s">
        <v>10</v>
      </c>
      <c r="J37" s="603"/>
      <c r="K37" s="603"/>
      <c r="L37" s="603"/>
      <c r="M37" s="604"/>
      <c r="N37" s="604"/>
      <c r="O37" s="604"/>
      <c r="P37" s="604"/>
      <c r="Q37" s="604"/>
      <c r="R37" s="604"/>
      <c r="S37" s="604"/>
      <c r="T37" s="604"/>
      <c r="U37" s="604"/>
      <c r="V37" s="604"/>
      <c r="W37" s="604"/>
      <c r="X37" s="604"/>
      <c r="Y37" s="605"/>
      <c r="AA37" s="79"/>
    </row>
    <row r="38" spans="1:35" s="114" customFormat="1" ht="18" customHeight="1" x14ac:dyDescent="0.15">
      <c r="B38" s="600"/>
      <c r="C38" s="601"/>
      <c r="D38" s="601"/>
      <c r="E38" s="601"/>
      <c r="F38" s="601"/>
      <c r="G38" s="601"/>
      <c r="H38" s="602"/>
      <c r="I38" s="606"/>
      <c r="J38" s="607"/>
      <c r="K38" s="607"/>
      <c r="L38" s="607"/>
      <c r="M38" s="607"/>
      <c r="N38" s="607"/>
      <c r="O38" s="607"/>
      <c r="P38" s="607"/>
      <c r="Q38" s="607"/>
      <c r="R38" s="607"/>
      <c r="S38" s="607"/>
      <c r="T38" s="607"/>
      <c r="U38" s="607"/>
      <c r="V38" s="607"/>
      <c r="W38" s="607"/>
      <c r="X38" s="607"/>
      <c r="Y38" s="608"/>
      <c r="AA38" s="113"/>
      <c r="AB38" s="113"/>
      <c r="AC38" s="113"/>
      <c r="AD38" s="113"/>
      <c r="AE38" s="113"/>
      <c r="AF38" s="113"/>
      <c r="AG38" s="113"/>
      <c r="AH38" s="113"/>
      <c r="AI38" s="113"/>
    </row>
    <row r="39" spans="1:35" s="114" customFormat="1" ht="24" customHeight="1" x14ac:dyDescent="0.15">
      <c r="B39" s="586" t="s">
        <v>236</v>
      </c>
      <c r="C39" s="587"/>
      <c r="D39" s="587"/>
      <c r="E39" s="587"/>
      <c r="F39" s="587"/>
      <c r="G39" s="587"/>
      <c r="H39" s="588"/>
      <c r="I39" s="609"/>
      <c r="J39" s="610"/>
      <c r="K39" s="610"/>
      <c r="L39" s="610"/>
      <c r="M39" s="610"/>
      <c r="N39" s="610"/>
      <c r="O39" s="610"/>
      <c r="P39" s="610"/>
      <c r="Q39" s="610"/>
      <c r="R39" s="610"/>
      <c r="S39" s="610"/>
      <c r="T39" s="610"/>
      <c r="U39" s="610"/>
      <c r="V39" s="610"/>
      <c r="W39" s="610"/>
      <c r="X39" s="610"/>
      <c r="Y39" s="611"/>
      <c r="AA39" s="113"/>
      <c r="AB39" s="113"/>
      <c r="AC39" s="113"/>
      <c r="AD39" s="113"/>
      <c r="AE39" s="113"/>
      <c r="AF39" s="113"/>
      <c r="AG39" s="113"/>
      <c r="AH39" s="113"/>
      <c r="AI39" s="113"/>
    </row>
    <row r="40" spans="1:35" s="114" customFormat="1" ht="18" customHeight="1" x14ac:dyDescent="0.15">
      <c r="B40" s="586" t="s">
        <v>22</v>
      </c>
      <c r="C40" s="587"/>
      <c r="D40" s="587"/>
      <c r="E40" s="587"/>
      <c r="F40" s="587"/>
      <c r="G40" s="587"/>
      <c r="H40" s="588"/>
      <c r="I40" s="594"/>
      <c r="J40" s="595"/>
      <c r="K40" s="595"/>
      <c r="L40" s="595"/>
      <c r="M40" s="596"/>
      <c r="N40" s="591" t="s">
        <v>9</v>
      </c>
      <c r="O40" s="592"/>
      <c r="P40" s="593"/>
      <c r="Q40" s="589" t="s">
        <v>11</v>
      </c>
      <c r="R40" s="589"/>
      <c r="S40" s="589"/>
      <c r="T40" s="589"/>
      <c r="U40" s="589"/>
      <c r="V40" s="589"/>
      <c r="W40" s="589"/>
      <c r="X40" s="589"/>
      <c r="Y40" s="590"/>
      <c r="AA40" s="113"/>
      <c r="AB40" s="113"/>
      <c r="AC40" s="113"/>
      <c r="AD40" s="113"/>
      <c r="AE40" s="113"/>
      <c r="AF40" s="113"/>
      <c r="AG40" s="113"/>
      <c r="AH40" s="118"/>
      <c r="AI40" s="113"/>
    </row>
    <row r="41" spans="1:35" s="114" customFormat="1" ht="18" customHeight="1" x14ac:dyDescent="0.15">
      <c r="AA41" s="113"/>
      <c r="AB41" s="113"/>
      <c r="AC41" s="113"/>
      <c r="AD41" s="113"/>
      <c r="AE41" s="113"/>
      <c r="AF41" s="113"/>
      <c r="AG41" s="113"/>
      <c r="AH41" s="113"/>
      <c r="AI41" s="113"/>
    </row>
  </sheetData>
  <mergeCells count="23">
    <mergeCell ref="P8:X8"/>
    <mergeCell ref="Q2:R2"/>
    <mergeCell ref="T2:U2"/>
    <mergeCell ref="W2:X2"/>
    <mergeCell ref="B40:H40"/>
    <mergeCell ref="Q40:Y40"/>
    <mergeCell ref="N40:P40"/>
    <mergeCell ref="I40:M40"/>
    <mergeCell ref="B37:H38"/>
    <mergeCell ref="J37:L37"/>
    <mergeCell ref="M37:Y37"/>
    <mergeCell ref="I38:Y38"/>
    <mergeCell ref="B39:H39"/>
    <mergeCell ref="I39:Y39"/>
    <mergeCell ref="O9:X9"/>
    <mergeCell ref="O10:X10"/>
    <mergeCell ref="H20:Y20"/>
    <mergeCell ref="M21:R21"/>
    <mergeCell ref="M22:R22"/>
    <mergeCell ref="O11:X11"/>
    <mergeCell ref="A16:Z16"/>
    <mergeCell ref="A14:Z14"/>
    <mergeCell ref="A18:Z18"/>
  </mergeCells>
  <phoneticPr fontId="1"/>
  <conditionalFormatting sqref="A2:O2 S2:T2 V2:W2 Y2:Z2">
    <cfRule type="cellIs" dxfId="15"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horizontalDpi="1200" verticalDpi="1200" r:id="rId1"/>
  <ignoredErrors>
    <ignoredError sqref="T2 W2 Q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1"/>
  <sheetViews>
    <sheetView view="pageBreakPreview" topLeftCell="A4" zoomScaleNormal="100" zoomScaleSheetLayoutView="100" workbookViewId="0">
      <selection activeCell="U32" sqref="U32"/>
    </sheetView>
  </sheetViews>
  <sheetFormatPr defaultColWidth="3.125" defaultRowHeight="18" customHeight="1" x14ac:dyDescent="0.15"/>
  <cols>
    <col min="1" max="26" width="3.125" style="78"/>
    <col min="27" max="27" width="3.125" style="79"/>
    <col min="28" max="16384" width="3.125" style="78"/>
  </cols>
  <sheetData>
    <row r="1" spans="1:27" ht="18" customHeight="1" x14ac:dyDescent="0.15">
      <c r="A1" s="78" t="s">
        <v>167</v>
      </c>
    </row>
    <row r="2" spans="1:27" ht="18" customHeight="1" x14ac:dyDescent="0.15">
      <c r="A2" s="144"/>
      <c r="B2" s="144"/>
      <c r="C2" s="144"/>
      <c r="D2" s="144"/>
      <c r="E2" s="144"/>
      <c r="F2" s="144"/>
      <c r="G2" s="144"/>
      <c r="H2" s="144"/>
      <c r="I2" s="144"/>
      <c r="J2" s="144"/>
      <c r="K2" s="144"/>
      <c r="L2" s="144"/>
      <c r="M2" s="144"/>
      <c r="N2" s="144"/>
      <c r="O2" s="145" t="s">
        <v>274</v>
      </c>
      <c r="P2" s="145"/>
      <c r="Q2" s="585" t="str">
        <f>IF('【様式第６号】事業計画書兼チェックシート（新築）'!E8="","",'【様式第６号】事業計画書兼チェックシート（新築）'!E8)</f>
        <v/>
      </c>
      <c r="R2" s="585"/>
      <c r="S2" s="144" t="s">
        <v>8</v>
      </c>
      <c r="T2" s="585" t="str">
        <f>IF('【様式第６号】事業計画書兼チェックシート（新築）'!H8="","",'【様式第６号】事業計画書兼チェックシート（新築）'!H8)</f>
        <v/>
      </c>
      <c r="U2" s="585"/>
      <c r="V2" s="144" t="s">
        <v>272</v>
      </c>
      <c r="W2" s="585" t="str">
        <f>IF('【様式第６号】事業計画書兼チェックシート（新築）'!K8="","",'【様式第６号】事業計画書兼チェックシート（新築）'!K8)</f>
        <v/>
      </c>
      <c r="X2" s="585"/>
      <c r="Y2" s="144" t="s">
        <v>7</v>
      </c>
      <c r="Z2" s="144"/>
      <c r="AA2" s="79" t="s">
        <v>276</v>
      </c>
    </row>
    <row r="3" spans="1:27" ht="18" hidden="1" customHeight="1" x14ac:dyDescent="0.15">
      <c r="A3" s="80"/>
      <c r="B3" s="80"/>
      <c r="C3" s="80"/>
      <c r="D3" s="80"/>
      <c r="E3" s="80"/>
      <c r="F3" s="80"/>
      <c r="G3" s="80"/>
      <c r="H3" s="80"/>
      <c r="I3" s="80"/>
      <c r="J3" s="80"/>
      <c r="K3" s="80"/>
      <c r="L3" s="80"/>
      <c r="M3" s="80"/>
      <c r="N3" s="80"/>
      <c r="O3" s="80"/>
      <c r="P3" s="80"/>
      <c r="Q3" s="80"/>
      <c r="R3" s="80"/>
      <c r="S3" s="80"/>
      <c r="T3" s="80"/>
      <c r="U3" s="80"/>
      <c r="V3" s="80"/>
      <c r="W3" s="80"/>
      <c r="X3" s="80"/>
      <c r="Y3" s="80"/>
      <c r="Z3" s="80"/>
    </row>
    <row r="5" spans="1:27" ht="18" customHeight="1" x14ac:dyDescent="0.15">
      <c r="B5" s="78" t="str">
        <f>IF('【様式第６号】事業計画書兼チェックシート（新築）'!BG28="","鳥取県　　　　　所長　様",'【様式第６号】事業計画書兼チェックシート（新築）'!BG28&amp;"　様")</f>
        <v>鳥取県西部総合事務所長　様</v>
      </c>
    </row>
    <row r="7" spans="1:27" ht="18" customHeight="1" x14ac:dyDescent="0.15">
      <c r="M7" s="78" t="s">
        <v>14</v>
      </c>
    </row>
    <row r="8" spans="1:27" ht="18" customHeight="1" x14ac:dyDescent="0.15">
      <c r="M8" s="78" t="s">
        <v>13</v>
      </c>
      <c r="O8" s="81" t="s">
        <v>10</v>
      </c>
      <c r="P8" s="584" t="str">
        <f>IF('【様式第６号】事業計画書兼チェックシート（新築）'!O10="","",'【様式第６号】事業計画書兼チェックシート（新築）'!O10)</f>
        <v/>
      </c>
      <c r="Q8" s="584"/>
      <c r="R8" s="584"/>
      <c r="S8" s="584"/>
      <c r="T8" s="584"/>
      <c r="U8" s="584"/>
      <c r="V8" s="584"/>
      <c r="W8" s="584"/>
      <c r="X8" s="584"/>
    </row>
    <row r="9" spans="1:27" ht="50.25" customHeight="1" x14ac:dyDescent="0.15">
      <c r="O9" s="612" t="str">
        <f>IF('【様式第６号】事業計画書兼チェックシート（新築）'!N11="","",'【様式第６号】事業計画書兼チェックシート（新築）'!N11)</f>
        <v/>
      </c>
      <c r="P9" s="612"/>
      <c r="Q9" s="612"/>
      <c r="R9" s="612"/>
      <c r="S9" s="612"/>
      <c r="T9" s="612"/>
      <c r="U9" s="612"/>
      <c r="V9" s="612"/>
      <c r="W9" s="612"/>
      <c r="X9" s="612"/>
    </row>
    <row r="10" spans="1:27" ht="18" customHeight="1" x14ac:dyDescent="0.15">
      <c r="M10" s="78" t="s">
        <v>6</v>
      </c>
      <c r="O10" s="612" t="str">
        <f>IF('【様式第６号】事業計画書兼チェックシート（新築）'!N12="","",'【様式第６号】事業計画書兼チェックシート（新築）'!N12)</f>
        <v/>
      </c>
      <c r="P10" s="612"/>
      <c r="Q10" s="612"/>
      <c r="R10" s="612"/>
      <c r="S10" s="612"/>
      <c r="T10" s="612"/>
      <c r="U10" s="612"/>
      <c r="V10" s="612"/>
      <c r="W10" s="612"/>
      <c r="X10" s="612"/>
      <c r="AA10" s="79" t="s">
        <v>83</v>
      </c>
    </row>
    <row r="11" spans="1:27" ht="18" customHeight="1" x14ac:dyDescent="0.15">
      <c r="M11" s="78" t="s">
        <v>9</v>
      </c>
      <c r="O11" s="581" t="str">
        <f>IF('【様式第６号】事業計画書兼チェックシート（新築）'!N13="","",'【様式第６号】事業計画書兼チェックシート（新築）'!N13)</f>
        <v/>
      </c>
      <c r="P11" s="581"/>
      <c r="Q11" s="581"/>
      <c r="R11" s="581"/>
      <c r="S11" s="581"/>
      <c r="T11" s="581"/>
      <c r="U11" s="581"/>
      <c r="V11" s="581"/>
      <c r="W11" s="581"/>
      <c r="X11" s="581"/>
    </row>
    <row r="12" spans="1:27" ht="18" hidden="1" customHeight="1" x14ac:dyDescent="0.15"/>
    <row r="14" spans="1:27" ht="18" customHeight="1" x14ac:dyDescent="0.15">
      <c r="A14" s="583" t="s">
        <v>524</v>
      </c>
      <c r="B14" s="583"/>
      <c r="C14" s="583"/>
      <c r="D14" s="583"/>
      <c r="E14" s="583"/>
      <c r="F14" s="583"/>
      <c r="G14" s="583"/>
      <c r="H14" s="583"/>
      <c r="I14" s="583"/>
      <c r="J14" s="583"/>
      <c r="K14" s="583"/>
      <c r="L14" s="583"/>
      <c r="M14" s="583"/>
      <c r="N14" s="583"/>
      <c r="O14" s="583"/>
      <c r="P14" s="583"/>
      <c r="Q14" s="583"/>
      <c r="R14" s="583"/>
      <c r="S14" s="583"/>
      <c r="T14" s="583"/>
      <c r="U14" s="583"/>
      <c r="V14" s="583"/>
      <c r="W14" s="583"/>
      <c r="X14" s="583"/>
      <c r="Y14" s="583"/>
      <c r="Z14" s="583"/>
    </row>
    <row r="16" spans="1:27" ht="36" customHeight="1" x14ac:dyDescent="0.15">
      <c r="A16" s="582" t="s">
        <v>24</v>
      </c>
      <c r="B16" s="582"/>
      <c r="C16" s="582"/>
      <c r="D16" s="582"/>
      <c r="E16" s="582"/>
      <c r="F16" s="582"/>
      <c r="G16" s="582"/>
      <c r="H16" s="582"/>
      <c r="I16" s="582"/>
      <c r="J16" s="582"/>
      <c r="K16" s="582"/>
      <c r="L16" s="582"/>
      <c r="M16" s="582"/>
      <c r="N16" s="582"/>
      <c r="O16" s="582"/>
      <c r="P16" s="582"/>
      <c r="Q16" s="582"/>
      <c r="R16" s="582"/>
      <c r="S16" s="582"/>
      <c r="T16" s="582"/>
      <c r="U16" s="582"/>
      <c r="V16" s="582"/>
      <c r="W16" s="582"/>
      <c r="X16" s="582"/>
      <c r="Y16" s="582"/>
      <c r="Z16" s="582"/>
    </row>
    <row r="18" spans="1:27" ht="18" customHeight="1" x14ac:dyDescent="0.15">
      <c r="A18" s="583" t="s">
        <v>15</v>
      </c>
      <c r="B18" s="583"/>
      <c r="C18" s="583"/>
      <c r="D18" s="583"/>
      <c r="E18" s="583"/>
      <c r="F18" s="583"/>
      <c r="G18" s="583"/>
      <c r="H18" s="583"/>
      <c r="I18" s="583"/>
      <c r="J18" s="583"/>
      <c r="K18" s="583"/>
      <c r="L18" s="583"/>
      <c r="M18" s="583"/>
      <c r="N18" s="583"/>
      <c r="O18" s="583"/>
      <c r="P18" s="583"/>
      <c r="Q18" s="583"/>
      <c r="R18" s="583"/>
      <c r="S18" s="583"/>
      <c r="T18" s="583"/>
      <c r="U18" s="583"/>
      <c r="V18" s="583"/>
      <c r="W18" s="583"/>
      <c r="X18" s="583"/>
      <c r="Y18" s="583"/>
      <c r="Z18" s="583"/>
    </row>
    <row r="19" spans="1:27" ht="18" hidden="1" customHeight="1" x14ac:dyDescent="0.15"/>
    <row r="20" spans="1:27" ht="18" customHeight="1" x14ac:dyDescent="0.15">
      <c r="B20" s="82" t="s">
        <v>16</v>
      </c>
      <c r="C20" s="83"/>
      <c r="D20" s="83"/>
      <c r="E20" s="83"/>
      <c r="F20" s="83"/>
      <c r="G20" s="84"/>
      <c r="H20" s="577" t="s">
        <v>288</v>
      </c>
      <c r="I20" s="578"/>
      <c r="J20" s="578"/>
      <c r="K20" s="578"/>
      <c r="L20" s="578"/>
      <c r="M20" s="578"/>
      <c r="N20" s="578"/>
      <c r="O20" s="578"/>
      <c r="P20" s="578"/>
      <c r="Q20" s="578"/>
      <c r="R20" s="578"/>
      <c r="S20" s="578"/>
      <c r="T20" s="578"/>
      <c r="U20" s="578"/>
      <c r="V20" s="578"/>
      <c r="W20" s="578"/>
      <c r="X20" s="578"/>
      <c r="Y20" s="579"/>
    </row>
    <row r="21" spans="1:27" ht="18" customHeight="1" x14ac:dyDescent="0.15">
      <c r="B21" s="82" t="s">
        <v>18</v>
      </c>
      <c r="C21" s="83"/>
      <c r="D21" s="83"/>
      <c r="E21" s="83"/>
      <c r="F21" s="83"/>
      <c r="G21" s="84"/>
      <c r="H21" s="85"/>
      <c r="I21" s="86"/>
      <c r="J21" s="86"/>
      <c r="K21" s="86"/>
      <c r="L21" s="385" t="s">
        <v>25</v>
      </c>
      <c r="M21" s="580" t="str">
        <f>IF('【様式第６号】事業計画書兼チェックシート（新築）'!T232="","",'【様式第６号】事業計画書兼チェックシート（新築）'!T232*10000)</f>
        <v/>
      </c>
      <c r="N21" s="580"/>
      <c r="O21" s="580"/>
      <c r="P21" s="580"/>
      <c r="Q21" s="580"/>
      <c r="R21" s="580"/>
      <c r="S21" s="86" t="s">
        <v>19</v>
      </c>
      <c r="T21" s="86"/>
      <c r="U21" s="86"/>
      <c r="V21" s="86"/>
      <c r="W21" s="86"/>
      <c r="X21" s="86"/>
      <c r="Y21" s="88"/>
      <c r="AA21" s="79" t="s">
        <v>84</v>
      </c>
    </row>
    <row r="22" spans="1:27" ht="18" customHeight="1" x14ac:dyDescent="0.15">
      <c r="B22" s="82" t="s">
        <v>20</v>
      </c>
      <c r="C22" s="83"/>
      <c r="D22" s="83"/>
      <c r="E22" s="83"/>
      <c r="F22" s="83"/>
      <c r="G22" s="84"/>
      <c r="H22" s="89"/>
      <c r="I22" s="90"/>
      <c r="J22" s="90"/>
      <c r="K22" s="90"/>
      <c r="L22" s="91" t="s">
        <v>25</v>
      </c>
      <c r="M22" s="580" t="str">
        <f>IF('【様式第６号】事業計画書兼チェックシート（新築）'!T232="","",'【様式第６号】事業計画書兼チェックシート（新築）'!T232*10000)</f>
        <v/>
      </c>
      <c r="N22" s="580"/>
      <c r="O22" s="580"/>
      <c r="P22" s="580"/>
      <c r="Q22" s="580"/>
      <c r="R22" s="580"/>
      <c r="S22" s="86" t="s">
        <v>19</v>
      </c>
      <c r="T22" s="90"/>
      <c r="U22" s="90"/>
      <c r="V22" s="90"/>
      <c r="W22" s="90"/>
      <c r="X22" s="90"/>
      <c r="Y22" s="92"/>
      <c r="AA22" s="79" t="s">
        <v>84</v>
      </c>
    </row>
    <row r="23" spans="1:27" ht="18" customHeight="1" x14ac:dyDescent="0.15">
      <c r="B23" s="93" t="s">
        <v>21</v>
      </c>
      <c r="C23" s="94"/>
      <c r="D23" s="94"/>
      <c r="E23" s="94"/>
      <c r="F23" s="94"/>
      <c r="G23" s="95"/>
      <c r="H23" s="96"/>
      <c r="I23" s="97"/>
      <c r="J23" s="94"/>
      <c r="K23" s="94"/>
      <c r="L23" s="94"/>
      <c r="M23" s="94"/>
      <c r="N23" s="94"/>
      <c r="O23" s="94"/>
      <c r="P23" s="94"/>
      <c r="Q23" s="94"/>
      <c r="R23" s="94"/>
      <c r="S23" s="94"/>
      <c r="T23" s="94"/>
      <c r="U23" s="94"/>
      <c r="V23" s="94"/>
      <c r="W23" s="94"/>
      <c r="X23" s="94"/>
      <c r="Y23" s="95"/>
    </row>
    <row r="24" spans="1:27" ht="18" customHeight="1" x14ac:dyDescent="0.15">
      <c r="B24" s="98"/>
      <c r="C24" s="99"/>
      <c r="D24" s="99"/>
      <c r="E24" s="99"/>
      <c r="F24" s="99"/>
      <c r="G24" s="100"/>
      <c r="H24" s="101" t="s">
        <v>518</v>
      </c>
      <c r="I24" s="102"/>
      <c r="J24" s="99"/>
      <c r="K24" s="99"/>
      <c r="L24" s="99"/>
      <c r="M24" s="99"/>
      <c r="N24" s="99"/>
      <c r="O24" s="99"/>
      <c r="P24" s="99"/>
      <c r="Q24" s="99"/>
      <c r="R24" s="99"/>
      <c r="S24" s="99"/>
      <c r="T24" s="99"/>
      <c r="U24" s="99"/>
      <c r="V24" s="99"/>
      <c r="W24" s="99"/>
      <c r="X24" s="99"/>
      <c r="Y24" s="100"/>
      <c r="AA24" s="79" t="s">
        <v>85</v>
      </c>
    </row>
    <row r="25" spans="1:27" ht="18" customHeight="1" x14ac:dyDescent="0.15">
      <c r="B25" s="98"/>
      <c r="C25" s="99"/>
      <c r="D25" s="99"/>
      <c r="E25" s="99"/>
      <c r="F25" s="99"/>
      <c r="G25" s="100"/>
      <c r="H25" s="101" t="s">
        <v>519</v>
      </c>
      <c r="I25" s="102"/>
      <c r="J25" s="99"/>
      <c r="K25" s="99"/>
      <c r="L25" s="99"/>
      <c r="M25" s="99"/>
      <c r="N25" s="99"/>
      <c r="O25" s="99"/>
      <c r="P25" s="99"/>
      <c r="Q25" s="99"/>
      <c r="R25" s="99"/>
      <c r="S25" s="99"/>
      <c r="T25" s="99"/>
      <c r="U25" s="99"/>
      <c r="V25" s="99"/>
      <c r="W25" s="99"/>
      <c r="X25" s="99"/>
      <c r="Y25" s="100"/>
    </row>
    <row r="26" spans="1:27" ht="18" hidden="1" customHeight="1" x14ac:dyDescent="0.15">
      <c r="B26" s="98"/>
      <c r="C26" s="99"/>
      <c r="D26" s="99"/>
      <c r="E26" s="99"/>
      <c r="F26" s="99"/>
      <c r="G26" s="100"/>
      <c r="H26" s="101" t="str">
        <f>IF('【様式第６号】事業計画書兼チェックシート（新築）'!I75="有","・他に利用する補助金一覧表（様式第６号別紙）","")</f>
        <v/>
      </c>
      <c r="I26" s="102"/>
      <c r="J26" s="99"/>
      <c r="K26" s="99"/>
      <c r="L26" s="99"/>
      <c r="M26" s="99"/>
      <c r="N26" s="99"/>
      <c r="O26" s="99"/>
      <c r="P26" s="99"/>
      <c r="Q26" s="99"/>
      <c r="R26" s="99"/>
      <c r="S26" s="99"/>
      <c r="T26" s="99"/>
      <c r="U26" s="99"/>
      <c r="V26" s="99"/>
      <c r="W26" s="99"/>
      <c r="X26" s="99"/>
      <c r="Y26" s="100"/>
    </row>
    <row r="27" spans="1:27" ht="18" customHeight="1" x14ac:dyDescent="0.15">
      <c r="B27" s="98"/>
      <c r="C27" s="99"/>
      <c r="D27" s="99"/>
      <c r="E27" s="99"/>
      <c r="F27" s="99"/>
      <c r="G27" s="100"/>
      <c r="H27" s="101" t="str">
        <f>IF('【様式第６号】事業計画書兼チェックシート（新築）'!C243="","","・"&amp;'【様式第６号】事業計画書兼チェックシート（新築）'!C243)</f>
        <v>・各階平面図、配置図</v>
      </c>
      <c r="I27" s="102"/>
      <c r="J27" s="99"/>
      <c r="K27" s="99"/>
      <c r="L27" s="99"/>
      <c r="M27" s="99"/>
      <c r="N27" s="99"/>
      <c r="O27" s="99"/>
      <c r="P27" s="99"/>
      <c r="Q27" s="99"/>
      <c r="R27" s="99"/>
      <c r="S27" s="99"/>
      <c r="T27" s="99"/>
      <c r="U27" s="99"/>
      <c r="V27" s="99"/>
      <c r="W27" s="99"/>
      <c r="X27" s="99"/>
      <c r="Y27" s="100"/>
    </row>
    <row r="28" spans="1:27" ht="18" customHeight="1" x14ac:dyDescent="0.15">
      <c r="B28" s="98"/>
      <c r="C28" s="99"/>
      <c r="D28" s="99"/>
      <c r="E28" s="99"/>
      <c r="F28" s="99"/>
      <c r="G28" s="100"/>
      <c r="H28" s="101"/>
      <c r="I28" s="102"/>
      <c r="J28" s="99"/>
      <c r="K28" s="99"/>
      <c r="L28" s="99"/>
      <c r="M28" s="99"/>
      <c r="N28" s="99"/>
      <c r="O28" s="99"/>
      <c r="P28" s="99"/>
      <c r="Q28" s="99"/>
      <c r="R28" s="99"/>
      <c r="S28" s="99"/>
      <c r="T28" s="99"/>
      <c r="U28" s="99"/>
      <c r="V28" s="99"/>
      <c r="W28" s="99"/>
      <c r="X28" s="99"/>
      <c r="Y28" s="100"/>
    </row>
    <row r="29" spans="1:27" ht="18" customHeight="1" x14ac:dyDescent="0.15">
      <c r="B29" s="98"/>
      <c r="C29" s="99"/>
      <c r="D29" s="99"/>
      <c r="E29" s="99"/>
      <c r="F29" s="99"/>
      <c r="G29" s="100"/>
      <c r="H29" s="101"/>
      <c r="I29" s="102"/>
      <c r="J29" s="99"/>
      <c r="K29" s="99"/>
      <c r="L29" s="99"/>
      <c r="M29" s="99"/>
      <c r="N29" s="99"/>
      <c r="O29" s="99"/>
      <c r="P29" s="99"/>
      <c r="Q29" s="99"/>
      <c r="R29" s="99"/>
      <c r="S29" s="99"/>
      <c r="T29" s="99"/>
      <c r="U29" s="99"/>
      <c r="V29" s="99"/>
      <c r="W29" s="99"/>
      <c r="X29" s="99"/>
      <c r="Y29" s="100"/>
    </row>
    <row r="30" spans="1:27" ht="18" customHeight="1" x14ac:dyDescent="0.15">
      <c r="B30" s="98"/>
      <c r="C30" s="99"/>
      <c r="D30" s="99"/>
      <c r="E30" s="99"/>
      <c r="F30" s="99"/>
      <c r="G30" s="100"/>
      <c r="H30" s="101"/>
      <c r="I30" s="102"/>
      <c r="J30" s="99"/>
      <c r="K30" s="99"/>
      <c r="L30" s="99"/>
      <c r="M30" s="99"/>
      <c r="N30" s="99"/>
      <c r="O30" s="99"/>
      <c r="P30" s="99"/>
      <c r="Q30" s="99"/>
      <c r="R30" s="99"/>
      <c r="S30" s="99"/>
      <c r="T30" s="99"/>
      <c r="U30" s="99"/>
      <c r="V30" s="99"/>
      <c r="W30" s="99"/>
      <c r="X30" s="99"/>
      <c r="Y30" s="100"/>
    </row>
    <row r="31" spans="1:27" ht="18" customHeight="1" x14ac:dyDescent="0.15">
      <c r="B31" s="98"/>
      <c r="C31" s="99"/>
      <c r="D31" s="99"/>
      <c r="E31" s="99"/>
      <c r="F31" s="99"/>
      <c r="G31" s="100"/>
      <c r="H31" s="103"/>
      <c r="I31" s="102"/>
      <c r="J31" s="99"/>
      <c r="K31" s="99"/>
      <c r="L31" s="99"/>
      <c r="M31" s="99"/>
      <c r="N31" s="99"/>
      <c r="O31" s="99"/>
      <c r="P31" s="99"/>
      <c r="Q31" s="99"/>
      <c r="R31" s="99"/>
      <c r="S31" s="99"/>
      <c r="T31" s="99"/>
      <c r="U31" s="99"/>
      <c r="V31" s="99"/>
      <c r="W31" s="99"/>
      <c r="X31" s="99"/>
      <c r="Y31" s="100"/>
    </row>
    <row r="32" spans="1:27" ht="18" customHeight="1" x14ac:dyDescent="0.15">
      <c r="B32" s="104"/>
      <c r="C32" s="105"/>
      <c r="D32" s="105"/>
      <c r="E32" s="105"/>
      <c r="F32" s="105"/>
      <c r="G32" s="106"/>
      <c r="H32" s="107"/>
      <c r="I32" s="108"/>
      <c r="J32" s="105"/>
      <c r="K32" s="105"/>
      <c r="L32" s="105"/>
      <c r="M32" s="105"/>
      <c r="N32" s="105"/>
      <c r="O32" s="105"/>
      <c r="P32" s="105"/>
      <c r="Q32" s="105"/>
      <c r="R32" s="105"/>
      <c r="S32" s="105"/>
      <c r="T32" s="105"/>
      <c r="U32" s="105"/>
      <c r="V32" s="105"/>
      <c r="W32" s="105"/>
      <c r="X32" s="105"/>
      <c r="Y32" s="106"/>
    </row>
    <row r="33" spans="1:35" ht="11.25" customHeight="1" x14ac:dyDescent="0.15">
      <c r="K33" s="109"/>
    </row>
    <row r="34" spans="1:35" ht="11.25" customHeight="1" x14ac:dyDescent="0.15"/>
    <row r="35" spans="1:35" s="114" customFormat="1" ht="18" customHeight="1" x14ac:dyDescent="0.15">
      <c r="A35" s="110" t="s">
        <v>234</v>
      </c>
      <c r="B35" s="111"/>
      <c r="C35" s="111"/>
      <c r="D35" s="111"/>
      <c r="E35" s="111"/>
      <c r="F35" s="111"/>
      <c r="G35" s="111"/>
      <c r="H35" s="111"/>
      <c r="I35" s="111"/>
      <c r="J35" s="111"/>
      <c r="K35" s="111"/>
      <c r="L35" s="111"/>
      <c r="M35" s="111"/>
      <c r="N35" s="111"/>
      <c r="O35" s="111"/>
      <c r="P35" s="111"/>
      <c r="Q35" s="112"/>
      <c r="R35" s="111"/>
      <c r="S35" s="111"/>
      <c r="T35" s="111"/>
      <c r="U35" s="111"/>
      <c r="V35" s="111"/>
      <c r="W35" s="111"/>
      <c r="X35" s="111"/>
      <c r="Y35" s="111"/>
      <c r="Z35" s="111"/>
      <c r="AA35" s="113"/>
    </row>
    <row r="36" spans="1:35" s="115" customFormat="1" ht="18" customHeight="1" x14ac:dyDescent="0.15">
      <c r="A36" s="110"/>
      <c r="B36" s="115" t="s">
        <v>12</v>
      </c>
      <c r="AA36" s="116"/>
    </row>
    <row r="37" spans="1:35" s="114" customFormat="1" ht="18" customHeight="1" x14ac:dyDescent="0.15">
      <c r="B37" s="597" t="s">
        <v>235</v>
      </c>
      <c r="C37" s="598"/>
      <c r="D37" s="598"/>
      <c r="E37" s="598"/>
      <c r="F37" s="598"/>
      <c r="G37" s="598"/>
      <c r="H37" s="599"/>
      <c r="I37" s="117" t="s">
        <v>10</v>
      </c>
      <c r="J37" s="603"/>
      <c r="K37" s="603"/>
      <c r="L37" s="603"/>
      <c r="M37" s="604"/>
      <c r="N37" s="604"/>
      <c r="O37" s="604"/>
      <c r="P37" s="604"/>
      <c r="Q37" s="604"/>
      <c r="R37" s="604"/>
      <c r="S37" s="604"/>
      <c r="T37" s="604"/>
      <c r="U37" s="604"/>
      <c r="V37" s="604"/>
      <c r="W37" s="604"/>
      <c r="X37" s="604"/>
      <c r="Y37" s="605"/>
      <c r="AA37" s="79"/>
    </row>
    <row r="38" spans="1:35" s="114" customFormat="1" ht="18" customHeight="1" x14ac:dyDescent="0.15">
      <c r="B38" s="600"/>
      <c r="C38" s="601"/>
      <c r="D38" s="601"/>
      <c r="E38" s="601"/>
      <c r="F38" s="601"/>
      <c r="G38" s="601"/>
      <c r="H38" s="602"/>
      <c r="I38" s="606"/>
      <c r="J38" s="607"/>
      <c r="K38" s="607"/>
      <c r="L38" s="607"/>
      <c r="M38" s="607"/>
      <c r="N38" s="607"/>
      <c r="O38" s="607"/>
      <c r="P38" s="607"/>
      <c r="Q38" s="607"/>
      <c r="R38" s="607"/>
      <c r="S38" s="607"/>
      <c r="T38" s="607"/>
      <c r="U38" s="607"/>
      <c r="V38" s="607"/>
      <c r="W38" s="607"/>
      <c r="X38" s="607"/>
      <c r="Y38" s="608"/>
      <c r="AA38" s="113"/>
      <c r="AB38" s="113"/>
      <c r="AC38" s="113"/>
      <c r="AD38" s="113"/>
      <c r="AE38" s="113"/>
      <c r="AF38" s="113"/>
      <c r="AG38" s="113"/>
      <c r="AH38" s="113"/>
      <c r="AI38" s="113"/>
    </row>
    <row r="39" spans="1:35" s="114" customFormat="1" ht="24" customHeight="1" x14ac:dyDescent="0.15">
      <c r="B39" s="586" t="s">
        <v>236</v>
      </c>
      <c r="C39" s="587"/>
      <c r="D39" s="587"/>
      <c r="E39" s="587"/>
      <c r="F39" s="587"/>
      <c r="G39" s="587"/>
      <c r="H39" s="588"/>
      <c r="I39" s="609"/>
      <c r="J39" s="610"/>
      <c r="K39" s="610"/>
      <c r="L39" s="610"/>
      <c r="M39" s="610"/>
      <c r="N39" s="610"/>
      <c r="O39" s="610"/>
      <c r="P39" s="610"/>
      <c r="Q39" s="610"/>
      <c r="R39" s="610"/>
      <c r="S39" s="610"/>
      <c r="T39" s="610"/>
      <c r="U39" s="610"/>
      <c r="V39" s="610"/>
      <c r="W39" s="610"/>
      <c r="X39" s="610"/>
      <c r="Y39" s="611"/>
      <c r="AA39" s="113"/>
      <c r="AB39" s="113"/>
      <c r="AC39" s="113"/>
      <c r="AD39" s="113"/>
      <c r="AE39" s="113"/>
      <c r="AF39" s="113"/>
      <c r="AG39" s="113"/>
      <c r="AH39" s="113"/>
      <c r="AI39" s="113"/>
    </row>
    <row r="40" spans="1:35" s="114" customFormat="1" ht="18" customHeight="1" x14ac:dyDescent="0.15">
      <c r="B40" s="586" t="s">
        <v>22</v>
      </c>
      <c r="C40" s="587"/>
      <c r="D40" s="587"/>
      <c r="E40" s="587"/>
      <c r="F40" s="587"/>
      <c r="G40" s="587"/>
      <c r="H40" s="588"/>
      <c r="I40" s="594"/>
      <c r="J40" s="595"/>
      <c r="K40" s="595"/>
      <c r="L40" s="595"/>
      <c r="M40" s="596"/>
      <c r="N40" s="591" t="s">
        <v>9</v>
      </c>
      <c r="O40" s="592"/>
      <c r="P40" s="593"/>
      <c r="Q40" s="589" t="s">
        <v>11</v>
      </c>
      <c r="R40" s="589"/>
      <c r="S40" s="589"/>
      <c r="T40" s="589"/>
      <c r="U40" s="589"/>
      <c r="V40" s="589"/>
      <c r="W40" s="589"/>
      <c r="X40" s="589"/>
      <c r="Y40" s="590"/>
      <c r="AA40" s="113"/>
      <c r="AB40" s="113"/>
      <c r="AC40" s="113"/>
      <c r="AD40" s="113"/>
      <c r="AE40" s="113"/>
      <c r="AF40" s="113"/>
      <c r="AG40" s="113"/>
      <c r="AH40" s="118"/>
      <c r="AI40" s="113"/>
    </row>
    <row r="41" spans="1:35" s="114" customFormat="1" ht="18" customHeight="1" x14ac:dyDescent="0.15">
      <c r="AA41" s="113"/>
      <c r="AB41" s="113"/>
      <c r="AC41" s="113"/>
      <c r="AD41" s="113"/>
      <c r="AE41" s="113"/>
      <c r="AF41" s="113"/>
      <c r="AG41" s="113"/>
      <c r="AH41" s="113"/>
      <c r="AI41" s="113"/>
    </row>
  </sheetData>
  <mergeCells count="23">
    <mergeCell ref="B39:H39"/>
    <mergeCell ref="I39:Y39"/>
    <mergeCell ref="B40:H40"/>
    <mergeCell ref="I40:M40"/>
    <mergeCell ref="N40:P40"/>
    <mergeCell ref="Q40:Y40"/>
    <mergeCell ref="M21:R21"/>
    <mergeCell ref="M22:R22"/>
    <mergeCell ref="B37:H38"/>
    <mergeCell ref="J37:L37"/>
    <mergeCell ref="M37:Y37"/>
    <mergeCell ref="I38:Y38"/>
    <mergeCell ref="O11:X11"/>
    <mergeCell ref="A14:Z14"/>
    <mergeCell ref="A16:Z16"/>
    <mergeCell ref="A18:Z18"/>
    <mergeCell ref="H20:Y20"/>
    <mergeCell ref="O10:X10"/>
    <mergeCell ref="Q2:R2"/>
    <mergeCell ref="T2:U2"/>
    <mergeCell ref="W2:X2"/>
    <mergeCell ref="P8:X8"/>
    <mergeCell ref="O9:X9"/>
  </mergeCells>
  <phoneticPr fontId="1"/>
  <conditionalFormatting sqref="A2:O2 S2:T2 V2:W2 Y2:Z2">
    <cfRule type="cellIs" dxfId="14"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
  <sheetViews>
    <sheetView view="pageBreakPreview" topLeftCell="A16" zoomScaleNormal="100" zoomScaleSheetLayoutView="100" workbookViewId="0">
      <selection activeCell="N39" sqref="N39"/>
    </sheetView>
  </sheetViews>
  <sheetFormatPr defaultColWidth="3.125" defaultRowHeight="18" customHeight="1" x14ac:dyDescent="0.15"/>
  <cols>
    <col min="1" max="1" width="3.125" style="390" customWidth="1"/>
    <col min="2" max="4" width="4.875" style="390" customWidth="1"/>
    <col min="5" max="6" width="4.625" style="390" customWidth="1"/>
    <col min="7" max="9" width="3.125" style="390"/>
    <col min="10" max="10" width="6.625" style="390" customWidth="1"/>
    <col min="11" max="13" width="3.75" style="390" customWidth="1"/>
    <col min="14" max="16" width="3.125" style="390" customWidth="1"/>
    <col min="17" max="26" width="3.125" style="390"/>
    <col min="27" max="27" width="3.125" style="399"/>
    <col min="28" max="16384" width="3.125" style="390"/>
  </cols>
  <sheetData>
    <row r="1" spans="1:26" ht="18" customHeight="1" x14ac:dyDescent="0.15">
      <c r="A1" s="390" t="s">
        <v>527</v>
      </c>
    </row>
    <row r="2" spans="1:26" ht="18" customHeight="1" x14ac:dyDescent="0.15">
      <c r="A2" s="400"/>
      <c r="B2" s="400"/>
      <c r="C2" s="400"/>
      <c r="D2" s="400"/>
      <c r="E2" s="400"/>
      <c r="F2" s="400"/>
      <c r="G2" s="400"/>
      <c r="H2" s="400"/>
      <c r="I2" s="400"/>
      <c r="J2" s="400"/>
      <c r="K2" s="400"/>
      <c r="L2" s="400"/>
      <c r="M2" s="400"/>
      <c r="N2" s="400"/>
      <c r="O2" s="401"/>
      <c r="P2" s="401"/>
      <c r="Q2" s="616"/>
      <c r="R2" s="616"/>
      <c r="S2" s="400"/>
      <c r="T2" s="616"/>
      <c r="U2" s="616"/>
      <c r="V2" s="400"/>
      <c r="W2" s="616"/>
      <c r="X2" s="616"/>
      <c r="Y2" s="400"/>
      <c r="Z2" s="400"/>
    </row>
    <row r="3" spans="1:26" ht="18" hidden="1" customHeight="1" x14ac:dyDescent="0.15">
      <c r="A3" s="402"/>
      <c r="B3" s="402"/>
      <c r="C3" s="402"/>
      <c r="D3" s="402"/>
      <c r="E3" s="402"/>
      <c r="F3" s="402"/>
      <c r="G3" s="402"/>
      <c r="H3" s="402"/>
      <c r="I3" s="402"/>
      <c r="J3" s="402"/>
      <c r="K3" s="402"/>
      <c r="L3" s="402"/>
      <c r="M3" s="402"/>
      <c r="N3" s="402"/>
      <c r="O3" s="402"/>
      <c r="P3" s="402"/>
      <c r="Q3" s="402"/>
      <c r="R3" s="402"/>
      <c r="S3" s="402"/>
      <c r="T3" s="402"/>
      <c r="U3" s="402"/>
      <c r="V3" s="402"/>
      <c r="W3" s="402"/>
      <c r="X3" s="402"/>
      <c r="Y3" s="402"/>
      <c r="Z3" s="402"/>
    </row>
    <row r="4" spans="1:26" ht="15.95" customHeight="1" x14ac:dyDescent="0.15">
      <c r="K4" s="391" t="s">
        <v>528</v>
      </c>
    </row>
    <row r="5" spans="1:26" ht="15.95" customHeight="1" x14ac:dyDescent="0.15"/>
    <row r="6" spans="1:26" ht="15.95" customHeight="1" x14ac:dyDescent="0.15">
      <c r="B6" s="390" t="s">
        <v>580</v>
      </c>
    </row>
    <row r="7" spans="1:26" ht="15.95" customHeight="1" x14ac:dyDescent="0.15"/>
    <row r="8" spans="1:26" ht="15.95" customHeight="1" x14ac:dyDescent="0.15">
      <c r="A8" s="392"/>
      <c r="B8" s="393" t="s">
        <v>529</v>
      </c>
      <c r="C8" s="393"/>
      <c r="D8" s="393"/>
      <c r="E8" s="393"/>
      <c r="F8" s="393"/>
      <c r="G8" s="393"/>
      <c r="H8" s="393"/>
      <c r="I8" s="393"/>
      <c r="J8" s="393"/>
      <c r="K8" s="393"/>
      <c r="L8" s="393"/>
      <c r="M8" s="393"/>
      <c r="N8" s="393"/>
      <c r="O8" s="393"/>
      <c r="P8" s="393"/>
      <c r="Q8" s="393"/>
      <c r="R8" s="393"/>
      <c r="S8" s="393"/>
      <c r="T8" s="393"/>
      <c r="U8" s="393"/>
      <c r="V8" s="403"/>
    </row>
    <row r="9" spans="1:26" ht="15.95" customHeight="1" x14ac:dyDescent="0.15">
      <c r="A9" s="394"/>
      <c r="B9" s="395" t="s">
        <v>530</v>
      </c>
      <c r="C9" s="395"/>
      <c r="D9" s="617" t="str">
        <f>IF('【様式第６号】事業計画書兼チェックシート（新築）'!M28="","",'【様式第６号】事業計画書兼チェックシート（新築）'!M28)</f>
        <v>境港市</v>
      </c>
      <c r="E9" s="617"/>
      <c r="F9" s="617"/>
      <c r="G9" s="617" t="str">
        <f>IF('【様式第６号】事業計画書兼チェックシート（新築）'!I29="","",'【様式第６号】事業計画書兼チェックシート（新築）'!I29)</f>
        <v/>
      </c>
      <c r="H9" s="617"/>
      <c r="I9" s="617"/>
      <c r="J9" s="617"/>
      <c r="K9" s="617"/>
      <c r="L9" s="617"/>
      <c r="M9" s="617"/>
      <c r="N9" s="617"/>
      <c r="O9" s="617"/>
      <c r="P9" s="617"/>
      <c r="Q9" s="617"/>
      <c r="R9" s="617"/>
      <c r="S9" s="617"/>
      <c r="T9" s="617"/>
      <c r="U9" s="617"/>
      <c r="V9" s="404"/>
    </row>
    <row r="10" spans="1:26" ht="15.95" customHeight="1" x14ac:dyDescent="0.15">
      <c r="A10" s="394"/>
      <c r="B10" s="395" t="s">
        <v>531</v>
      </c>
      <c r="C10" s="395"/>
      <c r="D10" s="398"/>
      <c r="E10" s="395" t="s">
        <v>541</v>
      </c>
      <c r="F10" s="395"/>
      <c r="G10" s="395"/>
      <c r="H10" s="395"/>
      <c r="I10" s="395"/>
      <c r="J10" s="395"/>
      <c r="K10" s="395"/>
      <c r="L10" s="395"/>
      <c r="M10" s="395"/>
      <c r="N10" s="395"/>
      <c r="O10" s="395"/>
      <c r="P10" s="395"/>
      <c r="Q10" s="395"/>
      <c r="R10" s="395"/>
      <c r="S10" s="395"/>
      <c r="T10" s="395"/>
      <c r="U10" s="395"/>
      <c r="V10" s="404"/>
    </row>
    <row r="11" spans="1:26" ht="15.95" customHeight="1" x14ac:dyDescent="0.15">
      <c r="A11" s="394"/>
      <c r="B11" s="395" t="s">
        <v>532</v>
      </c>
      <c r="C11" s="395"/>
      <c r="D11" s="395"/>
      <c r="E11" s="395"/>
      <c r="F11" s="395"/>
      <c r="G11" s="395"/>
      <c r="H11" s="395"/>
      <c r="I11" s="395"/>
      <c r="J11" s="395"/>
      <c r="K11" s="395"/>
      <c r="L11" s="395"/>
      <c r="M11" s="395"/>
      <c r="N11" s="395"/>
      <c r="O11" s="395"/>
      <c r="P11" s="395"/>
      <c r="Q11" s="395"/>
      <c r="R11" s="395"/>
      <c r="S11" s="395"/>
      <c r="T11" s="395"/>
      <c r="U11" s="395"/>
      <c r="V11" s="404"/>
    </row>
    <row r="12" spans="1:26" ht="15.95" customHeight="1" x14ac:dyDescent="0.15">
      <c r="A12" s="394"/>
      <c r="B12" s="613" t="s">
        <v>533</v>
      </c>
      <c r="C12" s="614"/>
      <c r="D12" s="614"/>
      <c r="E12" s="614"/>
      <c r="F12" s="614"/>
      <c r="G12" s="614"/>
      <c r="H12" s="614"/>
      <c r="I12" s="614"/>
      <c r="J12" s="615"/>
      <c r="K12" s="614" t="s">
        <v>537</v>
      </c>
      <c r="L12" s="614"/>
      <c r="M12" s="615"/>
      <c r="N12" s="614" t="s">
        <v>538</v>
      </c>
      <c r="O12" s="614"/>
      <c r="P12" s="615"/>
      <c r="Q12" s="613" t="s">
        <v>539</v>
      </c>
      <c r="R12" s="614"/>
      <c r="S12" s="614"/>
      <c r="T12" s="614"/>
      <c r="U12" s="615"/>
      <c r="V12" s="404"/>
    </row>
    <row r="13" spans="1:26" ht="15.95" customHeight="1" x14ac:dyDescent="0.15">
      <c r="A13" s="394"/>
      <c r="B13" s="622" t="s">
        <v>534</v>
      </c>
      <c r="C13" s="623"/>
      <c r="D13" s="623"/>
      <c r="E13" s="623"/>
      <c r="F13" s="623"/>
      <c r="G13" s="623"/>
      <c r="H13" s="623"/>
      <c r="I13" s="623"/>
      <c r="J13" s="624"/>
      <c r="K13" s="614"/>
      <c r="L13" s="614"/>
      <c r="M13" s="615"/>
      <c r="N13" s="614"/>
      <c r="O13" s="614"/>
      <c r="P13" s="615"/>
      <c r="Q13" s="613" t="s">
        <v>540</v>
      </c>
      <c r="R13" s="614"/>
      <c r="S13" s="614"/>
      <c r="T13" s="614"/>
      <c r="U13" s="615"/>
      <c r="V13" s="404"/>
    </row>
    <row r="14" spans="1:26" ht="15.95" customHeight="1" x14ac:dyDescent="0.15">
      <c r="A14" s="394"/>
      <c r="B14" s="622" t="s">
        <v>535</v>
      </c>
      <c r="C14" s="623"/>
      <c r="D14" s="623"/>
      <c r="E14" s="623"/>
      <c r="F14" s="623"/>
      <c r="G14" s="623"/>
      <c r="H14" s="623"/>
      <c r="I14" s="623"/>
      <c r="J14" s="624"/>
      <c r="K14" s="614"/>
      <c r="L14" s="614"/>
      <c r="M14" s="615"/>
      <c r="N14" s="614"/>
      <c r="O14" s="614"/>
      <c r="P14" s="615"/>
      <c r="Q14" s="613" t="s">
        <v>540</v>
      </c>
      <c r="R14" s="614"/>
      <c r="S14" s="614"/>
      <c r="T14" s="614"/>
      <c r="U14" s="615"/>
      <c r="V14" s="404"/>
    </row>
    <row r="15" spans="1:26" ht="15.95" customHeight="1" x14ac:dyDescent="0.15">
      <c r="A15" s="394"/>
      <c r="B15" s="627" t="s">
        <v>536</v>
      </c>
      <c r="C15" s="618"/>
      <c r="D15" s="618"/>
      <c r="E15" s="618"/>
      <c r="F15" s="618"/>
      <c r="G15" s="618"/>
      <c r="H15" s="618"/>
      <c r="I15" s="618"/>
      <c r="J15" s="628"/>
      <c r="K15" s="620" t="s">
        <v>542</v>
      </c>
      <c r="L15" s="620"/>
      <c r="M15" s="621"/>
      <c r="N15" s="620"/>
      <c r="O15" s="620"/>
      <c r="P15" s="621"/>
      <c r="Q15" s="620" t="s">
        <v>540</v>
      </c>
      <c r="R15" s="620"/>
      <c r="S15" s="620"/>
      <c r="T15" s="620"/>
      <c r="U15" s="621"/>
      <c r="V15" s="404"/>
    </row>
    <row r="16" spans="1:26" ht="15.95" customHeight="1" x14ac:dyDescent="0.15">
      <c r="A16" s="394"/>
      <c r="B16" s="395"/>
      <c r="C16" s="395"/>
      <c r="D16" s="395"/>
      <c r="E16" s="395"/>
      <c r="F16" s="395"/>
      <c r="G16" s="395"/>
      <c r="H16" s="395"/>
      <c r="I16" s="395"/>
      <c r="J16" s="395"/>
      <c r="K16" s="395"/>
      <c r="L16" s="395"/>
      <c r="M16" s="395"/>
      <c r="N16" s="395"/>
      <c r="O16" s="395"/>
      <c r="P16" s="395"/>
      <c r="Q16" s="395"/>
      <c r="R16" s="395"/>
      <c r="S16" s="395"/>
      <c r="T16" s="395"/>
      <c r="U16" s="395"/>
      <c r="V16" s="404"/>
    </row>
    <row r="17" spans="1:22" ht="15.95" customHeight="1" x14ac:dyDescent="0.15">
      <c r="A17" s="394"/>
      <c r="B17" s="395" t="s">
        <v>543</v>
      </c>
      <c r="C17" s="395"/>
      <c r="D17" s="395"/>
      <c r="E17" s="395"/>
      <c r="F17" s="395"/>
      <c r="G17" s="395"/>
      <c r="H17" s="395"/>
      <c r="I17" s="395"/>
      <c r="J17" s="395"/>
      <c r="K17" s="395"/>
      <c r="L17" s="395"/>
      <c r="M17" s="395"/>
      <c r="N17" s="395"/>
      <c r="O17" s="395"/>
      <c r="P17" s="395"/>
      <c r="Q17" s="395"/>
      <c r="R17" s="395"/>
      <c r="S17" s="395"/>
      <c r="T17" s="395"/>
      <c r="U17" s="395"/>
      <c r="V17" s="404"/>
    </row>
    <row r="18" spans="1:22" ht="15.95" customHeight="1" x14ac:dyDescent="0.15">
      <c r="A18" s="394"/>
      <c r="B18" s="395" t="s">
        <v>52</v>
      </c>
      <c r="C18" s="395"/>
      <c r="D18" s="395"/>
      <c r="E18" s="395"/>
      <c r="F18" s="395"/>
      <c r="G18" s="395"/>
      <c r="H18" s="395"/>
      <c r="I18" s="395"/>
      <c r="J18" s="395"/>
      <c r="K18" s="395"/>
      <c r="L18" s="395"/>
      <c r="M18" s="395"/>
      <c r="N18" s="395"/>
      <c r="O18" s="395"/>
      <c r="P18" s="395"/>
      <c r="Q18" s="395"/>
      <c r="R18" s="395"/>
      <c r="S18" s="395"/>
      <c r="T18" s="395"/>
      <c r="U18" s="395"/>
      <c r="V18" s="404"/>
    </row>
    <row r="19" spans="1:22" ht="15.95" customHeight="1" x14ac:dyDescent="0.15">
      <c r="A19" s="394"/>
      <c r="B19" s="395" t="s">
        <v>52</v>
      </c>
      <c r="C19" s="395"/>
      <c r="D19" s="395"/>
      <c r="E19" s="395"/>
      <c r="F19" s="395"/>
      <c r="G19" s="395"/>
      <c r="H19" s="395"/>
      <c r="I19" s="395"/>
      <c r="J19" s="395"/>
      <c r="K19" s="395"/>
      <c r="L19" s="395"/>
      <c r="M19" s="395"/>
      <c r="N19" s="395"/>
      <c r="O19" s="395"/>
      <c r="P19" s="395"/>
      <c r="Q19" s="395"/>
      <c r="R19" s="395"/>
      <c r="S19" s="395"/>
      <c r="T19" s="395"/>
      <c r="U19" s="395"/>
      <c r="V19" s="404"/>
    </row>
    <row r="20" spans="1:22" ht="15.95" customHeight="1" x14ac:dyDescent="0.15">
      <c r="A20" s="396"/>
      <c r="B20" s="397" t="s">
        <v>52</v>
      </c>
      <c r="C20" s="397"/>
      <c r="D20" s="397"/>
      <c r="E20" s="397"/>
      <c r="F20" s="397"/>
      <c r="G20" s="397"/>
      <c r="H20" s="397"/>
      <c r="I20" s="397"/>
      <c r="J20" s="397"/>
      <c r="K20" s="397"/>
      <c r="L20" s="397"/>
      <c r="M20" s="397"/>
      <c r="N20" s="397"/>
      <c r="O20" s="397"/>
      <c r="P20" s="397"/>
      <c r="Q20" s="397"/>
      <c r="R20" s="397"/>
      <c r="S20" s="397"/>
      <c r="T20" s="397"/>
      <c r="U20" s="397"/>
      <c r="V20" s="405"/>
    </row>
    <row r="21" spans="1:22" ht="12.6" customHeight="1" x14ac:dyDescent="0.15"/>
    <row r="22" spans="1:22" ht="15.95" customHeight="1" x14ac:dyDescent="0.15">
      <c r="A22" s="392"/>
      <c r="B22" s="393" t="s">
        <v>544</v>
      </c>
      <c r="C22" s="393"/>
      <c r="D22" s="393"/>
      <c r="E22" s="393"/>
      <c r="F22" s="393"/>
      <c r="G22" s="393"/>
      <c r="H22" s="393"/>
      <c r="I22" s="393"/>
      <c r="J22" s="393"/>
      <c r="K22" s="393"/>
      <c r="L22" s="393"/>
      <c r="M22" s="393"/>
      <c r="N22" s="393"/>
      <c r="O22" s="393"/>
      <c r="P22" s="393"/>
      <c r="Q22" s="393"/>
      <c r="R22" s="393"/>
      <c r="S22" s="393"/>
      <c r="T22" s="393"/>
      <c r="U22" s="393"/>
      <c r="V22" s="403"/>
    </row>
    <row r="23" spans="1:22" ht="15.95" customHeight="1" x14ac:dyDescent="0.15">
      <c r="A23" s="394"/>
      <c r="B23" s="406" t="s">
        <v>46</v>
      </c>
      <c r="C23" s="406"/>
      <c r="D23" s="395"/>
      <c r="E23" s="395"/>
      <c r="F23" s="395"/>
      <c r="G23" s="395"/>
      <c r="H23" s="395"/>
      <c r="I23" s="395"/>
      <c r="J23" s="395"/>
      <c r="K23" s="395"/>
      <c r="L23" s="395"/>
      <c r="M23" s="395"/>
      <c r="N23" s="395"/>
      <c r="O23" s="395"/>
      <c r="P23" s="395"/>
      <c r="Q23" s="395"/>
      <c r="R23" s="395"/>
      <c r="S23" s="395"/>
      <c r="T23" s="395"/>
      <c r="U23" s="395"/>
      <c r="V23" s="404"/>
    </row>
    <row r="24" spans="1:22" ht="15.95" customHeight="1" x14ac:dyDescent="0.15">
      <c r="A24" s="396"/>
      <c r="B24" s="409" t="s">
        <v>545</v>
      </c>
      <c r="C24" s="409"/>
      <c r="D24" s="618"/>
      <c r="E24" s="618"/>
      <c r="F24" s="618"/>
      <c r="G24" s="618"/>
      <c r="H24" s="619"/>
      <c r="I24" s="619"/>
      <c r="J24" s="397" t="s">
        <v>546</v>
      </c>
      <c r="K24" s="620"/>
      <c r="L24" s="620"/>
      <c r="M24" s="397" t="s">
        <v>547</v>
      </c>
      <c r="N24" s="397"/>
      <c r="O24" s="397"/>
      <c r="P24" s="397"/>
      <c r="Q24" s="397"/>
      <c r="R24" s="397"/>
      <c r="S24" s="397"/>
      <c r="T24" s="397"/>
      <c r="U24" s="397"/>
      <c r="V24" s="405"/>
    </row>
    <row r="25" spans="1:22" ht="11.1" customHeight="1" x14ac:dyDescent="0.15"/>
    <row r="26" spans="1:22" ht="15.95" customHeight="1" x14ac:dyDescent="0.15">
      <c r="A26" s="392"/>
      <c r="B26" s="393" t="s">
        <v>548</v>
      </c>
      <c r="C26" s="393"/>
      <c r="D26" s="393"/>
      <c r="E26" s="393"/>
      <c r="F26" s="393"/>
      <c r="G26" s="393"/>
      <c r="H26" s="393"/>
      <c r="I26" s="393"/>
      <c r="J26" s="393"/>
      <c r="K26" s="393"/>
      <c r="L26" s="393"/>
      <c r="M26" s="393"/>
      <c r="N26" s="393"/>
      <c r="O26" s="393"/>
      <c r="P26" s="393"/>
      <c r="Q26" s="393"/>
      <c r="R26" s="393"/>
      <c r="S26" s="393"/>
      <c r="T26" s="393"/>
      <c r="U26" s="393"/>
      <c r="V26" s="403"/>
    </row>
    <row r="27" spans="1:22" ht="15.95" customHeight="1" x14ac:dyDescent="0.15">
      <c r="A27" s="394"/>
      <c r="B27" s="406" t="s">
        <v>549</v>
      </c>
      <c r="C27" s="406"/>
      <c r="D27" s="395"/>
      <c r="E27" s="395"/>
      <c r="F27" s="395"/>
      <c r="G27" s="395"/>
      <c r="H27" s="395"/>
      <c r="I27" s="395"/>
      <c r="J27" s="395"/>
      <c r="K27" s="395"/>
      <c r="L27" s="395"/>
      <c r="M27" s="395"/>
      <c r="N27" s="395"/>
      <c r="O27" s="395"/>
      <c r="P27" s="395"/>
      <c r="Q27" s="395"/>
      <c r="R27" s="395"/>
      <c r="S27" s="395"/>
      <c r="T27" s="395"/>
      <c r="U27" s="395"/>
      <c r="V27" s="404"/>
    </row>
    <row r="28" spans="1:22" ht="15.95" customHeight="1" x14ac:dyDescent="0.15">
      <c r="A28" s="394"/>
      <c r="B28" s="406" t="s">
        <v>530</v>
      </c>
      <c r="C28" s="406"/>
      <c r="D28" s="406"/>
      <c r="E28" s="395"/>
      <c r="F28" s="395"/>
      <c r="G28" s="395"/>
      <c r="H28" s="395"/>
      <c r="I28" s="395"/>
      <c r="J28" s="395"/>
      <c r="K28" s="395"/>
      <c r="L28" s="395"/>
      <c r="M28" s="395"/>
      <c r="N28" s="395"/>
      <c r="O28" s="395"/>
      <c r="P28" s="395"/>
      <c r="Q28" s="395"/>
      <c r="R28" s="395"/>
      <c r="S28" s="395"/>
      <c r="T28" s="395"/>
      <c r="U28" s="395"/>
      <c r="V28" s="404"/>
    </row>
    <row r="29" spans="1:22" ht="15.95" customHeight="1" x14ac:dyDescent="0.15">
      <c r="A29" s="396"/>
      <c r="B29" s="618" t="s">
        <v>550</v>
      </c>
      <c r="C29" s="618"/>
      <c r="D29" s="618"/>
      <c r="E29" s="618"/>
      <c r="F29" s="618"/>
      <c r="G29" s="618"/>
      <c r="H29" s="619" t="s">
        <v>551</v>
      </c>
      <c r="I29" s="619"/>
      <c r="J29" s="397"/>
      <c r="K29" s="620"/>
      <c r="L29" s="620"/>
      <c r="M29" s="397"/>
      <c r="N29" s="397"/>
      <c r="O29" s="397"/>
      <c r="P29" s="397"/>
      <c r="Q29" s="397"/>
      <c r="R29" s="397"/>
      <c r="S29" s="397"/>
      <c r="T29" s="397"/>
      <c r="U29" s="397"/>
      <c r="V29" s="405"/>
    </row>
    <row r="30" spans="1:22" ht="8.1" customHeight="1" x14ac:dyDescent="0.15"/>
    <row r="31" spans="1:22" ht="15.95" customHeight="1" x14ac:dyDescent="0.15">
      <c r="B31" s="390" t="s">
        <v>552</v>
      </c>
    </row>
    <row r="32" spans="1:22" ht="15.95" customHeight="1" x14ac:dyDescent="0.15">
      <c r="A32" s="626" t="s">
        <v>59</v>
      </c>
      <c r="B32" s="626"/>
      <c r="C32" s="626"/>
      <c r="D32" s="626"/>
      <c r="E32" s="626"/>
      <c r="F32" s="626"/>
      <c r="G32" s="625" t="s">
        <v>556</v>
      </c>
      <c r="H32" s="625"/>
      <c r="I32" s="625"/>
      <c r="J32" s="625"/>
      <c r="K32" s="626" t="s" ph="1">
        <v>557</v>
      </c>
      <c r="L32" s="626"/>
      <c r="M32" s="626"/>
      <c r="N32" s="626" t="s">
        <v>558</v>
      </c>
      <c r="O32" s="626"/>
      <c r="P32" s="626"/>
      <c r="Q32" s="626"/>
      <c r="R32" s="626"/>
      <c r="S32" s="626"/>
      <c r="T32" s="626"/>
      <c r="U32" s="626"/>
      <c r="V32" s="626"/>
    </row>
    <row r="33" spans="1:22" ht="15.95" customHeight="1" x14ac:dyDescent="0.15">
      <c r="A33" s="626"/>
      <c r="B33" s="626"/>
      <c r="C33" s="626"/>
      <c r="D33" s="626"/>
      <c r="E33" s="626"/>
      <c r="F33" s="626"/>
      <c r="G33" s="625"/>
      <c r="H33" s="625"/>
      <c r="I33" s="625"/>
      <c r="J33" s="625"/>
      <c r="K33" s="626"/>
      <c r="L33" s="626"/>
      <c r="M33" s="626"/>
      <c r="N33" s="626" t="s">
        <v>511</v>
      </c>
      <c r="O33" s="626"/>
      <c r="P33" s="626"/>
      <c r="Q33" s="626" t="s">
        <v>512</v>
      </c>
      <c r="R33" s="626"/>
      <c r="S33" s="626"/>
      <c r="T33" s="626" t="s">
        <v>513</v>
      </c>
      <c r="U33" s="626"/>
      <c r="V33" s="626"/>
    </row>
    <row r="34" spans="1:22" ht="15.95" customHeight="1" x14ac:dyDescent="0.15">
      <c r="A34" s="626" t="s">
        <v>553</v>
      </c>
      <c r="B34" s="626"/>
      <c r="C34" s="626"/>
      <c r="D34" s="626"/>
      <c r="E34" s="626"/>
      <c r="F34" s="626"/>
      <c r="G34" s="626" t="s">
        <v>559</v>
      </c>
      <c r="H34" s="626"/>
      <c r="I34" s="626"/>
      <c r="J34" s="626"/>
      <c r="K34" s="633">
        <v>0.6</v>
      </c>
      <c r="L34" s="633"/>
      <c r="M34" s="633"/>
      <c r="N34" s="626">
        <v>0.48</v>
      </c>
      <c r="O34" s="626"/>
      <c r="P34" s="626"/>
      <c r="Q34" s="626">
        <v>0.34</v>
      </c>
      <c r="R34" s="626"/>
      <c r="S34" s="626"/>
      <c r="T34" s="626">
        <v>0.23</v>
      </c>
      <c r="U34" s="626"/>
      <c r="V34" s="626"/>
    </row>
    <row r="35" spans="1:22" ht="15.95" customHeight="1" x14ac:dyDescent="0.15">
      <c r="A35" s="626" t="s">
        <v>554</v>
      </c>
      <c r="B35" s="626"/>
      <c r="C35" s="626"/>
      <c r="D35" s="626"/>
      <c r="E35" s="626"/>
      <c r="F35" s="626"/>
      <c r="G35" s="626" t="s">
        <v>560</v>
      </c>
      <c r="H35" s="626"/>
      <c r="I35" s="626"/>
      <c r="J35" s="626"/>
      <c r="K35" s="626" t="s">
        <v>560</v>
      </c>
      <c r="L35" s="626"/>
      <c r="M35" s="626"/>
      <c r="N35" s="629">
        <v>1</v>
      </c>
      <c r="O35" s="629"/>
      <c r="P35" s="629"/>
      <c r="Q35" s="629">
        <v>1</v>
      </c>
      <c r="R35" s="629"/>
      <c r="S35" s="629"/>
      <c r="T35" s="629">
        <v>1</v>
      </c>
      <c r="U35" s="629"/>
      <c r="V35" s="629"/>
    </row>
    <row r="36" spans="1:22" ht="15.95" customHeight="1" x14ac:dyDescent="0.15">
      <c r="A36" s="632" t="s">
        <v>555</v>
      </c>
      <c r="B36" s="632"/>
      <c r="C36" s="632"/>
      <c r="D36" s="632"/>
      <c r="E36" s="632"/>
      <c r="F36" s="632"/>
      <c r="G36" s="634">
        <v>0</v>
      </c>
      <c r="H36" s="626"/>
      <c r="I36" s="626"/>
      <c r="J36" s="626"/>
      <c r="K36" s="626" t="s">
        <v>561</v>
      </c>
      <c r="L36" s="626"/>
      <c r="M36" s="626"/>
      <c r="N36" s="626" t="s">
        <v>562</v>
      </c>
      <c r="O36" s="626"/>
      <c r="P36" s="626"/>
      <c r="Q36" s="626" t="s">
        <v>563</v>
      </c>
      <c r="R36" s="626"/>
      <c r="S36" s="626"/>
      <c r="T36" s="626" t="s">
        <v>564</v>
      </c>
      <c r="U36" s="626"/>
      <c r="V36" s="626"/>
    </row>
    <row r="37" spans="1:22" ht="15.95" customHeight="1" x14ac:dyDescent="0.15">
      <c r="B37" s="630" t="s">
        <v>565</v>
      </c>
      <c r="C37" s="630"/>
      <c r="D37" s="630"/>
      <c r="E37" s="630"/>
      <c r="F37" s="630"/>
      <c r="G37" s="631"/>
      <c r="H37" s="631"/>
      <c r="I37" s="631"/>
      <c r="J37" s="631"/>
      <c r="K37" s="631"/>
      <c r="L37" s="631"/>
      <c r="M37" s="631"/>
      <c r="N37" s="631"/>
      <c r="O37" s="631"/>
      <c r="P37" s="631"/>
      <c r="Q37" s="631"/>
      <c r="R37" s="631"/>
      <c r="S37" s="631"/>
      <c r="T37" s="631"/>
      <c r="U37" s="631"/>
      <c r="V37" s="631"/>
    </row>
    <row r="38" spans="1:22" ht="6.95" customHeight="1" x14ac:dyDescent="0.15"/>
    <row r="39" spans="1:22" ht="15.95" customHeight="1" x14ac:dyDescent="0.15">
      <c r="B39" s="390" t="s">
        <v>566</v>
      </c>
    </row>
    <row r="40" spans="1:22" ht="15.95" customHeight="1" x14ac:dyDescent="0.15">
      <c r="A40" s="613"/>
      <c r="B40" s="614"/>
      <c r="C40" s="614"/>
      <c r="D40" s="614"/>
      <c r="E40" s="614"/>
      <c r="F40" s="614"/>
      <c r="G40" s="614"/>
      <c r="H40" s="614"/>
      <c r="I40" s="614"/>
      <c r="J40" s="615"/>
      <c r="K40" s="626" t="s">
        <v>569</v>
      </c>
      <c r="L40" s="626"/>
      <c r="M40" s="626"/>
      <c r="N40" s="626"/>
      <c r="O40" s="626" t="s">
        <v>570</v>
      </c>
      <c r="P40" s="626"/>
      <c r="Q40" s="626"/>
      <c r="R40" s="626"/>
      <c r="S40" s="626" t="s">
        <v>571</v>
      </c>
      <c r="T40" s="626"/>
      <c r="U40" s="626"/>
      <c r="V40" s="626"/>
    </row>
    <row r="41" spans="1:22" ht="15.95" customHeight="1" x14ac:dyDescent="0.15">
      <c r="A41" s="637" t="s">
        <v>567</v>
      </c>
      <c r="B41" s="637"/>
      <c r="C41" s="637"/>
      <c r="D41" s="637"/>
      <c r="E41" s="637"/>
      <c r="F41" s="637"/>
      <c r="G41" s="637"/>
      <c r="H41" s="637"/>
      <c r="I41" s="637"/>
      <c r="J41" s="637"/>
      <c r="K41" s="626" t="s">
        <v>572</v>
      </c>
      <c r="L41" s="626"/>
      <c r="M41" s="626"/>
      <c r="N41" s="626"/>
      <c r="O41" s="626" t="s">
        <v>573</v>
      </c>
      <c r="P41" s="626"/>
      <c r="Q41" s="626"/>
      <c r="R41" s="626"/>
      <c r="S41" s="626" t="s">
        <v>573</v>
      </c>
      <c r="T41" s="626"/>
      <c r="U41" s="626"/>
      <c r="V41" s="626"/>
    </row>
    <row r="42" spans="1:22" ht="15.95" customHeight="1" x14ac:dyDescent="0.15">
      <c r="A42" s="637" t="s">
        <v>568</v>
      </c>
      <c r="B42" s="637"/>
      <c r="C42" s="637"/>
      <c r="D42" s="637"/>
      <c r="E42" s="637"/>
      <c r="F42" s="637"/>
      <c r="G42" s="637"/>
      <c r="H42" s="637"/>
      <c r="I42" s="637"/>
      <c r="J42" s="637"/>
      <c r="K42" s="626" t="s">
        <v>560</v>
      </c>
      <c r="L42" s="626"/>
      <c r="M42" s="626"/>
      <c r="N42" s="626"/>
      <c r="O42" s="626" t="s">
        <v>574</v>
      </c>
      <c r="P42" s="626"/>
      <c r="Q42" s="626"/>
      <c r="R42" s="626"/>
      <c r="S42" s="626" t="s">
        <v>575</v>
      </c>
      <c r="T42" s="626"/>
      <c r="U42" s="626"/>
      <c r="V42" s="626"/>
    </row>
    <row r="43" spans="1:22" ht="15.95" customHeight="1" x14ac:dyDescent="0.15">
      <c r="A43" s="637" t="s">
        <v>396</v>
      </c>
      <c r="B43" s="637"/>
      <c r="C43" s="637"/>
      <c r="D43" s="637"/>
      <c r="E43" s="637"/>
      <c r="F43" s="637"/>
      <c r="G43" s="637"/>
      <c r="H43" s="637"/>
      <c r="I43" s="637"/>
      <c r="J43" s="637"/>
      <c r="K43" s="626" t="s">
        <v>576</v>
      </c>
      <c r="L43" s="626"/>
      <c r="M43" s="626"/>
      <c r="N43" s="626"/>
      <c r="O43" s="626" t="s">
        <v>576</v>
      </c>
      <c r="P43" s="626"/>
      <c r="Q43" s="626"/>
      <c r="R43" s="626"/>
      <c r="S43" s="626" t="s">
        <v>576</v>
      </c>
      <c r="T43" s="626"/>
      <c r="U43" s="626"/>
      <c r="V43" s="626"/>
    </row>
    <row r="44" spans="1:22" ht="41.1" customHeight="1" x14ac:dyDescent="0.15">
      <c r="A44" s="635" t="s">
        <v>577</v>
      </c>
      <c r="B44" s="635"/>
      <c r="C44" s="635"/>
      <c r="D44" s="635"/>
      <c r="E44" s="635"/>
      <c r="F44" s="635"/>
      <c r="G44" s="635"/>
      <c r="H44" s="635"/>
      <c r="I44" s="635"/>
      <c r="J44" s="635"/>
      <c r="K44" s="635"/>
      <c r="L44" s="635"/>
      <c r="M44" s="635"/>
      <c r="N44" s="635"/>
      <c r="O44" s="635"/>
      <c r="P44" s="635"/>
      <c r="Q44" s="635"/>
      <c r="R44" s="635"/>
      <c r="S44" s="635"/>
      <c r="T44" s="635"/>
      <c r="U44" s="635"/>
      <c r="V44" s="635"/>
    </row>
    <row r="46" spans="1:22" ht="18" customHeight="1" x14ac:dyDescent="0.15">
      <c r="A46" s="390" t="s">
        <v>578</v>
      </c>
    </row>
    <row r="47" spans="1:22" ht="18" customHeight="1" x14ac:dyDescent="0.15">
      <c r="N47" s="636" t="s">
        <v>274</v>
      </c>
      <c r="O47" s="636"/>
      <c r="Q47" s="390" t="s">
        <v>8</v>
      </c>
      <c r="S47" s="390" t="s">
        <v>272</v>
      </c>
      <c r="U47" s="390" t="s">
        <v>7</v>
      </c>
      <c r="V47" s="408"/>
    </row>
    <row r="49" spans="11:35" ht="18" customHeight="1" x14ac:dyDescent="0.15">
      <c r="K49" s="397" t="s">
        <v>579</v>
      </c>
      <c r="L49" s="397"/>
      <c r="M49" s="397"/>
      <c r="N49" s="620"/>
      <c r="O49" s="620"/>
      <c r="P49" s="620"/>
      <c r="Q49" s="620"/>
      <c r="R49" s="620"/>
      <c r="S49" s="620"/>
      <c r="T49" s="620"/>
      <c r="U49" s="620"/>
      <c r="V49" s="397"/>
    </row>
    <row r="51" spans="11:35" s="395" customFormat="1" ht="18" customHeight="1" x14ac:dyDescent="0.15">
      <c r="AA51" s="407"/>
      <c r="AB51" s="407"/>
      <c r="AC51" s="407"/>
      <c r="AD51" s="407"/>
      <c r="AE51" s="407"/>
      <c r="AF51" s="407"/>
      <c r="AG51" s="407"/>
      <c r="AH51" s="407"/>
      <c r="AI51" s="407"/>
    </row>
  </sheetData>
  <mergeCells count="73">
    <mergeCell ref="A44:V44"/>
    <mergeCell ref="A40:J40"/>
    <mergeCell ref="N47:O47"/>
    <mergeCell ref="N49:U49"/>
    <mergeCell ref="K43:N43"/>
    <mergeCell ref="O43:R43"/>
    <mergeCell ref="S43:V43"/>
    <mergeCell ref="A42:J42"/>
    <mergeCell ref="A41:J41"/>
    <mergeCell ref="A43:J43"/>
    <mergeCell ref="K40:N40"/>
    <mergeCell ref="O40:R40"/>
    <mergeCell ref="S40:V40"/>
    <mergeCell ref="K41:N41"/>
    <mergeCell ref="O41:R41"/>
    <mergeCell ref="S41:V41"/>
    <mergeCell ref="K42:N42"/>
    <mergeCell ref="B37:V37"/>
    <mergeCell ref="A32:F33"/>
    <mergeCell ref="A34:F34"/>
    <mergeCell ref="A35:F35"/>
    <mergeCell ref="A36:F36"/>
    <mergeCell ref="O42:R42"/>
    <mergeCell ref="S42:V42"/>
    <mergeCell ref="N36:P36"/>
    <mergeCell ref="Q36:S36"/>
    <mergeCell ref="T36:V36"/>
    <mergeCell ref="G34:J34"/>
    <mergeCell ref="K34:M34"/>
    <mergeCell ref="G35:J35"/>
    <mergeCell ref="K35:M35"/>
    <mergeCell ref="G36:J36"/>
    <mergeCell ref="K36:M36"/>
    <mergeCell ref="N32:V32"/>
    <mergeCell ref="N34:P34"/>
    <mergeCell ref="Q34:S34"/>
    <mergeCell ref="T34:V34"/>
    <mergeCell ref="N35:P35"/>
    <mergeCell ref="Q35:S35"/>
    <mergeCell ref="T35:V35"/>
    <mergeCell ref="Q15:U15"/>
    <mergeCell ref="G32:J33"/>
    <mergeCell ref="K32:M33"/>
    <mergeCell ref="N33:P33"/>
    <mergeCell ref="Q33:S33"/>
    <mergeCell ref="T33:V33"/>
    <mergeCell ref="B15:J15"/>
    <mergeCell ref="K12:M12"/>
    <mergeCell ref="B29:C29"/>
    <mergeCell ref="D29:G29"/>
    <mergeCell ref="H29:I29"/>
    <mergeCell ref="K29:L29"/>
    <mergeCell ref="N12:P12"/>
    <mergeCell ref="Q12:U12"/>
    <mergeCell ref="D9:F9"/>
    <mergeCell ref="G9:U9"/>
    <mergeCell ref="D24:G24"/>
    <mergeCell ref="H24:I24"/>
    <mergeCell ref="K24:L24"/>
    <mergeCell ref="K13:M13"/>
    <mergeCell ref="N13:P13"/>
    <mergeCell ref="K14:M14"/>
    <mergeCell ref="N14:P14"/>
    <mergeCell ref="K15:M15"/>
    <mergeCell ref="N15:P15"/>
    <mergeCell ref="B12:J12"/>
    <mergeCell ref="B13:J13"/>
    <mergeCell ref="B14:J14"/>
    <mergeCell ref="Q13:U13"/>
    <mergeCell ref="Q14:U14"/>
    <mergeCell ref="Q2:R2"/>
    <mergeCell ref="T2:U2"/>
    <mergeCell ref="W2:X2"/>
  </mergeCells>
  <phoneticPr fontId="1"/>
  <conditionalFormatting sqref="A2:O2 S2:T2 V2:W2 Y2:Z2">
    <cfRule type="cellIs" dxfId="13" priority="7" operator="equal">
      <formula>"令和　年　月　日"</formula>
    </cfRule>
  </conditionalFormatting>
  <conditionalFormatting sqref="D10 K13:M14 N13:P15 C18:C20">
    <cfRule type="cellIs" dxfId="12" priority="6" operator="equal">
      <formula>""</formula>
    </cfRule>
  </conditionalFormatting>
  <conditionalFormatting sqref="C23 D24:G24 K24:L24">
    <cfRule type="cellIs" dxfId="11" priority="5" operator="equal">
      <formula>""</formula>
    </cfRule>
  </conditionalFormatting>
  <conditionalFormatting sqref="C27 D28 D29:G29">
    <cfRule type="cellIs" dxfId="10" priority="4" operator="equal">
      <formula>""</formula>
    </cfRule>
  </conditionalFormatting>
  <conditionalFormatting sqref="P47 R47 T47 N49:U49">
    <cfRule type="cellIs" priority="3" operator="equal">
      <formula>""</formula>
    </cfRule>
  </conditionalFormatting>
  <conditionalFormatting sqref="N49:U49">
    <cfRule type="cellIs" dxfId="9" priority="2" operator="equal">
      <formula>""</formula>
    </cfRule>
  </conditionalFormatting>
  <conditionalFormatting sqref="P47 R47 T47">
    <cfRule type="cellIs" dxfId="8" priority="1" operator="equal">
      <formula>""</formula>
    </cfRule>
  </conditionalFormatting>
  <dataValidations disablePrompts="1" count="3">
    <dataValidation type="list" allowBlank="1" showInputMessage="1" showErrorMessage="1" sqref="D10">
      <formula1>"4,5,6"</formula1>
    </dataValidation>
    <dataValidation type="list" allowBlank="1" showInputMessage="1" showErrorMessage="1" sqref="D24 D29">
      <formula1>"一級建築士,二級建築士,木造建築士"</formula1>
    </dataValidation>
    <dataValidation type="list" allowBlank="1" showInputMessage="1" showErrorMessage="1" sqref="H24:I24">
      <formula1>"大臣,知事"</formula1>
    </dataValidation>
  </dataValidations>
  <pageMargins left="0.98425196850393704" right="0.98425196850393704" top="0.78740157480314965" bottom="0.59055118110236227" header="0.31496062992125984" footer="0.31496062992125984"/>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U27"/>
  <sheetViews>
    <sheetView topLeftCell="CW1" workbookViewId="0">
      <selection activeCell="DG11" sqref="DG11"/>
    </sheetView>
  </sheetViews>
  <sheetFormatPr defaultColWidth="9" defaultRowHeight="13.5" outlineLevelRow="1" outlineLevelCol="1" x14ac:dyDescent="0.15"/>
  <cols>
    <col min="1" max="1" width="9" style="159"/>
    <col min="2" max="2" width="6.625" style="156" customWidth="1"/>
    <col min="3" max="3" width="6.625" style="157" customWidth="1"/>
    <col min="4" max="5" width="7.625" style="158" customWidth="1"/>
    <col min="6" max="6" width="9.625" style="159" bestFit="1" customWidth="1"/>
    <col min="7" max="7" width="8.75" style="159" bestFit="1" customWidth="1"/>
    <col min="8" max="8" width="11.625" style="160" customWidth="1"/>
    <col min="9" max="9" width="26.5" style="159" customWidth="1"/>
    <col min="10" max="10" width="10.625" style="158" customWidth="1"/>
    <col min="11" max="11" width="50" style="159" customWidth="1"/>
    <col min="12" max="12" width="16.625" style="158" customWidth="1"/>
    <col min="13" max="13" width="10.625" style="158" customWidth="1"/>
    <col min="14" max="14" width="57" style="162" customWidth="1"/>
    <col min="15" max="31" width="6.625" style="163" customWidth="1"/>
    <col min="32" max="33" width="6.625" style="163" customWidth="1" outlineLevel="1"/>
    <col min="34" max="34" width="8.75" style="163" bestFit="1" customWidth="1"/>
    <col min="35" max="35" width="6.625" style="163" customWidth="1"/>
    <col min="36" max="37" width="6.625" style="163" customWidth="1" outlineLevel="1"/>
    <col min="38" max="52" width="6.625" style="163" customWidth="1"/>
    <col min="53" max="53" width="9" style="163" customWidth="1"/>
    <col min="54" max="57" width="6.625" style="163" customWidth="1"/>
    <col min="58" max="59" width="6.625" style="163" customWidth="1" outlineLevel="1"/>
    <col min="60" max="61" width="6.625" style="163" customWidth="1"/>
    <col min="62" max="64" width="6.625" style="163" customWidth="1" outlineLevel="1"/>
    <col min="65" max="66" width="6.625" style="163" customWidth="1"/>
    <col min="67" max="69" width="6.625" style="163" customWidth="1" outlineLevel="1"/>
    <col min="70" max="72" width="6.625" style="163" customWidth="1"/>
    <col min="73" max="73" width="10.625" style="160" customWidth="1"/>
    <col min="74" max="74" width="3.375" style="160" bestFit="1" customWidth="1"/>
    <col min="75" max="75" width="4.375" style="160" customWidth="1"/>
    <col min="76" max="76" width="3.375" style="160" bestFit="1" customWidth="1"/>
    <col min="77" max="77" width="4.875" style="160" customWidth="1"/>
    <col min="78" max="78" width="3.375" style="160" bestFit="1" customWidth="1"/>
    <col min="79" max="79" width="10.625" style="160" customWidth="1"/>
    <col min="80" max="80" width="3.375" style="160" bestFit="1" customWidth="1"/>
    <col min="81" max="81" width="4.375" style="160" customWidth="1"/>
    <col min="82" max="82" width="3.375" style="160" bestFit="1" customWidth="1"/>
    <col min="83" max="83" width="4.875" style="160" customWidth="1"/>
    <col min="84" max="84" width="3.375" style="160" bestFit="1" customWidth="1"/>
    <col min="85" max="85" width="10.625" style="160" customWidth="1"/>
    <col min="86" max="86" width="9" style="164" customWidth="1"/>
    <col min="87" max="87" width="29.375" style="159" customWidth="1"/>
    <col min="88" max="88" width="40.625" style="159" customWidth="1"/>
    <col min="89" max="89" width="10.75" style="158" customWidth="1"/>
    <col min="90" max="91" width="9" style="159" customWidth="1"/>
    <col min="92" max="92" width="9" style="158" customWidth="1"/>
    <col min="93" max="93" width="9" style="160" customWidth="1"/>
    <col min="94" max="95" width="9" style="159" customWidth="1"/>
    <col min="96" max="97" width="9" style="160" customWidth="1"/>
    <col min="98" max="99" width="11" style="159" customWidth="1"/>
    <col min="100" max="100" width="16.125" style="159" customWidth="1"/>
    <col min="101" max="101" width="13" style="159" customWidth="1"/>
    <col min="102" max="102" width="16.125" style="159" customWidth="1"/>
    <col min="103" max="103" width="13" style="159" customWidth="1"/>
    <col min="104" max="104" width="16.125" style="159" customWidth="1"/>
    <col min="105" max="105" width="13" style="159" customWidth="1"/>
    <col min="106" max="106" width="16.125" style="159" customWidth="1"/>
    <col min="107" max="107" width="13" style="159" customWidth="1"/>
    <col min="108" max="108" width="16.125" style="159" customWidth="1"/>
    <col min="109" max="111" width="13" style="159" customWidth="1"/>
    <col min="112" max="114" width="6.625" style="159" customWidth="1"/>
    <col min="115" max="115" width="9" style="159" customWidth="1"/>
    <col min="116" max="117" width="6.625" style="163" hidden="1" customWidth="1"/>
    <col min="118" max="118" width="10.25" style="163" hidden="1" customWidth="1"/>
    <col min="119" max="122" width="6.625" style="163" hidden="1" customWidth="1"/>
    <col min="123" max="123" width="10.125" style="163" hidden="1" customWidth="1"/>
    <col min="124" max="127" width="6.625" style="163" hidden="1" customWidth="1"/>
    <col min="128" max="128" width="10" style="163" hidden="1" customWidth="1"/>
    <col min="129" max="132" width="6.625" style="163" hidden="1" customWidth="1"/>
    <col min="133" max="133" width="9.625" style="163" hidden="1" customWidth="1"/>
    <col min="134" max="140" width="6.625" style="163" hidden="1" customWidth="1"/>
    <col min="141" max="142" width="6.625" style="163" hidden="1" customWidth="1" outlineLevel="1"/>
    <col min="143" max="145" width="6.625" style="163" hidden="1" customWidth="1"/>
    <col min="146" max="147" width="6.625" style="163" hidden="1" customWidth="1" outlineLevel="1"/>
    <col min="148" max="162" width="6.625" style="163" hidden="1" customWidth="1"/>
    <col min="163" max="164" width="8.625" style="163" hidden="1" customWidth="1"/>
    <col min="165" max="166" width="6.625" style="163" hidden="1" customWidth="1"/>
    <col min="167" max="167" width="9" style="163" hidden="1" customWidth="1"/>
    <col min="168" max="168" width="6.625" style="163" hidden="1" customWidth="1"/>
    <col min="169" max="169" width="10.125" style="163" hidden="1" customWidth="1"/>
    <col min="170" max="170" width="6.625" style="163" hidden="1" customWidth="1"/>
    <col min="171" max="171" width="10" style="163" hidden="1" customWidth="1"/>
    <col min="172" max="174" width="6.625" style="163" hidden="1" customWidth="1"/>
    <col min="175" max="176" width="6.625" style="163" hidden="1" customWidth="1" outlineLevel="1"/>
    <col min="177" max="179" width="6.625" style="163" hidden="1" customWidth="1"/>
    <col min="180" max="182" width="6.625" style="163" hidden="1" customWidth="1" outlineLevel="1"/>
    <col min="183" max="185" width="6.625" style="163" hidden="1" customWidth="1"/>
    <col min="186" max="188" width="6.625" style="163" hidden="1" customWidth="1" outlineLevel="1"/>
    <col min="189" max="191" width="6.625" style="163" hidden="1" customWidth="1"/>
    <col min="192" max="192" width="10.875" style="163" hidden="1" customWidth="1"/>
    <col min="193" max="194" width="6.625" style="163" hidden="1" customWidth="1"/>
    <col min="195" max="195" width="6.625" style="159" hidden="1" customWidth="1"/>
    <col min="196" max="196" width="9.75" style="160" hidden="1" customWidth="1"/>
    <col min="197" max="198" width="9.5" style="160" hidden="1" customWidth="1"/>
    <col min="199" max="201" width="9" style="164" hidden="1" customWidth="1"/>
    <col min="202" max="879" width="9" style="165"/>
    <col min="880" max="16384" width="9" style="159"/>
  </cols>
  <sheetData>
    <row r="1" spans="1:879" x14ac:dyDescent="0.15">
      <c r="C1" s="157" t="s">
        <v>522</v>
      </c>
      <c r="I1" s="161" t="s">
        <v>296</v>
      </c>
    </row>
    <row r="2" spans="1:879" x14ac:dyDescent="0.15">
      <c r="H2" s="166" t="s">
        <v>297</v>
      </c>
      <c r="I2" s="167"/>
      <c r="J2" s="168"/>
      <c r="K2" s="167"/>
      <c r="L2" s="168"/>
      <c r="M2" s="168"/>
      <c r="N2" s="169"/>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66"/>
      <c r="BV2" s="166"/>
      <c r="BW2" s="166"/>
      <c r="BX2" s="166"/>
      <c r="BY2" s="166"/>
      <c r="BZ2" s="166"/>
      <c r="CA2" s="166"/>
      <c r="CB2" s="166"/>
      <c r="CC2" s="166"/>
      <c r="CD2" s="166"/>
      <c r="CE2" s="166"/>
      <c r="CF2" s="166"/>
      <c r="CG2" s="166"/>
      <c r="CH2" s="171"/>
      <c r="CI2" s="167"/>
      <c r="CJ2" s="167"/>
      <c r="CK2" s="168"/>
      <c r="CL2" s="167"/>
      <c r="CM2" s="167"/>
      <c r="CN2" s="168"/>
      <c r="CO2" s="167"/>
      <c r="CP2" s="167"/>
      <c r="CQ2" s="167"/>
      <c r="CR2" s="167"/>
      <c r="CS2" s="167"/>
      <c r="CT2" s="167"/>
      <c r="CU2" s="167"/>
      <c r="CV2" s="167"/>
      <c r="CW2" s="167"/>
      <c r="CX2" s="167"/>
      <c r="CY2" s="167"/>
      <c r="CZ2" s="167"/>
      <c r="DA2" s="167"/>
      <c r="DB2" s="167"/>
      <c r="DC2" s="167"/>
      <c r="DD2" s="167"/>
      <c r="DE2" s="167"/>
      <c r="DF2" s="167"/>
      <c r="DG2" s="167"/>
      <c r="DH2" s="167"/>
      <c r="DI2" s="167"/>
      <c r="DJ2" s="167"/>
      <c r="DL2" s="172" t="s">
        <v>298</v>
      </c>
      <c r="DM2" s="172"/>
      <c r="DN2" s="172"/>
      <c r="DO2" s="172"/>
      <c r="DP2" s="172"/>
      <c r="DQ2" s="172"/>
      <c r="DR2" s="172"/>
      <c r="DS2" s="172"/>
      <c r="DT2" s="172"/>
      <c r="DU2" s="172"/>
      <c r="DV2" s="172"/>
      <c r="DW2" s="172"/>
      <c r="DX2" s="172"/>
      <c r="DY2" s="172"/>
      <c r="DZ2" s="172"/>
      <c r="EA2" s="172"/>
      <c r="EB2" s="172"/>
      <c r="EC2" s="172"/>
      <c r="ED2" s="172"/>
      <c r="EE2" s="172"/>
      <c r="EF2" s="172"/>
      <c r="EG2" s="172"/>
      <c r="EH2" s="172"/>
      <c r="EI2" s="172"/>
      <c r="EJ2" s="172"/>
      <c r="EK2" s="172"/>
      <c r="EL2" s="172"/>
      <c r="EM2" s="172"/>
      <c r="EN2" s="172"/>
      <c r="EO2" s="172"/>
      <c r="EP2" s="172"/>
      <c r="EQ2" s="172"/>
      <c r="ER2" s="172"/>
      <c r="ES2" s="172"/>
      <c r="ET2" s="172"/>
      <c r="EU2" s="172"/>
      <c r="EV2" s="172"/>
      <c r="EW2" s="172"/>
      <c r="EX2" s="172"/>
      <c r="EY2" s="172"/>
      <c r="EZ2" s="172"/>
      <c r="FA2" s="172"/>
      <c r="FB2" s="172"/>
      <c r="FC2" s="172"/>
      <c r="FD2" s="172"/>
      <c r="FE2" s="172"/>
      <c r="FF2" s="172"/>
      <c r="FG2" s="172"/>
      <c r="FH2" s="172"/>
      <c r="FI2" s="172"/>
      <c r="FJ2" s="172"/>
      <c r="FK2" s="172"/>
      <c r="FL2" s="172"/>
      <c r="FM2" s="172"/>
      <c r="FN2" s="172"/>
      <c r="FO2" s="172"/>
      <c r="FP2" s="172"/>
      <c r="FQ2" s="172"/>
      <c r="FR2" s="172"/>
      <c r="FS2" s="172"/>
      <c r="FT2" s="172"/>
      <c r="FU2" s="172"/>
      <c r="FV2" s="172"/>
      <c r="FW2" s="172"/>
      <c r="FX2" s="172"/>
      <c r="FY2" s="172"/>
      <c r="FZ2" s="172"/>
      <c r="GA2" s="172"/>
      <c r="GB2" s="172"/>
      <c r="GC2" s="172"/>
      <c r="GD2" s="172"/>
      <c r="GE2" s="172"/>
      <c r="GF2" s="172"/>
      <c r="GG2" s="172"/>
      <c r="GH2" s="172"/>
      <c r="GI2" s="172"/>
      <c r="GJ2" s="172"/>
      <c r="GK2" s="172"/>
      <c r="GL2" s="172"/>
      <c r="GM2" s="172"/>
      <c r="GN2" s="172"/>
      <c r="GO2" s="172"/>
      <c r="GP2" s="172"/>
      <c r="GQ2" s="172"/>
      <c r="GR2" s="172"/>
      <c r="GS2" s="172"/>
    </row>
    <row r="3" spans="1:879" s="197" customFormat="1" ht="56.25" x14ac:dyDescent="0.15">
      <c r="B3" s="173" t="s">
        <v>299</v>
      </c>
      <c r="C3" s="174" t="s">
        <v>300</v>
      </c>
      <c r="D3" s="175" t="s">
        <v>301</v>
      </c>
      <c r="E3" s="175"/>
      <c r="F3" s="176" t="s">
        <v>302</v>
      </c>
      <c r="G3" s="177" t="s">
        <v>303</v>
      </c>
      <c r="H3" s="178" t="s">
        <v>304</v>
      </c>
      <c r="I3" s="179" t="s">
        <v>305</v>
      </c>
      <c r="J3" s="180"/>
      <c r="K3" s="181"/>
      <c r="L3" s="182"/>
      <c r="M3" s="183" t="s">
        <v>306</v>
      </c>
      <c r="N3" s="184"/>
      <c r="O3" s="185" t="s">
        <v>307</v>
      </c>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644" t="s">
        <v>308</v>
      </c>
      <c r="BA3" s="187" t="s">
        <v>309</v>
      </c>
      <c r="BB3" s="187"/>
      <c r="BC3" s="187"/>
      <c r="BD3" s="187"/>
      <c r="BE3" s="187"/>
      <c r="BF3" s="187"/>
      <c r="BG3" s="187"/>
      <c r="BH3" s="187"/>
      <c r="BI3" s="187"/>
      <c r="BJ3" s="187"/>
      <c r="BK3" s="187"/>
      <c r="BL3" s="187"/>
      <c r="BM3" s="187"/>
      <c r="BN3" s="187"/>
      <c r="BO3" s="187"/>
      <c r="BP3" s="187"/>
      <c r="BQ3" s="187"/>
      <c r="BR3" s="187"/>
      <c r="BS3" s="187"/>
      <c r="BT3" s="187"/>
      <c r="BU3" s="188" t="s">
        <v>310</v>
      </c>
      <c r="BV3" s="195"/>
      <c r="BW3" s="195"/>
      <c r="BX3" s="195"/>
      <c r="BY3" s="195"/>
      <c r="BZ3" s="195"/>
      <c r="CA3" s="195"/>
      <c r="CB3" s="195"/>
      <c r="CC3" s="195"/>
      <c r="CD3" s="195"/>
      <c r="CE3" s="195"/>
      <c r="CF3" s="195"/>
      <c r="CG3" s="189" t="s">
        <v>311</v>
      </c>
      <c r="CH3" s="190"/>
      <c r="CI3" s="191" t="s">
        <v>312</v>
      </c>
      <c r="CJ3" s="192"/>
      <c r="CK3" s="193" t="s">
        <v>313</v>
      </c>
      <c r="CL3" s="176" t="s">
        <v>314</v>
      </c>
      <c r="CM3" s="176" t="s">
        <v>315</v>
      </c>
      <c r="CN3" s="175" t="s">
        <v>316</v>
      </c>
      <c r="CO3" s="188" t="s">
        <v>317</v>
      </c>
      <c r="CP3" s="192"/>
      <c r="CQ3" s="194" t="s">
        <v>318</v>
      </c>
      <c r="CR3" s="195"/>
      <c r="CS3" s="195"/>
      <c r="CT3" s="196"/>
      <c r="CU3" s="192"/>
      <c r="CV3" s="651" t="s">
        <v>319</v>
      </c>
      <c r="CW3" s="652"/>
      <c r="CX3" s="652"/>
      <c r="CY3" s="652"/>
      <c r="CZ3" s="652"/>
      <c r="DA3" s="652"/>
      <c r="DB3" s="652"/>
      <c r="DC3" s="652"/>
      <c r="DD3" s="652"/>
      <c r="DE3" s="653"/>
      <c r="DF3" s="411" t="s">
        <v>581</v>
      </c>
      <c r="DG3" s="410" t="s">
        <v>582</v>
      </c>
      <c r="DH3" s="645" t="s">
        <v>320</v>
      </c>
      <c r="DI3" s="646"/>
      <c r="DJ3" s="647"/>
      <c r="DL3" s="185" t="s">
        <v>321</v>
      </c>
      <c r="DM3" s="186"/>
      <c r="DN3" s="186"/>
      <c r="DO3" s="186"/>
      <c r="DP3" s="186"/>
      <c r="DQ3" s="186"/>
      <c r="DR3" s="186"/>
      <c r="DS3" s="186"/>
      <c r="DT3" s="186"/>
      <c r="DU3" s="186"/>
      <c r="DV3" s="186"/>
      <c r="DW3" s="186"/>
      <c r="DX3" s="186"/>
      <c r="DY3" s="186"/>
      <c r="DZ3" s="186"/>
      <c r="EA3" s="186"/>
      <c r="EB3" s="186"/>
      <c r="EC3" s="186"/>
      <c r="ED3" s="186"/>
      <c r="EE3" s="186"/>
      <c r="EF3" s="186"/>
      <c r="EG3" s="186"/>
      <c r="EH3" s="186"/>
      <c r="EI3" s="186"/>
      <c r="EJ3" s="186"/>
      <c r="EK3" s="186"/>
      <c r="EL3" s="186"/>
      <c r="EM3" s="186"/>
      <c r="EN3" s="186"/>
      <c r="EO3" s="186"/>
      <c r="EP3" s="186"/>
      <c r="EQ3" s="186"/>
      <c r="ER3" s="186"/>
      <c r="ES3" s="186"/>
      <c r="ET3" s="186"/>
      <c r="EU3" s="186"/>
      <c r="EV3" s="186"/>
      <c r="EW3" s="186"/>
      <c r="EX3" s="186"/>
      <c r="EY3" s="186"/>
      <c r="EZ3" s="186"/>
      <c r="FA3" s="186"/>
      <c r="FB3" s="186"/>
      <c r="FC3" s="186"/>
      <c r="FD3" s="186"/>
      <c r="FE3" s="186"/>
      <c r="FF3" s="186"/>
      <c r="FG3" s="186"/>
      <c r="FH3" s="186"/>
      <c r="FI3" s="186"/>
      <c r="FJ3" s="198"/>
      <c r="FK3" s="199" t="s">
        <v>322</v>
      </c>
      <c r="FL3" s="200"/>
      <c r="FM3" s="200"/>
      <c r="FN3" s="200"/>
      <c r="FO3" s="200"/>
      <c r="FP3" s="200"/>
      <c r="FQ3" s="200"/>
      <c r="FR3" s="200"/>
      <c r="FS3" s="200"/>
      <c r="FT3" s="200"/>
      <c r="FU3" s="200"/>
      <c r="FV3" s="200"/>
      <c r="FW3" s="200"/>
      <c r="FX3" s="200"/>
      <c r="FY3" s="200"/>
      <c r="FZ3" s="200"/>
      <c r="GA3" s="200"/>
      <c r="GB3" s="200"/>
      <c r="GC3" s="200"/>
      <c r="GD3" s="200"/>
      <c r="GE3" s="200"/>
      <c r="GF3" s="200"/>
      <c r="GG3" s="200"/>
      <c r="GH3" s="200"/>
      <c r="GI3" s="201"/>
      <c r="GJ3" s="201"/>
      <c r="GK3" s="187"/>
      <c r="GL3" s="187"/>
      <c r="GM3" s="194" t="s">
        <v>323</v>
      </c>
      <c r="GN3" s="202"/>
      <c r="GO3" s="202"/>
      <c r="GP3" s="202"/>
      <c r="GQ3" s="203"/>
      <c r="GR3" s="203"/>
      <c r="GS3" s="190"/>
    </row>
    <row r="4" spans="1:879" s="245" customFormat="1" ht="36" x14ac:dyDescent="0.15">
      <c r="B4" s="204"/>
      <c r="C4" s="205"/>
      <c r="D4" s="206"/>
      <c r="E4" s="206"/>
      <c r="F4" s="207"/>
      <c r="G4" s="207"/>
      <c r="H4" s="208"/>
      <c r="I4" s="209" t="s">
        <v>324</v>
      </c>
      <c r="J4" s="210" t="s">
        <v>325</v>
      </c>
      <c r="K4" s="211" t="s">
        <v>326</v>
      </c>
      <c r="L4" s="210" t="s">
        <v>327</v>
      </c>
      <c r="M4" s="210"/>
      <c r="N4" s="212"/>
      <c r="O4" s="213"/>
      <c r="P4" s="214" t="s">
        <v>328</v>
      </c>
      <c r="Q4" s="215"/>
      <c r="R4" s="216" t="s">
        <v>329</v>
      </c>
      <c r="S4" s="217"/>
      <c r="T4" s="218"/>
      <c r="U4" s="219" t="s">
        <v>330</v>
      </c>
      <c r="V4" s="220"/>
      <c r="W4" s="221"/>
      <c r="X4" s="638" t="s">
        <v>332</v>
      </c>
      <c r="Y4" s="638"/>
      <c r="Z4" s="638"/>
      <c r="AA4" s="222"/>
      <c r="AB4" s="640" t="s">
        <v>331</v>
      </c>
      <c r="AC4" s="638"/>
      <c r="AD4" s="639"/>
      <c r="AE4" s="223" t="s">
        <v>333</v>
      </c>
      <c r="AF4" s="224"/>
      <c r="AG4" s="224"/>
      <c r="AH4" s="225"/>
      <c r="AI4" s="226" t="s">
        <v>334</v>
      </c>
      <c r="AJ4" s="227"/>
      <c r="AK4" s="227"/>
      <c r="AL4" s="228"/>
      <c r="AM4" s="229" t="s">
        <v>335</v>
      </c>
      <c r="AN4" s="230"/>
      <c r="AO4" s="230"/>
      <c r="AP4" s="230"/>
      <c r="AQ4" s="230"/>
      <c r="AR4" s="230"/>
      <c r="AS4" s="230"/>
      <c r="AT4" s="230"/>
      <c r="AU4" s="230"/>
      <c r="AV4" s="230"/>
      <c r="AW4" s="230"/>
      <c r="AX4" s="231"/>
      <c r="AY4" s="231"/>
      <c r="AZ4" s="644"/>
      <c r="BA4" s="213"/>
      <c r="BB4" s="232" t="s">
        <v>336</v>
      </c>
      <c r="BC4" s="232"/>
      <c r="BD4" s="233"/>
      <c r="BE4" s="223" t="s">
        <v>333</v>
      </c>
      <c r="BF4" s="224"/>
      <c r="BG4" s="224"/>
      <c r="BH4" s="225"/>
      <c r="BI4" s="219" t="s">
        <v>334</v>
      </c>
      <c r="BJ4" s="220"/>
      <c r="BK4" s="220"/>
      <c r="BL4" s="220"/>
      <c r="BM4" s="221"/>
      <c r="BN4" s="229" t="s">
        <v>337</v>
      </c>
      <c r="BO4" s="230"/>
      <c r="BP4" s="230"/>
      <c r="BQ4" s="230"/>
      <c r="BR4" s="230"/>
      <c r="BS4" s="231"/>
      <c r="BT4" s="234" t="s">
        <v>338</v>
      </c>
      <c r="BU4" s="353"/>
      <c r="BV4" s="354"/>
      <c r="BW4" s="354"/>
      <c r="BX4" s="354"/>
      <c r="BY4" s="354"/>
      <c r="BZ4" s="354"/>
      <c r="CA4" s="354"/>
      <c r="CB4" s="352"/>
      <c r="CC4" s="352"/>
      <c r="CD4" s="352"/>
      <c r="CE4" s="352"/>
      <c r="CF4" s="352"/>
      <c r="CG4" s="235"/>
      <c r="CH4" s="236"/>
      <c r="CI4" s="237"/>
      <c r="CJ4" s="238"/>
      <c r="CK4" s="239"/>
      <c r="CL4" s="207"/>
      <c r="CM4" s="240"/>
      <c r="CN4" s="206"/>
      <c r="CO4" s="241"/>
      <c r="CP4" s="242"/>
      <c r="CQ4" s="237"/>
      <c r="CR4" s="243"/>
      <c r="CS4" s="243"/>
      <c r="CT4" s="244"/>
      <c r="CU4" s="238"/>
      <c r="CV4" s="237"/>
      <c r="CW4" s="244"/>
      <c r="CX4" s="389"/>
      <c r="CY4" s="244"/>
      <c r="CZ4" s="389"/>
      <c r="DA4" s="244"/>
      <c r="DB4" s="389"/>
      <c r="DC4" s="244"/>
      <c r="DD4" s="389"/>
      <c r="DE4" s="238"/>
      <c r="DF4" s="412"/>
      <c r="DG4" s="238"/>
      <c r="DH4" s="648"/>
      <c r="DI4" s="649"/>
      <c r="DJ4" s="650"/>
      <c r="DL4" s="213"/>
      <c r="DM4" s="214" t="s">
        <v>328</v>
      </c>
      <c r="DN4" s="246"/>
      <c r="DO4" s="246"/>
      <c r="DP4" s="246"/>
      <c r="DQ4" s="216" t="s">
        <v>339</v>
      </c>
      <c r="DR4" s="217"/>
      <c r="DS4" s="217"/>
      <c r="DT4" s="217"/>
      <c r="DU4" s="217"/>
      <c r="DV4" s="219" t="s">
        <v>330</v>
      </c>
      <c r="DW4" s="220"/>
      <c r="DX4" s="220"/>
      <c r="DY4" s="220"/>
      <c r="DZ4" s="221"/>
      <c r="EA4" s="638" t="s">
        <v>332</v>
      </c>
      <c r="EB4" s="638"/>
      <c r="EC4" s="638"/>
      <c r="ED4" s="638" t="s">
        <v>331</v>
      </c>
      <c r="EE4" s="638"/>
      <c r="EF4" s="638"/>
      <c r="EG4" s="639"/>
      <c r="EH4" s="247"/>
      <c r="EI4" s="222"/>
      <c r="EJ4" s="223" t="s">
        <v>333</v>
      </c>
      <c r="EK4" s="224"/>
      <c r="EL4" s="224"/>
      <c r="EM4" s="224"/>
      <c r="EN4" s="224"/>
      <c r="EO4" s="226" t="s">
        <v>334</v>
      </c>
      <c r="EP4" s="227"/>
      <c r="EQ4" s="227"/>
      <c r="ER4" s="227"/>
      <c r="ES4" s="228"/>
      <c r="ET4" s="229" t="s">
        <v>335</v>
      </c>
      <c r="EU4" s="230"/>
      <c r="EV4" s="230"/>
      <c r="EW4" s="230"/>
      <c r="EX4" s="230"/>
      <c r="EY4" s="230"/>
      <c r="EZ4" s="230"/>
      <c r="FA4" s="230"/>
      <c r="FB4" s="230"/>
      <c r="FC4" s="230"/>
      <c r="FD4" s="230"/>
      <c r="FE4" s="230"/>
      <c r="FF4" s="230"/>
      <c r="FG4" s="230"/>
      <c r="FH4" s="230"/>
      <c r="FI4" s="248" t="s">
        <v>340</v>
      </c>
      <c r="FJ4" s="248" t="s">
        <v>341</v>
      </c>
      <c r="FK4" s="249"/>
      <c r="FL4" s="250" t="s">
        <v>336</v>
      </c>
      <c r="FM4" s="232"/>
      <c r="FN4" s="232"/>
      <c r="FO4" s="232"/>
      <c r="FP4" s="232"/>
      <c r="FQ4" s="233"/>
      <c r="FR4" s="223" t="s">
        <v>333</v>
      </c>
      <c r="FS4" s="224"/>
      <c r="FT4" s="224"/>
      <c r="FU4" s="224"/>
      <c r="FV4" s="225"/>
      <c r="FW4" s="219" t="s">
        <v>334</v>
      </c>
      <c r="FX4" s="220"/>
      <c r="FY4" s="220"/>
      <c r="FZ4" s="220"/>
      <c r="GA4" s="220"/>
      <c r="GB4" s="221"/>
      <c r="GC4" s="229" t="s">
        <v>337</v>
      </c>
      <c r="GD4" s="230"/>
      <c r="GE4" s="230"/>
      <c r="GF4" s="230"/>
      <c r="GG4" s="230"/>
      <c r="GH4" s="230"/>
      <c r="GI4" s="251"/>
      <c r="GJ4" s="251"/>
      <c r="GK4" s="252" t="s">
        <v>342</v>
      </c>
      <c r="GL4" s="252" t="s">
        <v>341</v>
      </c>
      <c r="GM4" s="253"/>
      <c r="GN4" s="254"/>
      <c r="GO4" s="254"/>
      <c r="GP4" s="254"/>
      <c r="GQ4" s="255" t="s">
        <v>343</v>
      </c>
      <c r="GR4" s="255" t="s">
        <v>343</v>
      </c>
      <c r="GS4" s="256" t="s">
        <v>344</v>
      </c>
    </row>
    <row r="5" spans="1:879" s="283" customFormat="1" ht="66" customHeight="1" x14ac:dyDescent="0.15">
      <c r="B5" s="257" t="s">
        <v>345</v>
      </c>
      <c r="C5" s="258"/>
      <c r="D5" s="259"/>
      <c r="E5" s="260" t="s">
        <v>347</v>
      </c>
      <c r="F5" s="261" t="s">
        <v>346</v>
      </c>
      <c r="G5" s="261"/>
      <c r="H5" s="262"/>
      <c r="I5" s="263"/>
      <c r="J5" s="264"/>
      <c r="K5" s="176"/>
      <c r="L5" s="264"/>
      <c r="M5" s="175" t="s">
        <v>486</v>
      </c>
      <c r="N5" s="265" t="s">
        <v>348</v>
      </c>
      <c r="O5" s="266" t="s">
        <v>349</v>
      </c>
      <c r="P5" s="267" t="s">
        <v>350</v>
      </c>
      <c r="Q5" s="252" t="s">
        <v>351</v>
      </c>
      <c r="R5" s="268" t="s">
        <v>352</v>
      </c>
      <c r="S5" s="267" t="s">
        <v>350</v>
      </c>
      <c r="T5" s="252" t="s">
        <v>351</v>
      </c>
      <c r="U5" s="268" t="s">
        <v>352</v>
      </c>
      <c r="V5" s="267" t="s">
        <v>350</v>
      </c>
      <c r="W5" s="252" t="s">
        <v>351</v>
      </c>
      <c r="X5" s="269" t="s">
        <v>352</v>
      </c>
      <c r="Y5" s="270" t="s">
        <v>355</v>
      </c>
      <c r="Z5" s="269" t="s">
        <v>354</v>
      </c>
      <c r="AA5" s="271" t="s">
        <v>356</v>
      </c>
      <c r="AB5" s="269" t="s">
        <v>352</v>
      </c>
      <c r="AC5" s="270" t="s">
        <v>353</v>
      </c>
      <c r="AD5" s="269" t="s">
        <v>354</v>
      </c>
      <c r="AE5" s="268" t="s">
        <v>352</v>
      </c>
      <c r="AF5" s="267" t="s">
        <v>462</v>
      </c>
      <c r="AG5" s="272" t="s">
        <v>463</v>
      </c>
      <c r="AH5" s="252" t="s">
        <v>351</v>
      </c>
      <c r="AI5" s="268" t="s">
        <v>359</v>
      </c>
      <c r="AJ5" s="267" t="s">
        <v>464</v>
      </c>
      <c r="AK5" s="267" t="s">
        <v>465</v>
      </c>
      <c r="AL5" s="252" t="s">
        <v>351</v>
      </c>
      <c r="AM5" s="269" t="s">
        <v>359</v>
      </c>
      <c r="AN5" s="266" t="s">
        <v>466</v>
      </c>
      <c r="AO5" s="266" t="s">
        <v>467</v>
      </c>
      <c r="AP5" s="266" t="s">
        <v>468</v>
      </c>
      <c r="AQ5" s="266" t="s">
        <v>469</v>
      </c>
      <c r="AR5" s="266" t="s">
        <v>470</v>
      </c>
      <c r="AS5" s="266" t="s">
        <v>471</v>
      </c>
      <c r="AT5" s="266" t="s">
        <v>472</v>
      </c>
      <c r="AU5" s="269" t="s">
        <v>360</v>
      </c>
      <c r="AV5" s="271" t="s">
        <v>351</v>
      </c>
      <c r="AW5" s="266" t="s">
        <v>361</v>
      </c>
      <c r="AX5" s="266" t="s">
        <v>362</v>
      </c>
      <c r="AY5" s="266" t="s">
        <v>362</v>
      </c>
      <c r="AZ5" s="644"/>
      <c r="BA5" s="273" t="s">
        <v>363</v>
      </c>
      <c r="BB5" s="274" t="s">
        <v>364</v>
      </c>
      <c r="BC5" s="275" t="s">
        <v>365</v>
      </c>
      <c r="BD5" s="271" t="s">
        <v>366</v>
      </c>
      <c r="BE5" s="268" t="s">
        <v>352</v>
      </c>
      <c r="BF5" s="267" t="s">
        <v>357</v>
      </c>
      <c r="BG5" s="272" t="s">
        <v>358</v>
      </c>
      <c r="BH5" s="252" t="s">
        <v>366</v>
      </c>
      <c r="BI5" s="268" t="s">
        <v>352</v>
      </c>
      <c r="BJ5" s="267" t="s">
        <v>367</v>
      </c>
      <c r="BK5" s="267" t="s">
        <v>368</v>
      </c>
      <c r="BL5" s="267" t="s">
        <v>369</v>
      </c>
      <c r="BM5" s="252" t="s">
        <v>366</v>
      </c>
      <c r="BN5" s="268" t="s">
        <v>359</v>
      </c>
      <c r="BO5" s="267" t="s">
        <v>370</v>
      </c>
      <c r="BP5" s="267" t="s">
        <v>371</v>
      </c>
      <c r="BQ5" s="267" t="s">
        <v>372</v>
      </c>
      <c r="BR5" s="252" t="s">
        <v>373</v>
      </c>
      <c r="BS5" s="266" t="s">
        <v>362</v>
      </c>
      <c r="BT5" s="276" t="s">
        <v>374</v>
      </c>
      <c r="BU5" s="641" t="s">
        <v>375</v>
      </c>
      <c r="BV5" s="642"/>
      <c r="BW5" s="642"/>
      <c r="BX5" s="642"/>
      <c r="BY5" s="642"/>
      <c r="BZ5" s="643"/>
      <c r="CA5" s="641" t="s">
        <v>376</v>
      </c>
      <c r="CB5" s="642"/>
      <c r="CC5" s="642"/>
      <c r="CD5" s="642"/>
      <c r="CE5" s="642"/>
      <c r="CF5" s="643"/>
      <c r="CG5" s="277" t="s">
        <v>377</v>
      </c>
      <c r="CH5" s="278" t="s">
        <v>378</v>
      </c>
      <c r="CI5" s="279" t="s">
        <v>379</v>
      </c>
      <c r="CJ5" s="279" t="s">
        <v>380</v>
      </c>
      <c r="CK5" s="280" t="s">
        <v>381</v>
      </c>
      <c r="CL5" s="279" t="s">
        <v>382</v>
      </c>
      <c r="CM5" s="279" t="s">
        <v>383</v>
      </c>
      <c r="CN5" s="280" t="s">
        <v>384</v>
      </c>
      <c r="CO5" s="277" t="s">
        <v>385</v>
      </c>
      <c r="CP5" s="209" t="s">
        <v>386</v>
      </c>
      <c r="CQ5" s="279" t="s">
        <v>387</v>
      </c>
      <c r="CR5" s="281" t="s">
        <v>388</v>
      </c>
      <c r="CS5" s="281" t="s">
        <v>389</v>
      </c>
      <c r="CT5" s="279" t="s">
        <v>390</v>
      </c>
      <c r="CU5" s="279" t="s">
        <v>391</v>
      </c>
      <c r="CV5" s="279" t="s">
        <v>393</v>
      </c>
      <c r="CW5" s="279" t="s">
        <v>392</v>
      </c>
      <c r="CX5" s="279" t="s">
        <v>393</v>
      </c>
      <c r="CY5" s="279" t="s">
        <v>392</v>
      </c>
      <c r="CZ5" s="279" t="s">
        <v>393</v>
      </c>
      <c r="DA5" s="279" t="s">
        <v>392</v>
      </c>
      <c r="DB5" s="279" t="s">
        <v>393</v>
      </c>
      <c r="DC5" s="279" t="s">
        <v>392</v>
      </c>
      <c r="DD5" s="279" t="s">
        <v>393</v>
      </c>
      <c r="DE5" s="279" t="s">
        <v>392</v>
      </c>
      <c r="DF5" s="279" t="s">
        <v>583</v>
      </c>
      <c r="DG5" s="279" t="s">
        <v>583</v>
      </c>
      <c r="DH5" s="282" t="s">
        <v>394</v>
      </c>
      <c r="DI5" s="282" t="s">
        <v>395</v>
      </c>
      <c r="DJ5" s="282" t="s">
        <v>396</v>
      </c>
      <c r="DL5" s="266" t="s">
        <v>349</v>
      </c>
      <c r="DM5" s="266" t="s">
        <v>350</v>
      </c>
      <c r="DN5" s="266" t="s">
        <v>397</v>
      </c>
      <c r="DO5" s="284" t="s">
        <v>398</v>
      </c>
      <c r="DP5" s="284" t="s">
        <v>399</v>
      </c>
      <c r="DQ5" s="269" t="s">
        <v>352</v>
      </c>
      <c r="DR5" s="266" t="s">
        <v>350</v>
      </c>
      <c r="DS5" s="266" t="s">
        <v>400</v>
      </c>
      <c r="DT5" s="285" t="s">
        <v>398</v>
      </c>
      <c r="DU5" s="285" t="s">
        <v>399</v>
      </c>
      <c r="DV5" s="269" t="s">
        <v>352</v>
      </c>
      <c r="DW5" s="266" t="s">
        <v>350</v>
      </c>
      <c r="DX5" s="266" t="s">
        <v>401</v>
      </c>
      <c r="DY5" s="285" t="s">
        <v>398</v>
      </c>
      <c r="DZ5" s="285" t="s">
        <v>399</v>
      </c>
      <c r="EA5" s="269" t="s">
        <v>352</v>
      </c>
      <c r="EB5" s="270" t="s">
        <v>355</v>
      </c>
      <c r="EC5" s="269" t="s">
        <v>354</v>
      </c>
      <c r="ED5" s="269" t="s">
        <v>352</v>
      </c>
      <c r="EE5" s="270" t="s">
        <v>353</v>
      </c>
      <c r="EF5" s="286" t="s">
        <v>402</v>
      </c>
      <c r="EG5" s="269" t="s">
        <v>354</v>
      </c>
      <c r="EH5" s="285" t="s">
        <v>398</v>
      </c>
      <c r="EI5" s="285" t="s">
        <v>399</v>
      </c>
      <c r="EJ5" s="269" t="s">
        <v>352</v>
      </c>
      <c r="EK5" s="266" t="s">
        <v>462</v>
      </c>
      <c r="EL5" s="266" t="s">
        <v>463</v>
      </c>
      <c r="EM5" s="285" t="s">
        <v>398</v>
      </c>
      <c r="EN5" s="285" t="s">
        <v>399</v>
      </c>
      <c r="EO5" s="269" t="s">
        <v>359</v>
      </c>
      <c r="EP5" s="266" t="s">
        <v>464</v>
      </c>
      <c r="EQ5" s="266" t="s">
        <v>465</v>
      </c>
      <c r="ER5" s="285" t="s">
        <v>398</v>
      </c>
      <c r="ES5" s="285" t="s">
        <v>399</v>
      </c>
      <c r="ET5" s="269" t="s">
        <v>359</v>
      </c>
      <c r="EU5" s="266" t="s">
        <v>466</v>
      </c>
      <c r="EV5" s="266" t="s">
        <v>467</v>
      </c>
      <c r="EW5" s="266" t="s">
        <v>468</v>
      </c>
      <c r="EX5" s="266" t="s">
        <v>469</v>
      </c>
      <c r="EY5" s="266" t="s">
        <v>470</v>
      </c>
      <c r="EZ5" s="266" t="s">
        <v>471</v>
      </c>
      <c r="FA5" s="266" t="s">
        <v>472</v>
      </c>
      <c r="FB5" s="269" t="s">
        <v>360</v>
      </c>
      <c r="FC5" s="285" t="s">
        <v>398</v>
      </c>
      <c r="FD5" s="285" t="s">
        <v>399</v>
      </c>
      <c r="FE5" s="266" t="s">
        <v>361</v>
      </c>
      <c r="FF5" s="266" t="s">
        <v>362</v>
      </c>
      <c r="FG5" s="266" t="s">
        <v>403</v>
      </c>
      <c r="FH5" s="266" t="s">
        <v>404</v>
      </c>
      <c r="FI5" s="287"/>
      <c r="FJ5" s="287"/>
      <c r="FK5" s="288" t="s">
        <v>363</v>
      </c>
      <c r="FL5" s="289" t="s">
        <v>364</v>
      </c>
      <c r="FM5" s="290" t="s">
        <v>405</v>
      </c>
      <c r="FN5" s="291" t="s">
        <v>365</v>
      </c>
      <c r="FO5" s="291" t="s">
        <v>402</v>
      </c>
      <c r="FP5" s="285" t="s">
        <v>398</v>
      </c>
      <c r="FQ5" s="285" t="s">
        <v>399</v>
      </c>
      <c r="FR5" s="269" t="s">
        <v>352</v>
      </c>
      <c r="FS5" s="266" t="s">
        <v>406</v>
      </c>
      <c r="FT5" s="266" t="s">
        <v>407</v>
      </c>
      <c r="FU5" s="285" t="s">
        <v>398</v>
      </c>
      <c r="FV5" s="285" t="s">
        <v>399</v>
      </c>
      <c r="FW5" s="269" t="s">
        <v>408</v>
      </c>
      <c r="FX5" s="266" t="s">
        <v>409</v>
      </c>
      <c r="FY5" s="266" t="s">
        <v>410</v>
      </c>
      <c r="FZ5" s="266" t="s">
        <v>411</v>
      </c>
      <c r="GA5" s="285" t="s">
        <v>398</v>
      </c>
      <c r="GB5" s="285" t="s">
        <v>399</v>
      </c>
      <c r="GC5" s="269" t="s">
        <v>408</v>
      </c>
      <c r="GD5" s="266" t="s">
        <v>370</v>
      </c>
      <c r="GE5" s="266" t="s">
        <v>371</v>
      </c>
      <c r="GF5" s="266" t="s">
        <v>372</v>
      </c>
      <c r="GG5" s="285" t="s">
        <v>398</v>
      </c>
      <c r="GH5" s="285" t="s">
        <v>399</v>
      </c>
      <c r="GI5" s="292" t="s">
        <v>362</v>
      </c>
      <c r="GJ5" s="292" t="s">
        <v>403</v>
      </c>
      <c r="GK5" s="285"/>
      <c r="GL5" s="285"/>
      <c r="GM5" s="293" t="s">
        <v>412</v>
      </c>
      <c r="GN5" s="294" t="s">
        <v>413</v>
      </c>
      <c r="GO5" s="294" t="s">
        <v>414</v>
      </c>
      <c r="GP5" s="294" t="s">
        <v>415</v>
      </c>
      <c r="GQ5" s="295" t="s">
        <v>416</v>
      </c>
      <c r="GR5" s="295" t="s">
        <v>417</v>
      </c>
      <c r="GS5" s="295" t="s">
        <v>418</v>
      </c>
    </row>
    <row r="6" spans="1:879" s="313" customFormat="1" ht="15.75" hidden="1" customHeight="1" x14ac:dyDescent="0.15">
      <c r="B6" s="296" t="str">
        <f t="shared" ref="B6:B11" si="0">IF(GP6&gt;0,"支払済",IF(GM6="取下",GM6,IF(GM6="取消",GM6,"")))</f>
        <v>支払済</v>
      </c>
      <c r="C6" s="297" t="s">
        <v>419</v>
      </c>
      <c r="D6" s="298" t="s">
        <v>420</v>
      </c>
      <c r="E6" s="299" t="str">
        <f>IF(D6="登録","登録",IF(D5="登録","建売購入",""))</f>
        <v/>
      </c>
      <c r="F6" s="300"/>
      <c r="G6" s="300"/>
      <c r="H6" s="301">
        <v>43191</v>
      </c>
      <c r="I6" s="338" t="s">
        <v>421</v>
      </c>
      <c r="J6" s="339" t="s">
        <v>422</v>
      </c>
      <c r="K6" s="338"/>
      <c r="L6" s="339" t="s">
        <v>423</v>
      </c>
      <c r="M6" s="339" t="s">
        <v>424</v>
      </c>
      <c r="N6" s="342" t="s">
        <v>425</v>
      </c>
      <c r="O6" s="304">
        <v>35</v>
      </c>
      <c r="P6" s="304">
        <v>25</v>
      </c>
      <c r="Q6" s="303">
        <f>IF(P6&gt;=10,150,0)</f>
        <v>150</v>
      </c>
      <c r="R6" s="304">
        <f>IF(S6&gt;=1,1,"")</f>
        <v>1</v>
      </c>
      <c r="S6" s="304">
        <v>19</v>
      </c>
      <c r="T6" s="305">
        <f>IF(Q6=0,0,IF(S6&gt;=25,MIN(250,ROUNDDOWN(S6*10,-1)),IF(S6&gt;=20,MIN(200,ROUNDDOWN(S6*10,-1)),IF(S6&gt;=15,MIN(150,ROUNDDOWN(S6*10,-1)),MIN(100,ROUNDDOWN(S6*10,-1))))))</f>
        <v>150</v>
      </c>
      <c r="U6" s="304">
        <f>IF(V6&gt;=1,1,"")</f>
        <v>1</v>
      </c>
      <c r="V6" s="304">
        <v>7</v>
      </c>
      <c r="W6" s="305">
        <f>IF(AND(Q6&gt;0,V6&gt;=1),MIN(INT(V6)*20,200),0)</f>
        <v>140</v>
      </c>
      <c r="X6" s="304">
        <f>IF(Y6&gt;=1,1,"")</f>
        <v>1</v>
      </c>
      <c r="Y6" s="304">
        <v>1</v>
      </c>
      <c r="Z6" s="304">
        <f>IF(Y6&gt;=1,50,0)</f>
        <v>50</v>
      </c>
      <c r="AA6" s="303">
        <f t="shared" ref="AA6:AA10" si="1">IF(OR(AD6&gt;0,Z6&gt;0),MIN(AD6+Z6,150),0)</f>
        <v>72</v>
      </c>
      <c r="AB6" s="304">
        <f>IF(AC6&gt;=1,1,"")</f>
        <v>1</v>
      </c>
      <c r="AC6" s="304">
        <v>11</v>
      </c>
      <c r="AD6" s="304">
        <f t="shared" ref="AD6:AD10" si="2">IF(AND(Q6&gt;0,AC6&gt;=1),MIN(INT(AC6)*2,150),0)</f>
        <v>22</v>
      </c>
      <c r="AE6" s="304">
        <f>IF(OR(AF6=1,AG6=1),1,"")</f>
        <v>1</v>
      </c>
      <c r="AF6" s="304"/>
      <c r="AG6" s="304">
        <v>1</v>
      </c>
      <c r="AH6" s="303">
        <f>IF(AND(Q6&gt;0,AE6=1),100,0)</f>
        <v>100</v>
      </c>
      <c r="AI6" s="304">
        <f>IF(OR(AJ6=1,AK6=1),1,"")</f>
        <v>1</v>
      </c>
      <c r="AJ6" s="304">
        <v>1</v>
      </c>
      <c r="AK6" s="304"/>
      <c r="AL6" s="303">
        <f t="shared" ref="AL6:AL10" si="3">IF(AND(Q6&gt;0,AE6=1,AI6=1),100,0)</f>
        <v>100</v>
      </c>
      <c r="AM6" s="304">
        <f>IF(AU6&gt;=4,1,"")</f>
        <v>1</v>
      </c>
      <c r="AN6" s="304"/>
      <c r="AO6" s="304"/>
      <c r="AP6" s="304">
        <v>1</v>
      </c>
      <c r="AQ6" s="304">
        <v>2</v>
      </c>
      <c r="AR6" s="304"/>
      <c r="AS6" s="304">
        <v>1</v>
      </c>
      <c r="AT6" s="304">
        <v>1</v>
      </c>
      <c r="AU6" s="304">
        <f>SUM(AN6:AT6)</f>
        <v>5</v>
      </c>
      <c r="AV6" s="303">
        <f>IF(AU6&gt;=4,200,0)</f>
        <v>200</v>
      </c>
      <c r="AW6" s="306" t="s">
        <v>426</v>
      </c>
      <c r="AX6" s="306" t="s">
        <v>427</v>
      </c>
      <c r="AY6" s="306" t="s">
        <v>427</v>
      </c>
      <c r="AZ6" s="303">
        <f t="shared" ref="AZ6:AZ11" si="4">IF(OR(D6="新築",D6="登録"),MIN(1000,Q6+T6+W6+AA6+AH6+AL6+AV6),0)</f>
        <v>912</v>
      </c>
      <c r="BA6" s="306"/>
      <c r="BB6" s="307"/>
      <c r="BC6" s="306"/>
      <c r="BD6" s="303">
        <f>MIN(ROUNDDOWN(BB6,1)*20+INT(BC6)*2,250)</f>
        <v>0</v>
      </c>
      <c r="BE6" s="304" t="str">
        <f>IF(OR(BF6=1,BG6=1),1,"")</f>
        <v/>
      </c>
      <c r="BF6" s="302"/>
      <c r="BG6" s="302"/>
      <c r="BH6" s="303" t="e">
        <f>IF(AND(BD6&gt;0,BE6=1,#REF!=""),100,0)</f>
        <v>#REF!</v>
      </c>
      <c r="BI6" s="304" t="str">
        <f>IF(OR(BJ6=1,BK6=1,BL6=1),1,"")</f>
        <v/>
      </c>
      <c r="BJ6" s="306"/>
      <c r="BK6" s="306"/>
      <c r="BL6" s="306"/>
      <c r="BM6" s="303">
        <f>IF(AND(BD6&gt;0,BI6=1),100,IF(AND(BD6&gt;0,BL6=1),100,0))</f>
        <v>0</v>
      </c>
      <c r="BN6" s="304" t="str">
        <f>IF(OR(AND(BO6&gt;=7,BP6&gt;=7,BO6+BP6&gt;=14),AND(BO6&gt;=7,BQ6&gt;=3,BO6+BQ6&gt;=10),AND(BP6&gt;=7,BQ6&gt;=3,BP6+BQ6&gt;=10)),1,"")</f>
        <v/>
      </c>
      <c r="BO6" s="306"/>
      <c r="BP6" s="306"/>
      <c r="BQ6" s="306"/>
      <c r="BR6" s="303">
        <f>IF(AND(BN6=1,BD6&gt;0),MIN(150,ROUNDDOWN(BO6*11+BP6*13+BQ6*19,0)),0)</f>
        <v>0</v>
      </c>
      <c r="BS6" s="306"/>
      <c r="BT6" s="303">
        <f>IF(D6="改修",MIN(500,BD6+BH6+BM6+BR6,INT(CM6*10/2)),0)</f>
        <v>0</v>
      </c>
      <c r="BU6" s="347"/>
      <c r="BV6" s="350" t="s">
        <v>8</v>
      </c>
      <c r="BW6" s="348"/>
      <c r="BX6" s="350" t="s">
        <v>272</v>
      </c>
      <c r="BY6" s="348"/>
      <c r="BZ6" s="351" t="s">
        <v>7</v>
      </c>
      <c r="CA6" s="347"/>
      <c r="CB6" s="350" t="s">
        <v>8</v>
      </c>
      <c r="CC6" s="348"/>
      <c r="CD6" s="350" t="s">
        <v>272</v>
      </c>
      <c r="CE6" s="348"/>
      <c r="CF6" s="351" t="s">
        <v>7</v>
      </c>
      <c r="CG6" s="301">
        <v>43200</v>
      </c>
      <c r="CH6" s="308">
        <f>AZ6+BT6</f>
        <v>912</v>
      </c>
      <c r="CI6" s="338" t="s">
        <v>428</v>
      </c>
      <c r="CJ6" s="338" t="s">
        <v>429</v>
      </c>
      <c r="CK6" s="298" t="s">
        <v>430</v>
      </c>
      <c r="CL6" s="338">
        <v>120</v>
      </c>
      <c r="CM6" s="355">
        <v>2500</v>
      </c>
      <c r="CN6" s="339" t="s">
        <v>431</v>
      </c>
      <c r="CO6" s="301"/>
      <c r="CP6" s="300"/>
      <c r="CQ6" s="300"/>
      <c r="CR6" s="301"/>
      <c r="CS6" s="301"/>
      <c r="CT6" s="300"/>
      <c r="CU6" s="300"/>
      <c r="CV6" s="300"/>
      <c r="CW6" s="300"/>
      <c r="CX6" s="300"/>
      <c r="CY6" s="300"/>
      <c r="CZ6" s="300"/>
      <c r="DA6" s="300"/>
      <c r="DB6" s="300"/>
      <c r="DC6" s="300"/>
      <c r="DD6" s="300"/>
      <c r="DE6" s="300"/>
      <c r="DF6" s="300"/>
      <c r="DG6" s="300"/>
      <c r="DH6" s="300"/>
      <c r="DI6" s="300"/>
      <c r="DJ6" s="300"/>
      <c r="DK6" s="309"/>
      <c r="DL6" s="304">
        <v>30</v>
      </c>
      <c r="DM6" s="304">
        <v>25</v>
      </c>
      <c r="DN6" s="302" t="s">
        <v>432</v>
      </c>
      <c r="DO6" s="303">
        <f t="shared" ref="DO6:DO10" si="5">IF(DM6&gt;=10,150,0)</f>
        <v>150</v>
      </c>
      <c r="DP6" s="303">
        <f t="shared" ref="DP6:DP11" si="6">MIN(Q6,DO6)</f>
        <v>150</v>
      </c>
      <c r="DQ6" s="304">
        <f>IF(DR6&gt;=1,1,"")</f>
        <v>1</v>
      </c>
      <c r="DR6" s="304">
        <v>18</v>
      </c>
      <c r="DS6" s="302" t="s">
        <v>432</v>
      </c>
      <c r="DT6" s="305">
        <f>IF(DO6=0,0,IF(DR6&gt;=25,MIN(250,ROUNDDOWN(DR6*10,-1)),IF(DR6&gt;=20,MIN(200,ROUNDDOWN(DR6*10,-1)),IF(DR6&gt;=15,MIN(150,ROUNDDOWN(DR6*10,-1)),MIN(100,ROUNDDOWN(DR6*10,-1))))))</f>
        <v>150</v>
      </c>
      <c r="DU6" s="303">
        <f t="shared" ref="DU6:DU11" si="7">MIN(T6,DT6)</f>
        <v>150</v>
      </c>
      <c r="DV6" s="304">
        <f>IF(DW6&gt;=1,1,"")</f>
        <v>1</v>
      </c>
      <c r="DW6" s="304">
        <v>10</v>
      </c>
      <c r="DX6" s="302" t="s">
        <v>433</v>
      </c>
      <c r="DY6" s="305">
        <f>IF(AND(DO6&gt;0,DW6&gt;=1),MIN(INT(DW6)*20,200),0)</f>
        <v>200</v>
      </c>
      <c r="DZ6" s="303">
        <f t="shared" ref="DZ6:DZ11" si="8">MIN(W6,DY6)</f>
        <v>140</v>
      </c>
      <c r="EA6" s="304" t="str">
        <f>IF(EB6&gt;=1,1,"")</f>
        <v/>
      </c>
      <c r="EB6" s="304"/>
      <c r="EC6" s="304">
        <f t="shared" ref="EC6:EC11" si="9">IF(AND(EB6&gt;=1,DO6&gt;=1),50,0)</f>
        <v>0</v>
      </c>
      <c r="ED6" s="304">
        <f>IF(EE6&gt;=1,1,"")</f>
        <v>1</v>
      </c>
      <c r="EE6" s="304">
        <v>15</v>
      </c>
      <c r="EF6" s="302" t="s">
        <v>434</v>
      </c>
      <c r="EG6" s="304">
        <f>IF(AND(DO6&gt;0,EE6&gt;=1),MIN(INT(EE6)*2,150),0)</f>
        <v>30</v>
      </c>
      <c r="EH6" s="303">
        <f t="shared" ref="EH6:EH11" si="10">IF(OR(EG6&gt;0,EC6&gt;0),MIN(EG6+EC6,150),0)</f>
        <v>30</v>
      </c>
      <c r="EI6" s="303">
        <f t="shared" ref="EI6:EI11" si="11">MIN(AA6,EH6)</f>
        <v>30</v>
      </c>
      <c r="EJ6" s="304">
        <f>IF(OR(EK6=1,EL6=1),1,"")</f>
        <v>1</v>
      </c>
      <c r="EK6" s="304">
        <v>1</v>
      </c>
      <c r="EL6" s="304"/>
      <c r="EM6" s="303" t="e">
        <f>IF(AND(DO6&gt;0,EJ6=1,[1]【様式第６号】事業報告書兼チェックシート!B57=""),100,0)</f>
        <v>#REF!</v>
      </c>
      <c r="EN6" s="303" t="e">
        <f t="shared" ref="EN6:EN11" si="12">MIN(AH6,EM6)</f>
        <v>#REF!</v>
      </c>
      <c r="EO6" s="304">
        <f>IF(OR(EP6=1,EQ6=1),1,"")</f>
        <v>1</v>
      </c>
      <c r="EP6" s="304">
        <v>1</v>
      </c>
      <c r="EQ6" s="304"/>
      <c r="ER6" s="303">
        <f t="shared" ref="ER6:ER11" si="13">IF(AND(DO6&gt;0,EJ6=1,EO6=1),100,0)</f>
        <v>100</v>
      </c>
      <c r="ES6" s="303">
        <f t="shared" ref="ES6:ES11" si="14">MIN(AL6,ER6)</f>
        <v>100</v>
      </c>
      <c r="ET6" s="304">
        <f>IF(FB6&gt;=4,1,"")</f>
        <v>1</v>
      </c>
      <c r="EU6" s="304"/>
      <c r="EV6" s="304"/>
      <c r="EW6" s="304"/>
      <c r="EX6" s="304">
        <v>2</v>
      </c>
      <c r="EY6" s="304"/>
      <c r="EZ6" s="304">
        <v>1</v>
      </c>
      <c r="FA6" s="304">
        <v>1</v>
      </c>
      <c r="FB6" s="304">
        <f>SUM(EU6:FA6)</f>
        <v>4</v>
      </c>
      <c r="FC6" s="303">
        <f>IF(FB6&gt;=4,200,0)</f>
        <v>200</v>
      </c>
      <c r="FD6" s="303">
        <f t="shared" ref="FD6:FD11" si="15">MIN(AV6,FC6)</f>
        <v>200</v>
      </c>
      <c r="FE6" s="306" t="s">
        <v>426</v>
      </c>
      <c r="FF6" s="306"/>
      <c r="FG6" s="306"/>
      <c r="FH6" s="306" t="s">
        <v>435</v>
      </c>
      <c r="FI6" s="303" t="e">
        <f t="shared" ref="FI6:FI11" si="16">IF(D6="新築",MIN(1500,CH6,MIN(DP6+DU6+DZ6+EI6+EN6+ES6+FD6,1000)),0)</f>
        <v>#REF!</v>
      </c>
      <c r="FJ6" s="303" t="e">
        <f t="shared" ref="FJ6:FJ11" si="17">AZ6-FI6</f>
        <v>#REF!</v>
      </c>
      <c r="FK6" s="306"/>
      <c r="FL6" s="310"/>
      <c r="FM6" s="310"/>
      <c r="FN6" s="306"/>
      <c r="FO6" s="306"/>
      <c r="FP6" s="303">
        <f>MIN(ROUNDDOWN(FL6,1)*20+INT(FN6)*2,250)</f>
        <v>0</v>
      </c>
      <c r="FQ6" s="303">
        <f>MIN(BD6,FP6)</f>
        <v>0</v>
      </c>
      <c r="FR6" s="304" t="str">
        <f>IF(OR(FS6=1,FT6=1),1,"")</f>
        <v/>
      </c>
      <c r="FS6" s="302"/>
      <c r="FT6" s="302"/>
      <c r="FU6" s="303" t="e">
        <f>IF(AND(FP6&gt;0,FR6=1,#REF!=""),100,0)</f>
        <v>#REF!</v>
      </c>
      <c r="FV6" s="303" t="e">
        <f>MIN(BH6,FU6)</f>
        <v>#REF!</v>
      </c>
      <c r="FW6" s="304" t="str">
        <f>IF(OR(FX6=1,FY6=1,FZ6=1),1,"")</f>
        <v/>
      </c>
      <c r="FX6" s="306"/>
      <c r="FY6" s="306"/>
      <c r="FZ6" s="306"/>
      <c r="GA6" s="303">
        <f>IF(AND(FP6&gt;0,FW6=1),100,IF(AND(FP6&gt;0,FZ6=1),100,0))</f>
        <v>0</v>
      </c>
      <c r="GB6" s="303">
        <f>MIN(BM6,GA6)</f>
        <v>0</v>
      </c>
      <c r="GC6" s="304" t="str">
        <f>IF(OR(AND(GD6&gt;=7,GE6&gt;=7,GD6+GE6&gt;=14),AND(GD6&gt;=7,GF6&gt;=3,GD6+GF6&gt;=10),AND(GE6&gt;=7,GF6&gt;=3,GE6+GF6&gt;=10)),1,"")</f>
        <v/>
      </c>
      <c r="GD6" s="306"/>
      <c r="GE6" s="306"/>
      <c r="GF6" s="306"/>
      <c r="GG6" s="303">
        <f>IF(AND(GC6=1,FP6&gt;0),MIN(150,ROUNDDOWN(GD6*11+GE6*13+GF6*19,0)),0)</f>
        <v>0</v>
      </c>
      <c r="GH6" s="303">
        <f>MIN(BR6,GG6)</f>
        <v>0</v>
      </c>
      <c r="GI6" s="306"/>
      <c r="GJ6" s="306"/>
      <c r="GK6" s="303">
        <f>IF(D6="改修",MIN(500,FQ6+FV6+GB6+GH6,INT(CM6*10/2)),0)</f>
        <v>0</v>
      </c>
      <c r="GL6" s="303">
        <f>BT6-GK6</f>
        <v>0</v>
      </c>
      <c r="GM6" s="311" t="s">
        <v>436</v>
      </c>
      <c r="GN6" s="312">
        <v>43374</v>
      </c>
      <c r="GO6" s="312">
        <v>43378</v>
      </c>
      <c r="GP6" s="312">
        <v>43391</v>
      </c>
      <c r="GQ6" s="308">
        <f t="shared" ref="GQ6:GQ11" si="18">IF(D6="新築",AZ6,IF(D6="改修",BT6,0))</f>
        <v>912</v>
      </c>
      <c r="GR6" s="308" t="e">
        <f t="shared" ref="GR6:GR11" si="19">IF(D6="新築",FI6,IF(D6="改修",GK6,0))</f>
        <v>#REF!</v>
      </c>
      <c r="GS6" s="308" t="e">
        <f>GQ6-GR6</f>
        <v>#REF!</v>
      </c>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c r="IK6" s="309"/>
      <c r="IL6" s="309"/>
      <c r="IM6" s="309"/>
      <c r="IN6" s="309"/>
      <c r="IO6" s="309"/>
      <c r="IP6" s="309"/>
      <c r="IQ6" s="309"/>
      <c r="IR6" s="309"/>
      <c r="IS6" s="309"/>
      <c r="IT6" s="309"/>
      <c r="IU6" s="309"/>
      <c r="IV6" s="309"/>
      <c r="IW6" s="309"/>
      <c r="IX6" s="309"/>
      <c r="IY6" s="309"/>
      <c r="IZ6" s="309"/>
      <c r="JA6" s="309"/>
      <c r="JB6" s="309"/>
      <c r="JC6" s="309"/>
      <c r="JD6" s="309"/>
      <c r="JE6" s="309"/>
      <c r="JF6" s="309"/>
      <c r="JG6" s="309"/>
      <c r="JH6" s="309"/>
      <c r="JI6" s="309"/>
      <c r="JJ6" s="309"/>
      <c r="JK6" s="309"/>
      <c r="JL6" s="309"/>
      <c r="JM6" s="309"/>
      <c r="JN6" s="309"/>
      <c r="JO6" s="309"/>
      <c r="JP6" s="309"/>
      <c r="JQ6" s="309"/>
      <c r="JR6" s="309"/>
      <c r="JS6" s="309"/>
      <c r="JT6" s="309"/>
      <c r="JU6" s="309"/>
      <c r="JV6" s="309"/>
      <c r="JW6" s="309"/>
      <c r="JX6" s="309"/>
      <c r="JY6" s="309"/>
      <c r="JZ6" s="309"/>
      <c r="KA6" s="309"/>
      <c r="KB6" s="309"/>
      <c r="KC6" s="309"/>
      <c r="KD6" s="309"/>
      <c r="KE6" s="309"/>
      <c r="KF6" s="309"/>
      <c r="KG6" s="309"/>
      <c r="KH6" s="309"/>
      <c r="KI6" s="309"/>
      <c r="KJ6" s="309"/>
      <c r="KK6" s="309"/>
      <c r="KL6" s="309"/>
      <c r="KM6" s="309"/>
      <c r="KN6" s="309"/>
      <c r="KO6" s="309"/>
      <c r="KP6" s="309"/>
      <c r="KQ6" s="309"/>
      <c r="KR6" s="309"/>
      <c r="KS6" s="309"/>
      <c r="KT6" s="309"/>
      <c r="KU6" s="309"/>
      <c r="KV6" s="309"/>
      <c r="KW6" s="309"/>
      <c r="KX6" s="309"/>
      <c r="KY6" s="309"/>
      <c r="KZ6" s="309"/>
      <c r="LA6" s="309"/>
      <c r="LB6" s="309"/>
      <c r="LC6" s="309"/>
      <c r="LD6" s="309"/>
      <c r="LE6" s="309"/>
      <c r="LF6" s="309"/>
      <c r="LG6" s="309"/>
      <c r="LH6" s="309"/>
      <c r="LI6" s="309"/>
      <c r="LJ6" s="309"/>
      <c r="LK6" s="309"/>
      <c r="LL6" s="309"/>
      <c r="LM6" s="309"/>
      <c r="LN6" s="309"/>
      <c r="LO6" s="309"/>
      <c r="LP6" s="309"/>
      <c r="LQ6" s="309"/>
      <c r="LR6" s="309"/>
      <c r="LS6" s="309"/>
      <c r="LT6" s="309"/>
      <c r="LU6" s="309"/>
      <c r="LV6" s="309"/>
      <c r="LW6" s="309"/>
      <c r="LX6" s="309"/>
      <c r="LY6" s="309"/>
      <c r="LZ6" s="309"/>
      <c r="MA6" s="309"/>
      <c r="MB6" s="309"/>
      <c r="MC6" s="309"/>
      <c r="MD6" s="309"/>
      <c r="ME6" s="309"/>
      <c r="MF6" s="309"/>
      <c r="MG6" s="309"/>
      <c r="MH6" s="309"/>
      <c r="MI6" s="309"/>
      <c r="MJ6" s="309"/>
      <c r="MK6" s="309"/>
      <c r="ML6" s="309"/>
      <c r="MM6" s="309"/>
      <c r="MN6" s="309"/>
      <c r="MO6" s="309"/>
      <c r="MP6" s="309"/>
      <c r="MQ6" s="309"/>
      <c r="MR6" s="309"/>
      <c r="MS6" s="309"/>
      <c r="MT6" s="309"/>
      <c r="MU6" s="309"/>
      <c r="MV6" s="309"/>
      <c r="MW6" s="309"/>
      <c r="MX6" s="309"/>
      <c r="MY6" s="309"/>
      <c r="MZ6" s="309"/>
      <c r="NA6" s="309"/>
      <c r="NB6" s="309"/>
      <c r="NC6" s="309"/>
      <c r="ND6" s="309"/>
      <c r="NE6" s="309"/>
      <c r="NF6" s="309"/>
      <c r="NG6" s="309"/>
      <c r="NH6" s="309"/>
      <c r="NI6" s="309"/>
      <c r="NJ6" s="309"/>
      <c r="NK6" s="309"/>
      <c r="NL6" s="309"/>
      <c r="NM6" s="309"/>
      <c r="NN6" s="309"/>
      <c r="NO6" s="309"/>
      <c r="NP6" s="309"/>
      <c r="NQ6" s="309"/>
      <c r="NR6" s="309"/>
      <c r="NS6" s="309"/>
      <c r="NT6" s="309"/>
      <c r="NU6" s="309"/>
      <c r="NV6" s="309"/>
      <c r="NW6" s="309"/>
      <c r="NX6" s="309"/>
      <c r="NY6" s="309"/>
      <c r="NZ6" s="309"/>
      <c r="OA6" s="309"/>
      <c r="OB6" s="309"/>
      <c r="OC6" s="309"/>
      <c r="OD6" s="309"/>
      <c r="OE6" s="309"/>
      <c r="OF6" s="309"/>
      <c r="OG6" s="309"/>
      <c r="OH6" s="309"/>
      <c r="OI6" s="309"/>
      <c r="OJ6" s="309"/>
      <c r="OK6" s="309"/>
      <c r="OL6" s="309"/>
      <c r="OM6" s="309"/>
      <c r="ON6" s="309"/>
      <c r="OO6" s="309"/>
      <c r="OP6" s="309"/>
      <c r="OQ6" s="309"/>
      <c r="OR6" s="309"/>
      <c r="OS6" s="309"/>
      <c r="OT6" s="309"/>
      <c r="OU6" s="309"/>
      <c r="OV6" s="309"/>
      <c r="OW6" s="309"/>
      <c r="OX6" s="309"/>
      <c r="OY6" s="309"/>
      <c r="OZ6" s="309"/>
      <c r="PA6" s="309"/>
      <c r="PB6" s="309"/>
      <c r="PC6" s="309"/>
      <c r="PD6" s="309"/>
      <c r="PE6" s="309"/>
      <c r="PF6" s="309"/>
      <c r="PG6" s="309"/>
      <c r="PH6" s="309"/>
      <c r="PI6" s="309"/>
      <c r="PJ6" s="309"/>
      <c r="PK6" s="309"/>
      <c r="PL6" s="309"/>
      <c r="PM6" s="309"/>
      <c r="PN6" s="309"/>
      <c r="PO6" s="309"/>
      <c r="PP6" s="309"/>
      <c r="PQ6" s="309"/>
      <c r="PR6" s="309"/>
      <c r="PS6" s="309"/>
      <c r="PT6" s="309"/>
      <c r="PU6" s="309"/>
      <c r="PV6" s="309"/>
      <c r="PW6" s="309"/>
      <c r="PX6" s="309"/>
      <c r="PY6" s="309"/>
      <c r="PZ6" s="309"/>
      <c r="QA6" s="309"/>
      <c r="QB6" s="309"/>
      <c r="QC6" s="309"/>
      <c r="QD6" s="309"/>
      <c r="QE6" s="309"/>
      <c r="QF6" s="309"/>
      <c r="QG6" s="309"/>
      <c r="QH6" s="309"/>
      <c r="QI6" s="309"/>
      <c r="QJ6" s="309"/>
      <c r="QK6" s="309"/>
      <c r="QL6" s="309"/>
      <c r="QM6" s="309"/>
      <c r="QN6" s="309"/>
      <c r="QO6" s="309"/>
      <c r="QP6" s="309"/>
      <c r="QQ6" s="309"/>
      <c r="QR6" s="309"/>
      <c r="QS6" s="309"/>
      <c r="QT6" s="309"/>
      <c r="QU6" s="309"/>
      <c r="QV6" s="309"/>
      <c r="QW6" s="309"/>
      <c r="QX6" s="309"/>
      <c r="QY6" s="309"/>
      <c r="QZ6" s="309"/>
      <c r="RA6" s="309"/>
      <c r="RB6" s="309"/>
      <c r="RC6" s="309"/>
      <c r="RD6" s="309"/>
      <c r="RE6" s="309"/>
      <c r="RF6" s="309"/>
      <c r="RG6" s="309"/>
      <c r="RH6" s="309"/>
      <c r="RI6" s="309"/>
      <c r="RJ6" s="309"/>
      <c r="RK6" s="309"/>
      <c r="RL6" s="309"/>
      <c r="RM6" s="309"/>
      <c r="RN6" s="309"/>
      <c r="RO6" s="309"/>
      <c r="RP6" s="309"/>
      <c r="RQ6" s="309"/>
      <c r="RR6" s="309"/>
      <c r="RS6" s="309"/>
      <c r="RT6" s="309"/>
      <c r="RU6" s="309"/>
      <c r="RV6" s="309"/>
      <c r="RW6" s="309"/>
      <c r="RX6" s="309"/>
      <c r="RY6" s="309"/>
      <c r="RZ6" s="309"/>
      <c r="SA6" s="309"/>
      <c r="SB6" s="309"/>
      <c r="SC6" s="309"/>
      <c r="SD6" s="309"/>
      <c r="SE6" s="309"/>
      <c r="SF6" s="309"/>
      <c r="SG6" s="309"/>
      <c r="SH6" s="309"/>
      <c r="SI6" s="309"/>
      <c r="SJ6" s="309"/>
      <c r="SK6" s="309"/>
      <c r="SL6" s="309"/>
      <c r="SM6" s="309"/>
      <c r="SN6" s="309"/>
      <c r="SO6" s="309"/>
      <c r="SP6" s="309"/>
      <c r="SQ6" s="309"/>
      <c r="SR6" s="309"/>
      <c r="SS6" s="309"/>
      <c r="ST6" s="309"/>
      <c r="SU6" s="309"/>
      <c r="SV6" s="309"/>
      <c r="SW6" s="309"/>
      <c r="SX6" s="309"/>
      <c r="SY6" s="309"/>
      <c r="SZ6" s="309"/>
      <c r="TA6" s="309"/>
      <c r="TB6" s="309"/>
      <c r="TC6" s="309"/>
      <c r="TD6" s="309"/>
      <c r="TE6" s="309"/>
      <c r="TF6" s="309"/>
      <c r="TG6" s="309"/>
      <c r="TH6" s="309"/>
      <c r="TI6" s="309"/>
      <c r="TJ6" s="309"/>
      <c r="TK6" s="309"/>
      <c r="TL6" s="309"/>
      <c r="TM6" s="309"/>
      <c r="TN6" s="309"/>
      <c r="TO6" s="309"/>
      <c r="TP6" s="309"/>
      <c r="TQ6" s="309"/>
      <c r="TR6" s="309"/>
      <c r="TS6" s="309"/>
      <c r="TT6" s="309"/>
      <c r="TU6" s="309"/>
      <c r="TV6" s="309"/>
      <c r="TW6" s="309"/>
      <c r="TX6" s="309"/>
      <c r="TY6" s="309"/>
      <c r="TZ6" s="309"/>
      <c r="UA6" s="309"/>
      <c r="UB6" s="309"/>
      <c r="UC6" s="309"/>
      <c r="UD6" s="309"/>
      <c r="UE6" s="309"/>
      <c r="UF6" s="309"/>
      <c r="UG6" s="309"/>
      <c r="UH6" s="309"/>
      <c r="UI6" s="309"/>
      <c r="UJ6" s="309"/>
      <c r="UK6" s="309"/>
      <c r="UL6" s="309"/>
      <c r="UM6" s="309"/>
      <c r="UN6" s="309"/>
      <c r="UO6" s="309"/>
      <c r="UP6" s="309"/>
      <c r="UQ6" s="309"/>
      <c r="UR6" s="309"/>
      <c r="US6" s="309"/>
      <c r="UT6" s="309"/>
      <c r="UU6" s="309"/>
      <c r="UV6" s="309"/>
      <c r="UW6" s="309"/>
      <c r="UX6" s="309"/>
      <c r="UY6" s="309"/>
      <c r="UZ6" s="309"/>
      <c r="VA6" s="309"/>
      <c r="VB6" s="309"/>
      <c r="VC6" s="309"/>
      <c r="VD6" s="309"/>
      <c r="VE6" s="309"/>
      <c r="VF6" s="309"/>
      <c r="VG6" s="309"/>
      <c r="VH6" s="309"/>
      <c r="VI6" s="309"/>
      <c r="VJ6" s="309"/>
      <c r="VK6" s="309"/>
      <c r="VL6" s="309"/>
      <c r="VM6" s="309"/>
      <c r="VN6" s="309"/>
      <c r="VO6" s="309"/>
      <c r="VP6" s="309"/>
      <c r="VQ6" s="309"/>
      <c r="VR6" s="309"/>
      <c r="VS6" s="309"/>
      <c r="VT6" s="309"/>
      <c r="VU6" s="309"/>
      <c r="VV6" s="309"/>
      <c r="VW6" s="309"/>
      <c r="VX6" s="309"/>
      <c r="VY6" s="309"/>
      <c r="VZ6" s="309"/>
      <c r="WA6" s="309"/>
      <c r="WB6" s="309"/>
      <c r="WC6" s="309"/>
      <c r="WD6" s="309"/>
      <c r="WE6" s="309"/>
      <c r="WF6" s="309"/>
      <c r="WG6" s="309"/>
      <c r="WH6" s="309"/>
      <c r="WI6" s="309"/>
      <c r="WJ6" s="309"/>
      <c r="WK6" s="309"/>
      <c r="WL6" s="309"/>
      <c r="WM6" s="309"/>
      <c r="WN6" s="309"/>
      <c r="WO6" s="309"/>
      <c r="WP6" s="309"/>
      <c r="WQ6" s="309"/>
      <c r="WR6" s="309"/>
      <c r="WS6" s="309"/>
      <c r="WT6" s="309"/>
      <c r="WU6" s="309"/>
      <c r="WV6" s="309"/>
      <c r="WW6" s="309"/>
      <c r="WX6" s="309"/>
      <c r="WY6" s="309"/>
      <c r="WZ6" s="309"/>
      <c r="XA6" s="309"/>
      <c r="XB6" s="309"/>
      <c r="XC6" s="309"/>
      <c r="XD6" s="309"/>
      <c r="XE6" s="309"/>
      <c r="XF6" s="309"/>
      <c r="XG6" s="309"/>
      <c r="XH6" s="309"/>
      <c r="XI6" s="309"/>
      <c r="XJ6" s="309"/>
      <c r="XK6" s="309"/>
      <c r="XL6" s="309"/>
      <c r="XM6" s="309"/>
      <c r="XN6" s="309"/>
      <c r="XO6" s="309"/>
      <c r="XP6" s="309"/>
      <c r="XQ6" s="309"/>
      <c r="XR6" s="309"/>
      <c r="XS6" s="309"/>
      <c r="XT6" s="309"/>
      <c r="XU6" s="309"/>
      <c r="XV6" s="309"/>
      <c r="XW6" s="309"/>
      <c r="XX6" s="309"/>
      <c r="XY6" s="309"/>
      <c r="XZ6" s="309"/>
      <c r="YA6" s="309"/>
      <c r="YB6" s="309"/>
      <c r="YC6" s="309"/>
      <c r="YD6" s="309"/>
      <c r="YE6" s="309"/>
      <c r="YF6" s="309"/>
      <c r="YG6" s="309"/>
      <c r="YH6" s="309"/>
      <c r="YI6" s="309"/>
      <c r="YJ6" s="309"/>
      <c r="YK6" s="309"/>
      <c r="YL6" s="309"/>
      <c r="YM6" s="309"/>
      <c r="YN6" s="309"/>
      <c r="YO6" s="309"/>
      <c r="YP6" s="309"/>
      <c r="YQ6" s="309"/>
      <c r="YR6" s="309"/>
      <c r="YS6" s="309"/>
      <c r="YT6" s="309"/>
      <c r="YU6" s="309"/>
      <c r="YV6" s="309"/>
      <c r="YW6" s="309"/>
      <c r="YX6" s="309"/>
      <c r="YY6" s="309"/>
      <c r="YZ6" s="309"/>
      <c r="ZA6" s="309"/>
      <c r="ZB6" s="309"/>
      <c r="ZC6" s="309"/>
      <c r="ZD6" s="309"/>
      <c r="ZE6" s="309"/>
      <c r="ZF6" s="309"/>
      <c r="ZG6" s="309"/>
      <c r="ZH6" s="309"/>
      <c r="ZI6" s="309"/>
      <c r="ZJ6" s="309"/>
      <c r="ZK6" s="309"/>
      <c r="ZL6" s="309"/>
      <c r="ZM6" s="309"/>
      <c r="ZN6" s="309"/>
      <c r="ZO6" s="309"/>
      <c r="ZP6" s="309"/>
      <c r="ZQ6" s="309"/>
      <c r="ZR6" s="309"/>
      <c r="ZS6" s="309"/>
      <c r="ZT6" s="309"/>
      <c r="ZU6" s="309"/>
      <c r="ZV6" s="309"/>
      <c r="ZW6" s="309"/>
      <c r="ZX6" s="309"/>
      <c r="ZY6" s="309"/>
      <c r="ZZ6" s="309"/>
      <c r="AAA6" s="309"/>
      <c r="AAB6" s="309"/>
      <c r="AAC6" s="309"/>
      <c r="AAD6" s="309"/>
      <c r="AAE6" s="309"/>
      <c r="AAF6" s="309"/>
      <c r="AAG6" s="309"/>
      <c r="AAH6" s="309"/>
      <c r="AAI6" s="309"/>
      <c r="AAJ6" s="309"/>
      <c r="AAK6" s="309"/>
      <c r="AAL6" s="309"/>
      <c r="AAM6" s="309"/>
      <c r="AAN6" s="309"/>
      <c r="AAO6" s="309"/>
      <c r="AAP6" s="309"/>
      <c r="AAQ6" s="309"/>
      <c r="AAR6" s="309"/>
      <c r="AAS6" s="309"/>
      <c r="AAT6" s="309"/>
      <c r="AAU6" s="309"/>
      <c r="AAV6" s="309"/>
      <c r="AAW6" s="309"/>
      <c r="AAX6" s="309"/>
      <c r="AAY6" s="309"/>
      <c r="AAZ6" s="309"/>
      <c r="ABA6" s="309"/>
      <c r="ABB6" s="309"/>
      <c r="ABC6" s="309"/>
      <c r="ABD6" s="309"/>
      <c r="ABE6" s="309"/>
      <c r="ABF6" s="309"/>
      <c r="ABG6" s="309"/>
      <c r="ABH6" s="309"/>
      <c r="ABI6" s="309"/>
      <c r="ABJ6" s="309"/>
      <c r="ABK6" s="309"/>
      <c r="ABL6" s="309"/>
      <c r="ABM6" s="309"/>
      <c r="ABN6" s="309"/>
      <c r="ABO6" s="309"/>
      <c r="ABP6" s="309"/>
      <c r="ABQ6" s="309"/>
      <c r="ABR6" s="309"/>
      <c r="ABS6" s="309"/>
      <c r="ABT6" s="309"/>
      <c r="ABU6" s="309"/>
      <c r="ABV6" s="309"/>
      <c r="ABW6" s="309"/>
      <c r="ABX6" s="309"/>
      <c r="ABY6" s="309"/>
      <c r="ABZ6" s="309"/>
      <c r="ACA6" s="309"/>
      <c r="ACB6" s="309"/>
      <c r="ACC6" s="309"/>
      <c r="ACD6" s="309"/>
      <c r="ACE6" s="309"/>
      <c r="ACF6" s="309"/>
      <c r="ACG6" s="309"/>
      <c r="ACH6" s="309"/>
      <c r="ACI6" s="309"/>
      <c r="ACJ6" s="309"/>
      <c r="ACK6" s="309"/>
      <c r="ACL6" s="309"/>
      <c r="ACM6" s="309"/>
      <c r="ACN6" s="309"/>
      <c r="ACO6" s="309"/>
      <c r="ACP6" s="309"/>
      <c r="ACQ6" s="309"/>
      <c r="ACR6" s="309"/>
      <c r="ACS6" s="309"/>
      <c r="ACT6" s="309"/>
      <c r="ACU6" s="309"/>
      <c r="ACV6" s="309"/>
      <c r="ACW6" s="309"/>
      <c r="ACX6" s="309"/>
      <c r="ACY6" s="309"/>
      <c r="ACZ6" s="309"/>
      <c r="ADA6" s="309"/>
      <c r="ADB6" s="309"/>
      <c r="ADC6" s="309"/>
      <c r="ADD6" s="309"/>
      <c r="ADE6" s="309"/>
      <c r="ADF6" s="309"/>
      <c r="ADG6" s="309"/>
      <c r="ADH6" s="309"/>
      <c r="ADI6" s="309"/>
      <c r="ADJ6" s="309"/>
      <c r="ADK6" s="309"/>
      <c r="ADL6" s="309"/>
      <c r="ADM6" s="309"/>
      <c r="ADN6" s="309"/>
      <c r="ADO6" s="309"/>
      <c r="ADP6" s="309"/>
      <c r="ADQ6" s="309"/>
      <c r="ADR6" s="309"/>
      <c r="ADS6" s="309"/>
      <c r="ADT6" s="309"/>
      <c r="ADU6" s="309"/>
      <c r="ADV6" s="309"/>
      <c r="ADW6" s="309"/>
      <c r="ADX6" s="309"/>
      <c r="ADY6" s="309"/>
      <c r="ADZ6" s="309"/>
      <c r="AEA6" s="309"/>
      <c r="AEB6" s="309"/>
      <c r="AEC6" s="309"/>
      <c r="AED6" s="309"/>
      <c r="AEE6" s="309"/>
      <c r="AEF6" s="309"/>
      <c r="AEG6" s="309"/>
      <c r="AEH6" s="309"/>
      <c r="AEI6" s="309"/>
      <c r="AEJ6" s="309"/>
      <c r="AEK6" s="309"/>
      <c r="AEL6" s="309"/>
      <c r="AEM6" s="309"/>
      <c r="AEN6" s="309"/>
      <c r="AEO6" s="309"/>
      <c r="AEP6" s="309"/>
      <c r="AEQ6" s="309"/>
      <c r="AER6" s="309"/>
      <c r="AES6" s="309"/>
      <c r="AET6" s="309"/>
      <c r="AEU6" s="309"/>
      <c r="AEV6" s="309"/>
      <c r="AEW6" s="309"/>
      <c r="AEX6" s="309"/>
      <c r="AEY6" s="309"/>
      <c r="AEZ6" s="309"/>
      <c r="AFA6" s="309"/>
      <c r="AFB6" s="309"/>
      <c r="AFC6" s="309"/>
      <c r="AFD6" s="309"/>
      <c r="AFE6" s="309"/>
      <c r="AFF6" s="309"/>
      <c r="AFG6" s="309"/>
      <c r="AFH6" s="309"/>
      <c r="AFI6" s="309"/>
      <c r="AFJ6" s="309"/>
      <c r="AFK6" s="309"/>
      <c r="AFL6" s="309"/>
      <c r="AFM6" s="309"/>
      <c r="AFN6" s="309"/>
      <c r="AFO6" s="309"/>
      <c r="AFP6" s="309"/>
      <c r="AFQ6" s="309"/>
      <c r="AFR6" s="309"/>
      <c r="AFS6" s="309"/>
      <c r="AFT6" s="309"/>
      <c r="AFU6" s="309"/>
      <c r="AFV6" s="309"/>
      <c r="AFW6" s="309"/>
      <c r="AFX6" s="309"/>
      <c r="AFY6" s="309"/>
      <c r="AFZ6" s="309"/>
      <c r="AGA6" s="309"/>
      <c r="AGB6" s="309"/>
      <c r="AGC6" s="309"/>
      <c r="AGD6" s="309"/>
      <c r="AGE6" s="309"/>
      <c r="AGF6" s="309"/>
      <c r="AGG6" s="309"/>
      <c r="AGH6" s="309"/>
      <c r="AGI6" s="309"/>
      <c r="AGJ6" s="309"/>
      <c r="AGK6" s="309"/>
      <c r="AGL6" s="309"/>
      <c r="AGM6" s="309"/>
      <c r="AGN6" s="309"/>
      <c r="AGO6" s="309"/>
      <c r="AGP6" s="309"/>
      <c r="AGQ6" s="309"/>
      <c r="AGR6" s="309"/>
      <c r="AGS6" s="309"/>
      <c r="AGT6" s="309"/>
      <c r="AGU6" s="309"/>
    </row>
    <row r="7" spans="1:879" s="314" customFormat="1" ht="12.95" hidden="1" customHeight="1" x14ac:dyDescent="0.15">
      <c r="B7" s="296" t="str">
        <f t="shared" si="0"/>
        <v>支払済</v>
      </c>
      <c r="C7" s="297" t="s">
        <v>437</v>
      </c>
      <c r="D7" s="298" t="s">
        <v>438</v>
      </c>
      <c r="E7" s="299" t="str">
        <f t="shared" ref="E7:E11" si="20">IF(D7="登録","登録",IF(D6="登録","建売購入",""))</f>
        <v/>
      </c>
      <c r="F7" s="300"/>
      <c r="G7" s="300"/>
      <c r="H7" s="301">
        <v>43191</v>
      </c>
      <c r="I7" s="338" t="s">
        <v>439</v>
      </c>
      <c r="J7" s="339" t="s">
        <v>440</v>
      </c>
      <c r="K7" s="338"/>
      <c r="L7" s="339" t="s">
        <v>441</v>
      </c>
      <c r="M7" s="339" t="s">
        <v>157</v>
      </c>
      <c r="N7" s="342" t="s">
        <v>442</v>
      </c>
      <c r="O7" s="302"/>
      <c r="P7" s="302"/>
      <c r="Q7" s="303">
        <f>IF(P7&gt;=10,150,0)</f>
        <v>0</v>
      </c>
      <c r="R7" s="304" t="str">
        <f>IF(S7&gt;=1,1,"")</f>
        <v/>
      </c>
      <c r="S7" s="302"/>
      <c r="T7" s="305">
        <f>IF(Q7=0,0,IF(S7&gt;=25,MIN(250,ROUNDDOWN(S7*10,-1)),IF(S7&gt;=20,MIN(200,ROUNDDOWN(S7*10,-1)),IF(S7&gt;=15,MIN(150,ROUNDDOWN(S7*10,-1)),MIN(100,ROUNDDOWN(S7*10,-1))))))</f>
        <v>0</v>
      </c>
      <c r="U7" s="304" t="str">
        <f>IF(V7&gt;=1,1,"")</f>
        <v/>
      </c>
      <c r="V7" s="302"/>
      <c r="W7" s="305">
        <f>IF(AND(Q7&gt;0,V7&gt;=1),MIN(INT(V7)*20,200),0)</f>
        <v>0</v>
      </c>
      <c r="X7" s="304" t="str">
        <f>IF(Y7&gt;=1,1,"")</f>
        <v/>
      </c>
      <c r="Y7" s="302"/>
      <c r="Z7" s="304">
        <f>IF(Y7&gt;=1,50,0)</f>
        <v>0</v>
      </c>
      <c r="AA7" s="303">
        <f t="shared" si="1"/>
        <v>0</v>
      </c>
      <c r="AB7" s="304" t="str">
        <f>IF(AC7&gt;=1,1,"")</f>
        <v/>
      </c>
      <c r="AC7" s="302"/>
      <c r="AD7" s="304">
        <f t="shared" si="2"/>
        <v>0</v>
      </c>
      <c r="AE7" s="304" t="str">
        <f>IF(OR(AF7=1,AG7=1),1,"")</f>
        <v/>
      </c>
      <c r="AF7" s="302"/>
      <c r="AG7" s="302"/>
      <c r="AH7" s="303">
        <f>IF(AND(Q7&gt;0,AE7=1,),100,0)</f>
        <v>0</v>
      </c>
      <c r="AI7" s="304" t="str">
        <f>IF(OR(AJ7=1,AK7=1),1,"")</f>
        <v/>
      </c>
      <c r="AJ7" s="302"/>
      <c r="AK7" s="302"/>
      <c r="AL7" s="303">
        <f t="shared" si="3"/>
        <v>0</v>
      </c>
      <c r="AM7" s="304" t="str">
        <f>IF(AU7&gt;=4,1,"")</f>
        <v/>
      </c>
      <c r="AN7" s="302"/>
      <c r="AO7" s="302"/>
      <c r="AP7" s="302"/>
      <c r="AQ7" s="302"/>
      <c r="AR7" s="302"/>
      <c r="AS7" s="302"/>
      <c r="AT7" s="302"/>
      <c r="AU7" s="304">
        <f>SUM(AN7:AT7)</f>
        <v>0</v>
      </c>
      <c r="AV7" s="303">
        <f>IF(AU7&gt;=4,200,0)</f>
        <v>0</v>
      </c>
      <c r="AW7" s="306"/>
      <c r="AX7" s="306"/>
      <c r="AY7" s="306"/>
      <c r="AZ7" s="303">
        <f t="shared" si="4"/>
        <v>0</v>
      </c>
      <c r="BA7" s="306">
        <v>5</v>
      </c>
      <c r="BB7" s="307">
        <v>3</v>
      </c>
      <c r="BC7" s="306">
        <v>10</v>
      </c>
      <c r="BD7" s="303">
        <f>MIN(ROUNDDOWN(BB7,1)*20+INT(BC7)*2,250)</f>
        <v>80</v>
      </c>
      <c r="BE7" s="304">
        <f>IF(OR(BF7=1,BG7=1),1,"")</f>
        <v>1</v>
      </c>
      <c r="BF7" s="302">
        <v>1</v>
      </c>
      <c r="BG7" s="302"/>
      <c r="BH7" s="303" t="e">
        <f>IF(AND(BD7&gt;0,BE7=1,#REF!=""),100,0)</f>
        <v>#REF!</v>
      </c>
      <c r="BI7" s="304" t="str">
        <f>IF(OR(BJ7=1,BK7=1,BL7=1),1,"")</f>
        <v/>
      </c>
      <c r="BJ7" s="306"/>
      <c r="BK7" s="306"/>
      <c r="BL7" s="306"/>
      <c r="BM7" s="303">
        <f>IF(AND(BD7&gt;0,BI7=1),100,IF(AND(BD7&gt;0,BL7=1),100,0))</f>
        <v>0</v>
      </c>
      <c r="BN7" s="304">
        <f>IF(OR(AND(BO7&gt;=7,BP7&gt;=7,BO7+BP7&gt;=14),AND(BO7&gt;=7,BQ7&gt;=3,BO7+BQ7&gt;=10),AND(BP7&gt;=7,BQ7&gt;=3,BP7+BQ7&gt;=10)),1,"")</f>
        <v>1</v>
      </c>
      <c r="BO7" s="306">
        <v>7</v>
      </c>
      <c r="BP7" s="306"/>
      <c r="BQ7" s="306">
        <v>3</v>
      </c>
      <c r="BR7" s="303">
        <f>IF(AND(BN7=1,BD7&gt;0),MIN(150,ROUNDDOWN(BO7*11+BP7*13+BQ7*19,0)),0)</f>
        <v>134</v>
      </c>
      <c r="BS7" s="306"/>
      <c r="BT7" s="303" t="e">
        <f>IF(D7="改修",MIN(500,BD7+BH7+BM7+BR7,INT(CM7*10/2)),0)</f>
        <v>#REF!</v>
      </c>
      <c r="BU7" s="347"/>
      <c r="BV7" s="350" t="s">
        <v>8</v>
      </c>
      <c r="BW7" s="348"/>
      <c r="BX7" s="350" t="s">
        <v>272</v>
      </c>
      <c r="BY7" s="348"/>
      <c r="BZ7" s="351" t="s">
        <v>7</v>
      </c>
      <c r="CA7" s="347"/>
      <c r="CB7" s="350" t="s">
        <v>8</v>
      </c>
      <c r="CC7" s="348"/>
      <c r="CD7" s="350" t="s">
        <v>272</v>
      </c>
      <c r="CE7" s="348"/>
      <c r="CF7" s="351" t="s">
        <v>7</v>
      </c>
      <c r="CG7" s="301">
        <v>43205</v>
      </c>
      <c r="CH7" s="308" t="e">
        <f>AZ7+BT7</f>
        <v>#REF!</v>
      </c>
      <c r="CI7" s="338" t="s">
        <v>428</v>
      </c>
      <c r="CJ7" s="338" t="s">
        <v>429</v>
      </c>
      <c r="CK7" s="298" t="s">
        <v>443</v>
      </c>
      <c r="CL7" s="338">
        <v>200</v>
      </c>
      <c r="CM7" s="355">
        <v>300</v>
      </c>
      <c r="CN7" s="339" t="s">
        <v>444</v>
      </c>
      <c r="CO7" s="301"/>
      <c r="CP7" s="300"/>
      <c r="CQ7" s="300"/>
      <c r="CR7" s="301"/>
      <c r="CS7" s="301"/>
      <c r="CT7" s="300"/>
      <c r="CU7" s="300"/>
      <c r="CV7" s="300"/>
      <c r="CW7" s="300"/>
      <c r="CX7" s="300"/>
      <c r="CY7" s="300"/>
      <c r="CZ7" s="300"/>
      <c r="DA7" s="300"/>
      <c r="DB7" s="300"/>
      <c r="DC7" s="300"/>
      <c r="DD7" s="300"/>
      <c r="DE7" s="300"/>
      <c r="DF7" s="300"/>
      <c r="DG7" s="300"/>
      <c r="DH7" s="300"/>
      <c r="DI7" s="300"/>
      <c r="DJ7" s="300"/>
      <c r="DK7" s="309"/>
      <c r="DL7" s="302"/>
      <c r="DM7" s="302"/>
      <c r="DN7" s="302"/>
      <c r="DO7" s="303">
        <f t="shared" si="5"/>
        <v>0</v>
      </c>
      <c r="DP7" s="303">
        <f t="shared" si="6"/>
        <v>0</v>
      </c>
      <c r="DQ7" s="304" t="str">
        <f t="shared" ref="DQ7:DQ10" si="21">IF(DR7&gt;=1,1,"")</f>
        <v/>
      </c>
      <c r="DR7" s="302"/>
      <c r="DS7" s="302"/>
      <c r="DT7" s="305">
        <f t="shared" ref="DT7:DT10" si="22">IF(DO7=0,0,IF(DR7&gt;=25,MIN(250,ROUNDDOWN(DR7*10,-1)),IF(DR7&gt;=20,MIN(200,ROUNDDOWN(DR7*10,-1)),IF(DR7&gt;=15,MIN(150,ROUNDDOWN(DR7*10,-1)),MIN(100,ROUNDDOWN(DR7*10,-1))))))</f>
        <v>0</v>
      </c>
      <c r="DU7" s="303">
        <f t="shared" si="7"/>
        <v>0</v>
      </c>
      <c r="DV7" s="304" t="str">
        <f t="shared" ref="DV7:DV10" si="23">IF(DW7&gt;=1,1,"")</f>
        <v/>
      </c>
      <c r="DW7" s="302"/>
      <c r="DX7" s="302"/>
      <c r="DY7" s="305">
        <f t="shared" ref="DY7:DY10" si="24">IF(AND(DO7&gt;0,DW7&gt;=1),MIN(INT(DW7)*20,200),0)</f>
        <v>0</v>
      </c>
      <c r="DZ7" s="303">
        <f t="shared" si="8"/>
        <v>0</v>
      </c>
      <c r="EA7" s="304" t="str">
        <f t="shared" ref="EA7:EA11" si="25">IF(EB7&gt;=1,1,"")</f>
        <v/>
      </c>
      <c r="EB7" s="302"/>
      <c r="EC7" s="304">
        <f t="shared" si="9"/>
        <v>0</v>
      </c>
      <c r="ED7" s="304" t="str">
        <f t="shared" ref="ED7:ED10" si="26">IF(EE7&gt;=1,1,"")</f>
        <v/>
      </c>
      <c r="EE7" s="302"/>
      <c r="EF7" s="302"/>
      <c r="EG7" s="304">
        <f t="shared" ref="EG7:EG11" si="27">IF(AND(DO7&gt;0,EE7&gt;=1),MIN(INT(EE7)*2,150),0)</f>
        <v>0</v>
      </c>
      <c r="EH7" s="303">
        <f t="shared" si="10"/>
        <v>0</v>
      </c>
      <c r="EI7" s="303">
        <f t="shared" si="11"/>
        <v>0</v>
      </c>
      <c r="EJ7" s="304" t="str">
        <f t="shared" ref="EJ7:EJ11" si="28">IF(OR(EK7=1,EL7=1),1,"")</f>
        <v/>
      </c>
      <c r="EK7" s="302"/>
      <c r="EL7" s="302"/>
      <c r="EM7" s="303" t="e">
        <f>IF(AND(DO7&gt;0,EJ7=1,[1]【様式第６号】事業報告書兼チェックシート!B58=""),100,0)</f>
        <v>#REF!</v>
      </c>
      <c r="EN7" s="303" t="e">
        <f t="shared" si="12"/>
        <v>#REF!</v>
      </c>
      <c r="EO7" s="304" t="str">
        <f t="shared" ref="EO7:EO11" si="29">IF(OR(EP7=1,EQ7=1),1,"")</f>
        <v/>
      </c>
      <c r="EP7" s="302"/>
      <c r="EQ7" s="302"/>
      <c r="ER7" s="303">
        <f t="shared" si="13"/>
        <v>0</v>
      </c>
      <c r="ES7" s="303">
        <f t="shared" si="14"/>
        <v>0</v>
      </c>
      <c r="ET7" s="304" t="str">
        <f t="shared" ref="ET7:ET11" si="30">IF(FB7&gt;=4,1,"")</f>
        <v/>
      </c>
      <c r="EU7" s="302"/>
      <c r="EV7" s="302"/>
      <c r="EW7" s="302"/>
      <c r="EX7" s="302"/>
      <c r="EY7" s="302"/>
      <c r="EZ7" s="302"/>
      <c r="FA7" s="302"/>
      <c r="FB7" s="304">
        <f t="shared" ref="FB7:FB11" si="31">SUM(EU7:FA7)</f>
        <v>0</v>
      </c>
      <c r="FC7" s="303">
        <f t="shared" ref="FC7:FC11" si="32">IF(FB7&gt;=4,200,0)</f>
        <v>0</v>
      </c>
      <c r="FD7" s="303">
        <f t="shared" si="15"/>
        <v>0</v>
      </c>
      <c r="FE7" s="306"/>
      <c r="FF7" s="306"/>
      <c r="FG7" s="306"/>
      <c r="FH7" s="306"/>
      <c r="FI7" s="303">
        <f t="shared" si="16"/>
        <v>0</v>
      </c>
      <c r="FJ7" s="303">
        <f t="shared" si="17"/>
        <v>0</v>
      </c>
      <c r="FK7" s="306">
        <v>5</v>
      </c>
      <c r="FL7" s="310">
        <v>3</v>
      </c>
      <c r="FM7" s="310" t="s">
        <v>445</v>
      </c>
      <c r="FN7" s="306">
        <v>8</v>
      </c>
      <c r="FO7" s="306" t="s">
        <v>446</v>
      </c>
      <c r="FP7" s="303">
        <f t="shared" ref="FP7:FP10" si="33">MIN(ROUNDDOWN(FL7,1)*20+INT(FN7)*2,250)</f>
        <v>76</v>
      </c>
      <c r="FQ7" s="303">
        <f>MIN(BD7,FP7)</f>
        <v>76</v>
      </c>
      <c r="FR7" s="304">
        <f t="shared" ref="FR7:FR10" si="34">IF(OR(FS7=1,FT7=1),1,"")</f>
        <v>1</v>
      </c>
      <c r="FS7" s="302">
        <v>1</v>
      </c>
      <c r="FT7" s="302"/>
      <c r="FU7" s="303" t="e">
        <f>IF(AND(FP7&gt;0,FR7=1,#REF!=""),100,0)</f>
        <v>#REF!</v>
      </c>
      <c r="FV7" s="303" t="e">
        <f>MIN(BH7,FU7)</f>
        <v>#REF!</v>
      </c>
      <c r="FW7" s="304" t="str">
        <f t="shared" ref="FW7:FW10" si="35">IF(OR(FX7=1,FY7=1,FZ7=1),1,"")</f>
        <v/>
      </c>
      <c r="FX7" s="306"/>
      <c r="FY7" s="306"/>
      <c r="FZ7" s="306"/>
      <c r="GA7" s="303">
        <f t="shared" ref="GA7:GA10" si="36">IF(AND(FP7&gt;0,FW7=1),100,IF(AND(FP7&gt;0,FZ7=1),100,0))</f>
        <v>0</v>
      </c>
      <c r="GB7" s="303">
        <f>MIN(BM7,GA7)</f>
        <v>0</v>
      </c>
      <c r="GC7" s="304">
        <f t="shared" ref="GC7:GC10" si="37">IF(OR(AND(GD7&gt;=7,GE7&gt;=7,GD7+GE7&gt;=14),AND(GD7&gt;=7,GF7&gt;=3,GD7+GF7&gt;=10),AND(GE7&gt;=7,GF7&gt;=3,GE7+GF7&gt;=10)),1,"")</f>
        <v>1</v>
      </c>
      <c r="GD7" s="306">
        <v>7</v>
      </c>
      <c r="GE7" s="306"/>
      <c r="GF7" s="306">
        <v>3</v>
      </c>
      <c r="GG7" s="303">
        <f t="shared" ref="GG7:GG10" si="38">IF(AND(GC7=1,FP7&gt;0),MIN(150,ROUNDDOWN(GD7*11+GE7*13+GF7*19,0)),0)</f>
        <v>134</v>
      </c>
      <c r="GH7" s="303">
        <f>MIN(BR7,GG7)</f>
        <v>134</v>
      </c>
      <c r="GI7" s="306"/>
      <c r="GJ7" s="306" t="s">
        <v>447</v>
      </c>
      <c r="GK7" s="303" t="e">
        <f>IF(D7="改修",MIN(500,FQ7+FV7+GB7+GH7,INT(CM7*10/2)),0)</f>
        <v>#REF!</v>
      </c>
      <c r="GL7" s="303" t="e">
        <f>BT7-GK7</f>
        <v>#REF!</v>
      </c>
      <c r="GM7" s="311" t="s">
        <v>436</v>
      </c>
      <c r="GN7" s="312">
        <v>43332</v>
      </c>
      <c r="GO7" s="312">
        <v>43343</v>
      </c>
      <c r="GP7" s="312">
        <v>43358</v>
      </c>
      <c r="GQ7" s="308" t="e">
        <f t="shared" si="18"/>
        <v>#REF!</v>
      </c>
      <c r="GR7" s="308" t="e">
        <f t="shared" si="19"/>
        <v>#REF!</v>
      </c>
      <c r="GS7" s="308" t="e">
        <f t="shared" ref="GS7:GS11" si="39">GQ7-GR7</f>
        <v>#REF!</v>
      </c>
      <c r="GT7" s="165"/>
      <c r="GU7" s="165"/>
      <c r="GV7" s="165"/>
      <c r="GW7" s="165"/>
      <c r="GX7" s="165"/>
      <c r="GY7" s="165"/>
      <c r="GZ7" s="165"/>
      <c r="HA7" s="165"/>
      <c r="HB7" s="165"/>
      <c r="HC7" s="165"/>
      <c r="HD7" s="165"/>
      <c r="HE7" s="165"/>
      <c r="HF7" s="165"/>
      <c r="HG7" s="165"/>
      <c r="HH7" s="165"/>
      <c r="HI7" s="165"/>
      <c r="HJ7" s="165"/>
      <c r="HK7" s="165"/>
      <c r="HL7" s="165"/>
      <c r="HM7" s="165"/>
      <c r="HN7" s="165"/>
      <c r="HO7" s="165"/>
      <c r="HP7" s="165"/>
      <c r="HQ7" s="165"/>
      <c r="HR7" s="165"/>
      <c r="HS7" s="165"/>
      <c r="HT7" s="165"/>
      <c r="HU7" s="165"/>
      <c r="HV7" s="165"/>
      <c r="HW7" s="165"/>
      <c r="HX7" s="165"/>
      <c r="HY7" s="165"/>
      <c r="HZ7" s="165"/>
      <c r="IA7" s="165"/>
      <c r="IB7" s="165"/>
      <c r="IC7" s="165"/>
      <c r="ID7" s="165"/>
      <c r="IE7" s="165"/>
      <c r="IF7" s="165"/>
      <c r="IG7" s="165"/>
      <c r="IH7" s="165"/>
      <c r="II7" s="165"/>
      <c r="IJ7" s="165"/>
      <c r="IK7" s="165"/>
      <c r="IL7" s="165"/>
      <c r="IM7" s="165"/>
      <c r="IN7" s="165"/>
      <c r="IO7" s="165"/>
      <c r="IP7" s="165"/>
      <c r="IQ7" s="165"/>
      <c r="IR7" s="165"/>
      <c r="IS7" s="165"/>
      <c r="IT7" s="165"/>
      <c r="IU7" s="165"/>
      <c r="IV7" s="165"/>
      <c r="IW7" s="165"/>
      <c r="IX7" s="165"/>
      <c r="IY7" s="165"/>
      <c r="IZ7" s="165"/>
      <c r="JA7" s="165"/>
      <c r="JB7" s="165"/>
      <c r="JC7" s="165"/>
      <c r="JD7" s="165"/>
      <c r="JE7" s="165"/>
      <c r="JF7" s="165"/>
      <c r="JG7" s="165"/>
      <c r="JH7" s="165"/>
      <c r="JI7" s="165"/>
      <c r="JJ7" s="165"/>
      <c r="JK7" s="165"/>
      <c r="JL7" s="165"/>
      <c r="JM7" s="165"/>
      <c r="JN7" s="165"/>
      <c r="JO7" s="165"/>
      <c r="JP7" s="165"/>
      <c r="JQ7" s="165"/>
      <c r="JR7" s="165"/>
      <c r="JS7" s="165"/>
      <c r="JT7" s="165"/>
      <c r="JU7" s="165"/>
      <c r="JV7" s="165"/>
      <c r="JW7" s="165"/>
      <c r="JX7" s="165"/>
      <c r="JY7" s="165"/>
      <c r="JZ7" s="165"/>
      <c r="KA7" s="165"/>
      <c r="KB7" s="165"/>
      <c r="KC7" s="165"/>
      <c r="KD7" s="165"/>
      <c r="KE7" s="165"/>
      <c r="KF7" s="165"/>
      <c r="KG7" s="165"/>
      <c r="KH7" s="165"/>
      <c r="KI7" s="165"/>
      <c r="KJ7" s="165"/>
      <c r="KK7" s="165"/>
      <c r="KL7" s="165"/>
      <c r="KM7" s="165"/>
      <c r="KN7" s="165"/>
      <c r="KO7" s="165"/>
      <c r="KP7" s="165"/>
      <c r="KQ7" s="165"/>
      <c r="KR7" s="165"/>
      <c r="KS7" s="165"/>
      <c r="KT7" s="165"/>
      <c r="KU7" s="165"/>
      <c r="KV7" s="165"/>
      <c r="KW7" s="165"/>
      <c r="KX7" s="165"/>
      <c r="KY7" s="165"/>
      <c r="KZ7" s="165"/>
      <c r="LA7" s="165"/>
      <c r="LB7" s="165"/>
      <c r="LC7" s="165"/>
      <c r="LD7" s="165"/>
      <c r="LE7" s="165"/>
      <c r="LF7" s="165"/>
      <c r="LG7" s="165"/>
      <c r="LH7" s="165"/>
      <c r="LI7" s="165"/>
      <c r="LJ7" s="165"/>
      <c r="LK7" s="165"/>
      <c r="LL7" s="165"/>
      <c r="LM7" s="165"/>
      <c r="LN7" s="165"/>
      <c r="LO7" s="165"/>
      <c r="LP7" s="165"/>
      <c r="LQ7" s="165"/>
      <c r="LR7" s="165"/>
      <c r="LS7" s="165"/>
      <c r="LT7" s="165"/>
      <c r="LU7" s="165"/>
      <c r="LV7" s="165"/>
      <c r="LW7" s="165"/>
      <c r="LX7" s="165"/>
      <c r="LY7" s="165"/>
      <c r="LZ7" s="165"/>
      <c r="MA7" s="165"/>
      <c r="MB7" s="165"/>
      <c r="MC7" s="165"/>
      <c r="MD7" s="165"/>
      <c r="ME7" s="165"/>
      <c r="MF7" s="165"/>
      <c r="MG7" s="165"/>
      <c r="MH7" s="165"/>
      <c r="MI7" s="165"/>
      <c r="MJ7" s="165"/>
      <c r="MK7" s="165"/>
      <c r="ML7" s="165"/>
      <c r="MM7" s="165"/>
      <c r="MN7" s="165"/>
      <c r="MO7" s="165"/>
      <c r="MP7" s="165"/>
      <c r="MQ7" s="165"/>
      <c r="MR7" s="165"/>
      <c r="MS7" s="165"/>
      <c r="MT7" s="165"/>
      <c r="MU7" s="165"/>
      <c r="MV7" s="165"/>
      <c r="MW7" s="165"/>
      <c r="MX7" s="165"/>
      <c r="MY7" s="165"/>
      <c r="MZ7" s="165"/>
      <c r="NA7" s="165"/>
      <c r="NB7" s="165"/>
      <c r="NC7" s="165"/>
      <c r="ND7" s="165"/>
      <c r="NE7" s="165"/>
      <c r="NF7" s="165"/>
      <c r="NG7" s="165"/>
      <c r="NH7" s="165"/>
      <c r="NI7" s="165"/>
      <c r="NJ7" s="165"/>
      <c r="NK7" s="165"/>
      <c r="NL7" s="165"/>
      <c r="NM7" s="165"/>
      <c r="NN7" s="165"/>
      <c r="NO7" s="165"/>
      <c r="NP7" s="165"/>
      <c r="NQ7" s="165"/>
      <c r="NR7" s="165"/>
      <c r="NS7" s="165"/>
      <c r="NT7" s="165"/>
      <c r="NU7" s="165"/>
      <c r="NV7" s="165"/>
      <c r="NW7" s="165"/>
      <c r="NX7" s="165"/>
      <c r="NY7" s="165"/>
      <c r="NZ7" s="165"/>
      <c r="OA7" s="165"/>
      <c r="OB7" s="165"/>
      <c r="OC7" s="165"/>
      <c r="OD7" s="165"/>
      <c r="OE7" s="165"/>
      <c r="OF7" s="165"/>
      <c r="OG7" s="165"/>
      <c r="OH7" s="165"/>
      <c r="OI7" s="165"/>
      <c r="OJ7" s="165"/>
      <c r="OK7" s="165"/>
      <c r="OL7" s="165"/>
      <c r="OM7" s="165"/>
      <c r="ON7" s="165"/>
      <c r="OO7" s="165"/>
      <c r="OP7" s="165"/>
      <c r="OQ7" s="165"/>
      <c r="OR7" s="165"/>
      <c r="OS7" s="165"/>
      <c r="OT7" s="165"/>
      <c r="OU7" s="165"/>
      <c r="OV7" s="165"/>
      <c r="OW7" s="165"/>
      <c r="OX7" s="165"/>
      <c r="OY7" s="165"/>
      <c r="OZ7" s="165"/>
      <c r="PA7" s="165"/>
      <c r="PB7" s="165"/>
      <c r="PC7" s="165"/>
      <c r="PD7" s="165"/>
      <c r="PE7" s="165"/>
      <c r="PF7" s="165"/>
      <c r="PG7" s="165"/>
      <c r="PH7" s="165"/>
      <c r="PI7" s="165"/>
      <c r="PJ7" s="165"/>
      <c r="PK7" s="165"/>
      <c r="PL7" s="165"/>
      <c r="PM7" s="165"/>
      <c r="PN7" s="165"/>
      <c r="PO7" s="165"/>
      <c r="PP7" s="165"/>
      <c r="PQ7" s="165"/>
      <c r="PR7" s="165"/>
      <c r="PS7" s="165"/>
      <c r="PT7" s="165"/>
      <c r="PU7" s="165"/>
      <c r="PV7" s="165"/>
      <c r="PW7" s="165"/>
      <c r="PX7" s="165"/>
      <c r="PY7" s="165"/>
      <c r="PZ7" s="165"/>
      <c r="QA7" s="165"/>
      <c r="QB7" s="165"/>
      <c r="QC7" s="165"/>
      <c r="QD7" s="165"/>
      <c r="QE7" s="165"/>
      <c r="QF7" s="165"/>
      <c r="QG7" s="165"/>
      <c r="QH7" s="165"/>
      <c r="QI7" s="165"/>
      <c r="QJ7" s="165"/>
      <c r="QK7" s="165"/>
      <c r="QL7" s="165"/>
      <c r="QM7" s="165"/>
      <c r="QN7" s="165"/>
      <c r="QO7" s="165"/>
      <c r="QP7" s="165"/>
      <c r="QQ7" s="165"/>
      <c r="QR7" s="165"/>
      <c r="QS7" s="165"/>
      <c r="QT7" s="165"/>
      <c r="QU7" s="165"/>
      <c r="QV7" s="165"/>
      <c r="QW7" s="165"/>
      <c r="QX7" s="165"/>
      <c r="QY7" s="165"/>
      <c r="QZ7" s="165"/>
      <c r="RA7" s="165"/>
      <c r="RB7" s="165"/>
      <c r="RC7" s="165"/>
      <c r="RD7" s="165"/>
      <c r="RE7" s="165"/>
      <c r="RF7" s="165"/>
      <c r="RG7" s="165"/>
      <c r="RH7" s="165"/>
      <c r="RI7" s="165"/>
      <c r="RJ7" s="165"/>
      <c r="RK7" s="165"/>
      <c r="RL7" s="165"/>
      <c r="RM7" s="165"/>
      <c r="RN7" s="165"/>
      <c r="RO7" s="165"/>
      <c r="RP7" s="165"/>
      <c r="RQ7" s="165"/>
      <c r="RR7" s="165"/>
      <c r="RS7" s="165"/>
      <c r="RT7" s="165"/>
      <c r="RU7" s="165"/>
      <c r="RV7" s="165"/>
      <c r="RW7" s="165"/>
      <c r="RX7" s="165"/>
      <c r="RY7" s="165"/>
      <c r="RZ7" s="165"/>
      <c r="SA7" s="165"/>
      <c r="SB7" s="165"/>
      <c r="SC7" s="165"/>
      <c r="SD7" s="165"/>
      <c r="SE7" s="165"/>
      <c r="SF7" s="165"/>
      <c r="SG7" s="165"/>
      <c r="SH7" s="165"/>
      <c r="SI7" s="165"/>
      <c r="SJ7" s="165"/>
      <c r="SK7" s="165"/>
      <c r="SL7" s="165"/>
      <c r="SM7" s="165"/>
      <c r="SN7" s="165"/>
      <c r="SO7" s="165"/>
      <c r="SP7" s="165"/>
      <c r="SQ7" s="165"/>
      <c r="SR7" s="165"/>
      <c r="SS7" s="165"/>
      <c r="ST7" s="165"/>
      <c r="SU7" s="165"/>
      <c r="SV7" s="165"/>
      <c r="SW7" s="165"/>
      <c r="SX7" s="165"/>
      <c r="SY7" s="165"/>
      <c r="SZ7" s="165"/>
      <c r="TA7" s="165"/>
      <c r="TB7" s="165"/>
      <c r="TC7" s="165"/>
      <c r="TD7" s="165"/>
      <c r="TE7" s="165"/>
      <c r="TF7" s="165"/>
      <c r="TG7" s="165"/>
      <c r="TH7" s="165"/>
      <c r="TI7" s="165"/>
      <c r="TJ7" s="165"/>
      <c r="TK7" s="165"/>
      <c r="TL7" s="165"/>
      <c r="TM7" s="165"/>
      <c r="TN7" s="165"/>
      <c r="TO7" s="165"/>
      <c r="TP7" s="165"/>
      <c r="TQ7" s="165"/>
      <c r="TR7" s="165"/>
      <c r="TS7" s="165"/>
      <c r="TT7" s="165"/>
      <c r="TU7" s="165"/>
      <c r="TV7" s="165"/>
      <c r="TW7" s="165"/>
      <c r="TX7" s="165"/>
      <c r="TY7" s="165"/>
      <c r="TZ7" s="165"/>
      <c r="UA7" s="165"/>
      <c r="UB7" s="165"/>
      <c r="UC7" s="165"/>
      <c r="UD7" s="165"/>
      <c r="UE7" s="165"/>
      <c r="UF7" s="165"/>
      <c r="UG7" s="165"/>
      <c r="UH7" s="165"/>
      <c r="UI7" s="165"/>
      <c r="UJ7" s="165"/>
      <c r="UK7" s="165"/>
      <c r="UL7" s="165"/>
      <c r="UM7" s="165"/>
      <c r="UN7" s="165"/>
      <c r="UO7" s="165"/>
      <c r="UP7" s="165"/>
      <c r="UQ7" s="165"/>
      <c r="UR7" s="165"/>
      <c r="US7" s="165"/>
      <c r="UT7" s="165"/>
      <c r="UU7" s="165"/>
      <c r="UV7" s="165"/>
      <c r="UW7" s="165"/>
      <c r="UX7" s="165"/>
      <c r="UY7" s="165"/>
      <c r="UZ7" s="165"/>
      <c r="VA7" s="165"/>
      <c r="VB7" s="165"/>
      <c r="VC7" s="165"/>
      <c r="VD7" s="165"/>
      <c r="VE7" s="165"/>
      <c r="VF7" s="165"/>
      <c r="VG7" s="165"/>
      <c r="VH7" s="165"/>
      <c r="VI7" s="165"/>
      <c r="VJ7" s="165"/>
      <c r="VK7" s="165"/>
      <c r="VL7" s="165"/>
      <c r="VM7" s="165"/>
      <c r="VN7" s="165"/>
      <c r="VO7" s="165"/>
      <c r="VP7" s="165"/>
      <c r="VQ7" s="165"/>
      <c r="VR7" s="165"/>
      <c r="VS7" s="165"/>
      <c r="VT7" s="165"/>
      <c r="VU7" s="165"/>
      <c r="VV7" s="165"/>
      <c r="VW7" s="165"/>
      <c r="VX7" s="165"/>
      <c r="VY7" s="165"/>
      <c r="VZ7" s="165"/>
      <c r="WA7" s="165"/>
      <c r="WB7" s="165"/>
      <c r="WC7" s="165"/>
      <c r="WD7" s="165"/>
      <c r="WE7" s="165"/>
      <c r="WF7" s="165"/>
      <c r="WG7" s="165"/>
      <c r="WH7" s="165"/>
      <c r="WI7" s="165"/>
      <c r="WJ7" s="165"/>
      <c r="WK7" s="165"/>
      <c r="WL7" s="165"/>
      <c r="WM7" s="165"/>
      <c r="WN7" s="165"/>
      <c r="WO7" s="165"/>
      <c r="WP7" s="165"/>
      <c r="WQ7" s="165"/>
      <c r="WR7" s="165"/>
      <c r="WS7" s="165"/>
      <c r="WT7" s="165"/>
      <c r="WU7" s="165"/>
      <c r="WV7" s="165"/>
      <c r="WW7" s="165"/>
      <c r="WX7" s="165"/>
      <c r="WY7" s="165"/>
      <c r="WZ7" s="165"/>
      <c r="XA7" s="165"/>
      <c r="XB7" s="165"/>
      <c r="XC7" s="165"/>
      <c r="XD7" s="165"/>
      <c r="XE7" s="165"/>
      <c r="XF7" s="165"/>
      <c r="XG7" s="165"/>
      <c r="XH7" s="165"/>
      <c r="XI7" s="165"/>
      <c r="XJ7" s="165"/>
      <c r="XK7" s="165"/>
      <c r="XL7" s="165"/>
      <c r="XM7" s="165"/>
      <c r="XN7" s="165"/>
      <c r="XO7" s="165"/>
      <c r="XP7" s="165"/>
      <c r="XQ7" s="165"/>
      <c r="XR7" s="165"/>
      <c r="XS7" s="165"/>
      <c r="XT7" s="165"/>
      <c r="XU7" s="165"/>
      <c r="XV7" s="165"/>
      <c r="XW7" s="165"/>
      <c r="XX7" s="165"/>
      <c r="XY7" s="165"/>
      <c r="XZ7" s="165"/>
      <c r="YA7" s="165"/>
      <c r="YB7" s="165"/>
      <c r="YC7" s="165"/>
      <c r="YD7" s="165"/>
      <c r="YE7" s="165"/>
      <c r="YF7" s="165"/>
      <c r="YG7" s="165"/>
      <c r="YH7" s="165"/>
      <c r="YI7" s="165"/>
      <c r="YJ7" s="165"/>
      <c r="YK7" s="165"/>
      <c r="YL7" s="165"/>
      <c r="YM7" s="165"/>
      <c r="YN7" s="165"/>
      <c r="YO7" s="165"/>
      <c r="YP7" s="165"/>
      <c r="YQ7" s="165"/>
      <c r="YR7" s="165"/>
      <c r="YS7" s="165"/>
      <c r="YT7" s="165"/>
      <c r="YU7" s="165"/>
      <c r="YV7" s="165"/>
      <c r="YW7" s="165"/>
      <c r="YX7" s="165"/>
      <c r="YY7" s="165"/>
      <c r="YZ7" s="165"/>
      <c r="ZA7" s="165"/>
      <c r="ZB7" s="165"/>
      <c r="ZC7" s="165"/>
      <c r="ZD7" s="165"/>
      <c r="ZE7" s="165"/>
      <c r="ZF7" s="165"/>
      <c r="ZG7" s="165"/>
      <c r="ZH7" s="165"/>
      <c r="ZI7" s="165"/>
      <c r="ZJ7" s="165"/>
      <c r="ZK7" s="165"/>
      <c r="ZL7" s="165"/>
      <c r="ZM7" s="165"/>
      <c r="ZN7" s="165"/>
      <c r="ZO7" s="165"/>
      <c r="ZP7" s="165"/>
      <c r="ZQ7" s="165"/>
      <c r="ZR7" s="165"/>
      <c r="ZS7" s="165"/>
      <c r="ZT7" s="165"/>
      <c r="ZU7" s="165"/>
      <c r="ZV7" s="165"/>
      <c r="ZW7" s="165"/>
      <c r="ZX7" s="165"/>
      <c r="ZY7" s="165"/>
      <c r="ZZ7" s="165"/>
      <c r="AAA7" s="165"/>
      <c r="AAB7" s="165"/>
      <c r="AAC7" s="165"/>
      <c r="AAD7" s="165"/>
      <c r="AAE7" s="165"/>
      <c r="AAF7" s="165"/>
      <c r="AAG7" s="165"/>
      <c r="AAH7" s="165"/>
      <c r="AAI7" s="165"/>
      <c r="AAJ7" s="165"/>
      <c r="AAK7" s="165"/>
      <c r="AAL7" s="165"/>
      <c r="AAM7" s="165"/>
      <c r="AAN7" s="165"/>
      <c r="AAO7" s="165"/>
      <c r="AAP7" s="165"/>
      <c r="AAQ7" s="165"/>
      <c r="AAR7" s="165"/>
      <c r="AAS7" s="165"/>
      <c r="AAT7" s="165"/>
      <c r="AAU7" s="165"/>
      <c r="AAV7" s="165"/>
      <c r="AAW7" s="165"/>
      <c r="AAX7" s="165"/>
      <c r="AAY7" s="165"/>
      <c r="AAZ7" s="165"/>
      <c r="ABA7" s="165"/>
      <c r="ABB7" s="165"/>
      <c r="ABC7" s="165"/>
      <c r="ABD7" s="165"/>
      <c r="ABE7" s="165"/>
      <c r="ABF7" s="165"/>
      <c r="ABG7" s="165"/>
      <c r="ABH7" s="165"/>
      <c r="ABI7" s="165"/>
      <c r="ABJ7" s="165"/>
      <c r="ABK7" s="165"/>
      <c r="ABL7" s="165"/>
      <c r="ABM7" s="165"/>
      <c r="ABN7" s="165"/>
      <c r="ABO7" s="165"/>
      <c r="ABP7" s="165"/>
      <c r="ABQ7" s="165"/>
      <c r="ABR7" s="165"/>
      <c r="ABS7" s="165"/>
      <c r="ABT7" s="165"/>
      <c r="ABU7" s="165"/>
      <c r="ABV7" s="165"/>
      <c r="ABW7" s="165"/>
      <c r="ABX7" s="165"/>
      <c r="ABY7" s="165"/>
      <c r="ABZ7" s="165"/>
      <c r="ACA7" s="165"/>
      <c r="ACB7" s="165"/>
      <c r="ACC7" s="165"/>
      <c r="ACD7" s="165"/>
      <c r="ACE7" s="165"/>
      <c r="ACF7" s="165"/>
      <c r="ACG7" s="165"/>
      <c r="ACH7" s="165"/>
      <c r="ACI7" s="165"/>
      <c r="ACJ7" s="165"/>
      <c r="ACK7" s="165"/>
      <c r="ACL7" s="165"/>
      <c r="ACM7" s="165"/>
      <c r="ACN7" s="165"/>
      <c r="ACO7" s="165"/>
      <c r="ACP7" s="165"/>
      <c r="ACQ7" s="165"/>
      <c r="ACR7" s="165"/>
      <c r="ACS7" s="165"/>
      <c r="ACT7" s="165"/>
      <c r="ACU7" s="165"/>
      <c r="ACV7" s="165"/>
      <c r="ACW7" s="165"/>
      <c r="ACX7" s="165"/>
      <c r="ACY7" s="165"/>
      <c r="ACZ7" s="165"/>
      <c r="ADA7" s="165"/>
      <c r="ADB7" s="165"/>
      <c r="ADC7" s="165"/>
      <c r="ADD7" s="165"/>
      <c r="ADE7" s="165"/>
      <c r="ADF7" s="165"/>
      <c r="ADG7" s="165"/>
      <c r="ADH7" s="165"/>
      <c r="ADI7" s="165"/>
      <c r="ADJ7" s="165"/>
      <c r="ADK7" s="165"/>
      <c r="ADL7" s="165"/>
      <c r="ADM7" s="165"/>
      <c r="ADN7" s="165"/>
      <c r="ADO7" s="165"/>
      <c r="ADP7" s="165"/>
      <c r="ADQ7" s="165"/>
      <c r="ADR7" s="165"/>
      <c r="ADS7" s="165"/>
      <c r="ADT7" s="165"/>
      <c r="ADU7" s="165"/>
      <c r="ADV7" s="165"/>
      <c r="ADW7" s="165"/>
      <c r="ADX7" s="165"/>
      <c r="ADY7" s="165"/>
      <c r="ADZ7" s="165"/>
      <c r="AEA7" s="165"/>
      <c r="AEB7" s="165"/>
      <c r="AEC7" s="165"/>
      <c r="AED7" s="165"/>
      <c r="AEE7" s="165"/>
      <c r="AEF7" s="165"/>
      <c r="AEG7" s="165"/>
      <c r="AEH7" s="165"/>
      <c r="AEI7" s="165"/>
      <c r="AEJ7" s="165"/>
      <c r="AEK7" s="165"/>
      <c r="AEL7" s="165"/>
      <c r="AEM7" s="165"/>
      <c r="AEN7" s="165"/>
      <c r="AEO7" s="165"/>
      <c r="AEP7" s="165"/>
      <c r="AEQ7" s="165"/>
      <c r="AER7" s="165"/>
      <c r="AES7" s="165"/>
      <c r="AET7" s="165"/>
      <c r="AEU7" s="165"/>
      <c r="AEV7" s="165"/>
      <c r="AEW7" s="165"/>
      <c r="AEX7" s="165"/>
      <c r="AEY7" s="165"/>
      <c r="AEZ7" s="165"/>
      <c r="AFA7" s="165"/>
      <c r="AFB7" s="165"/>
      <c r="AFC7" s="165"/>
      <c r="AFD7" s="165"/>
      <c r="AFE7" s="165"/>
      <c r="AFF7" s="165"/>
      <c r="AFG7" s="165"/>
      <c r="AFH7" s="165"/>
      <c r="AFI7" s="165"/>
      <c r="AFJ7" s="165"/>
      <c r="AFK7" s="165"/>
      <c r="AFL7" s="165"/>
      <c r="AFM7" s="165"/>
      <c r="AFN7" s="165"/>
      <c r="AFO7" s="165"/>
      <c r="AFP7" s="165"/>
      <c r="AFQ7" s="165"/>
      <c r="AFR7" s="165"/>
      <c r="AFS7" s="165"/>
      <c r="AFT7" s="165"/>
      <c r="AFU7" s="165"/>
      <c r="AFV7" s="165"/>
      <c r="AFW7" s="165"/>
      <c r="AFX7" s="165"/>
      <c r="AFY7" s="165"/>
      <c r="AFZ7" s="165"/>
      <c r="AGA7" s="165"/>
      <c r="AGB7" s="165"/>
      <c r="AGC7" s="165"/>
      <c r="AGD7" s="165"/>
      <c r="AGE7" s="165"/>
      <c r="AGF7" s="165"/>
      <c r="AGG7" s="165"/>
      <c r="AGH7" s="165"/>
      <c r="AGI7" s="165"/>
      <c r="AGJ7" s="165"/>
      <c r="AGK7" s="165"/>
      <c r="AGL7" s="165"/>
      <c r="AGM7" s="165"/>
      <c r="AGN7" s="165"/>
      <c r="AGO7" s="165"/>
      <c r="AGP7" s="165"/>
      <c r="AGQ7" s="165"/>
      <c r="AGR7" s="165"/>
      <c r="AGS7" s="165"/>
      <c r="AGT7" s="165"/>
      <c r="AGU7" s="165"/>
    </row>
    <row r="8" spans="1:879" ht="12.95" hidden="1" customHeight="1" x14ac:dyDescent="0.15">
      <c r="B8" s="296" t="str">
        <f t="shared" si="0"/>
        <v/>
      </c>
      <c r="C8" s="315" t="s">
        <v>448</v>
      </c>
      <c r="D8" s="316" t="s">
        <v>449</v>
      </c>
      <c r="E8" s="299" t="str">
        <f t="shared" si="20"/>
        <v>登録</v>
      </c>
      <c r="F8" s="300"/>
      <c r="G8" s="300"/>
      <c r="H8" s="301">
        <v>43191</v>
      </c>
      <c r="I8" s="338" t="s">
        <v>428</v>
      </c>
      <c r="J8" s="339" t="s">
        <v>450</v>
      </c>
      <c r="K8" s="338"/>
      <c r="L8" s="339" t="s">
        <v>451</v>
      </c>
      <c r="M8" s="339" t="s">
        <v>138</v>
      </c>
      <c r="N8" s="342" t="s">
        <v>452</v>
      </c>
      <c r="O8" s="304">
        <v>25</v>
      </c>
      <c r="P8" s="304">
        <v>20</v>
      </c>
      <c r="Q8" s="303">
        <f t="shared" ref="Q8:Q10" si="40">IF(P8&gt;=10,150,0)</f>
        <v>150</v>
      </c>
      <c r="R8" s="304">
        <f t="shared" ref="R8:R10" si="41">IF(S8&gt;=1,1,"")</f>
        <v>1</v>
      </c>
      <c r="S8" s="304">
        <v>15</v>
      </c>
      <c r="T8" s="305">
        <f t="shared" ref="T8:T11" si="42">IF(Q8=0,0,IF(S8&gt;=25,MIN(250,ROUNDDOWN(S8*10,-1)),IF(S8&gt;=20,MIN(200,ROUNDDOWN(S8*10,-1)),IF(S8&gt;=15,MIN(150,ROUNDDOWN(S8*10,-1)),MIN(100,ROUNDDOWN(S8*10,-1))))))</f>
        <v>150</v>
      </c>
      <c r="U8" s="304">
        <f t="shared" ref="U8:U10" si="43">IF(V8&gt;=1,1,"")</f>
        <v>1</v>
      </c>
      <c r="V8" s="304">
        <v>3</v>
      </c>
      <c r="W8" s="305">
        <f t="shared" ref="W8:W11" si="44">IF(AND(Q8&gt;0,V8&gt;=1),MIN(INT(V8)*20,200),0)</f>
        <v>60</v>
      </c>
      <c r="X8" s="304" t="str">
        <f t="shared" ref="X8:X10" si="45">IF(Y8&gt;=1,1,"")</f>
        <v/>
      </c>
      <c r="Y8" s="304"/>
      <c r="Z8" s="304">
        <f t="shared" ref="Z8:Z10" si="46">IF(Y8&gt;=1,50,0)</f>
        <v>0</v>
      </c>
      <c r="AA8" s="303">
        <f t="shared" si="1"/>
        <v>100</v>
      </c>
      <c r="AB8" s="304">
        <f t="shared" ref="AB8:AB10" si="47">IF(AC8&gt;=1,1,"")</f>
        <v>1</v>
      </c>
      <c r="AC8" s="304">
        <v>50</v>
      </c>
      <c r="AD8" s="304">
        <f t="shared" si="2"/>
        <v>100</v>
      </c>
      <c r="AE8" s="304">
        <f t="shared" ref="AE8:AE10" si="48">IF(OR(AF8=1,AG8=1),1,"")</f>
        <v>1</v>
      </c>
      <c r="AF8" s="304">
        <v>1</v>
      </c>
      <c r="AG8" s="304"/>
      <c r="AH8" s="303">
        <f>IF(AND(Q8&gt;0,AE8=1,),100,0)</f>
        <v>0</v>
      </c>
      <c r="AI8" s="304">
        <f t="shared" ref="AI8:AI10" si="49">IF(OR(AJ8=1,AK8=1),1,"")</f>
        <v>1</v>
      </c>
      <c r="AJ8" s="304"/>
      <c r="AK8" s="304">
        <v>1</v>
      </c>
      <c r="AL8" s="303">
        <f t="shared" si="3"/>
        <v>100</v>
      </c>
      <c r="AM8" s="304" t="str">
        <f t="shared" ref="AM8:AM11" si="50">IF(AU8&gt;=4,1,"")</f>
        <v/>
      </c>
      <c r="AN8" s="304"/>
      <c r="AO8" s="304"/>
      <c r="AP8" s="304"/>
      <c r="AQ8" s="304"/>
      <c r="AR8" s="304"/>
      <c r="AS8" s="304"/>
      <c r="AT8" s="304"/>
      <c r="AU8" s="304">
        <f t="shared" ref="AU8:AU11" si="51">SUM(AN8:AT8)</f>
        <v>0</v>
      </c>
      <c r="AV8" s="303">
        <f t="shared" ref="AV8:AV10" si="52">IF(AU8&gt;=4,200,0)</f>
        <v>0</v>
      </c>
      <c r="AW8" s="306"/>
      <c r="AX8" s="306"/>
      <c r="AY8" s="306"/>
      <c r="AZ8" s="303">
        <f t="shared" si="4"/>
        <v>560</v>
      </c>
      <c r="BA8" s="306"/>
      <c r="BB8" s="307"/>
      <c r="BC8" s="306"/>
      <c r="BD8" s="303">
        <f t="shared" ref="BD8:BD10" si="53">MIN(ROUNDDOWN(BB8,1)*20+INT(BC8)*2,250)</f>
        <v>0</v>
      </c>
      <c r="BE8" s="304" t="str">
        <f t="shared" ref="BE8:BE10" si="54">IF(OR(BF8=1,BG8=1),1,"")</f>
        <v/>
      </c>
      <c r="BF8" s="302"/>
      <c r="BG8" s="302"/>
      <c r="BH8" s="303" t="e">
        <f>IF(AND(BD8&gt;0,BE8=1,#REF!=""),100,0)</f>
        <v>#REF!</v>
      </c>
      <c r="BI8" s="304" t="str">
        <f t="shared" ref="BI8:BI10" si="55">IF(OR(BJ8=1,BK8=1,BL8=1),1,"")</f>
        <v/>
      </c>
      <c r="BJ8" s="306"/>
      <c r="BK8" s="306"/>
      <c r="BL8" s="306"/>
      <c r="BM8" s="303">
        <f t="shared" ref="BM8:BM10" si="56">IF(AND(BD8&gt;0,BI8=1),100,IF(AND(BD8&gt;0,BL8=1),100,0))</f>
        <v>0</v>
      </c>
      <c r="BN8" s="304" t="str">
        <f t="shared" ref="BN8:BN10" si="57">IF(OR(AND(BO8&gt;=7,BP8&gt;=7,BO8+BP8&gt;=14),AND(BO8&gt;=7,BQ8&gt;=3,BO8+BQ8&gt;=10),AND(BP8&gt;=7,BQ8&gt;=3,BP8+BQ8&gt;=10)),1,"")</f>
        <v/>
      </c>
      <c r="BO8" s="306"/>
      <c r="BP8" s="306"/>
      <c r="BQ8" s="306"/>
      <c r="BR8" s="303">
        <f t="shared" ref="BR8:BR10" si="58">IF(AND(BN8=1,BD8&gt;0),MIN(150,ROUNDDOWN(BO8*11+BP8*13+BQ8*19,0)),0)</f>
        <v>0</v>
      </c>
      <c r="BS8" s="306"/>
      <c r="BT8" s="303">
        <f>IF(D8="改修",MIN(500,BD8+BH8+BM8+BR8,INT(CM8*10/2)),0)</f>
        <v>0</v>
      </c>
      <c r="BU8" s="347"/>
      <c r="BV8" s="350" t="s">
        <v>8</v>
      </c>
      <c r="BW8" s="348"/>
      <c r="BX8" s="350" t="s">
        <v>272</v>
      </c>
      <c r="BY8" s="348"/>
      <c r="BZ8" s="351" t="s">
        <v>7</v>
      </c>
      <c r="CA8" s="347"/>
      <c r="CB8" s="350" t="s">
        <v>8</v>
      </c>
      <c r="CC8" s="348"/>
      <c r="CD8" s="350" t="s">
        <v>272</v>
      </c>
      <c r="CE8" s="348"/>
      <c r="CF8" s="351" t="s">
        <v>7</v>
      </c>
      <c r="CG8" s="301">
        <v>43198</v>
      </c>
      <c r="CH8" s="308">
        <f t="shared" ref="CH8:CH11" si="59">AZ8+BT8</f>
        <v>560</v>
      </c>
      <c r="CI8" s="338" t="s">
        <v>428</v>
      </c>
      <c r="CJ8" s="338" t="s">
        <v>429</v>
      </c>
      <c r="CK8" s="298" t="s">
        <v>453</v>
      </c>
      <c r="CL8" s="338">
        <v>100</v>
      </c>
      <c r="CM8" s="355">
        <v>2200</v>
      </c>
      <c r="CN8" s="339" t="s">
        <v>431</v>
      </c>
      <c r="CO8" s="301"/>
      <c r="CP8" s="300"/>
      <c r="CQ8" s="300"/>
      <c r="CR8" s="301"/>
      <c r="CS8" s="301"/>
      <c r="CT8" s="300"/>
      <c r="CU8" s="300"/>
      <c r="CV8" s="300"/>
      <c r="CW8" s="300"/>
      <c r="CX8" s="300"/>
      <c r="CY8" s="300"/>
      <c r="CZ8" s="300"/>
      <c r="DA8" s="300"/>
      <c r="DB8" s="300"/>
      <c r="DC8" s="300"/>
      <c r="DD8" s="300"/>
      <c r="DE8" s="300"/>
      <c r="DF8" s="300"/>
      <c r="DG8" s="300"/>
      <c r="DH8" s="300"/>
      <c r="DI8" s="300"/>
      <c r="DJ8" s="300"/>
      <c r="DK8" s="309"/>
      <c r="DL8" s="302"/>
      <c r="DM8" s="302"/>
      <c r="DN8" s="302"/>
      <c r="DO8" s="303">
        <f t="shared" si="5"/>
        <v>0</v>
      </c>
      <c r="DP8" s="303">
        <f t="shared" si="6"/>
        <v>0</v>
      </c>
      <c r="DQ8" s="304" t="str">
        <f t="shared" si="21"/>
        <v/>
      </c>
      <c r="DR8" s="302"/>
      <c r="DS8" s="302"/>
      <c r="DT8" s="305">
        <f t="shared" si="22"/>
        <v>0</v>
      </c>
      <c r="DU8" s="303">
        <f t="shared" si="7"/>
        <v>0</v>
      </c>
      <c r="DV8" s="304" t="str">
        <f t="shared" si="23"/>
        <v/>
      </c>
      <c r="DW8" s="302"/>
      <c r="DX8" s="302"/>
      <c r="DY8" s="305">
        <f t="shared" si="24"/>
        <v>0</v>
      </c>
      <c r="DZ8" s="303">
        <f t="shared" si="8"/>
        <v>0</v>
      </c>
      <c r="EA8" s="304" t="str">
        <f t="shared" si="25"/>
        <v/>
      </c>
      <c r="EB8" s="302"/>
      <c r="EC8" s="304">
        <f t="shared" si="9"/>
        <v>0</v>
      </c>
      <c r="ED8" s="304" t="str">
        <f t="shared" si="26"/>
        <v/>
      </c>
      <c r="EE8" s="302"/>
      <c r="EF8" s="302"/>
      <c r="EG8" s="304">
        <f t="shared" si="27"/>
        <v>0</v>
      </c>
      <c r="EH8" s="303">
        <f t="shared" si="10"/>
        <v>0</v>
      </c>
      <c r="EI8" s="303">
        <f t="shared" si="11"/>
        <v>0</v>
      </c>
      <c r="EJ8" s="304" t="str">
        <f t="shared" si="28"/>
        <v/>
      </c>
      <c r="EK8" s="302"/>
      <c r="EL8" s="302"/>
      <c r="EM8" s="303" t="e">
        <f>IF(AND(DO8&gt;0,EJ8=1,[1]【様式第６号】事業報告書兼チェックシート!B59=""),100,0)</f>
        <v>#REF!</v>
      </c>
      <c r="EN8" s="303" t="e">
        <f t="shared" si="12"/>
        <v>#REF!</v>
      </c>
      <c r="EO8" s="304" t="str">
        <f t="shared" si="29"/>
        <v/>
      </c>
      <c r="EP8" s="302"/>
      <c r="EQ8" s="302"/>
      <c r="ER8" s="303">
        <f t="shared" si="13"/>
        <v>0</v>
      </c>
      <c r="ES8" s="303">
        <f t="shared" si="14"/>
        <v>0</v>
      </c>
      <c r="ET8" s="304" t="str">
        <f t="shared" si="30"/>
        <v/>
      </c>
      <c r="EU8" s="302"/>
      <c r="EV8" s="302"/>
      <c r="EW8" s="302"/>
      <c r="EX8" s="302"/>
      <c r="EY8" s="302"/>
      <c r="EZ8" s="302"/>
      <c r="FA8" s="302"/>
      <c r="FB8" s="304">
        <f t="shared" si="31"/>
        <v>0</v>
      </c>
      <c r="FC8" s="303">
        <f t="shared" si="32"/>
        <v>0</v>
      </c>
      <c r="FD8" s="303">
        <f t="shared" si="15"/>
        <v>0</v>
      </c>
      <c r="FE8" s="306"/>
      <c r="FF8" s="306"/>
      <c r="FG8" s="306"/>
      <c r="FH8" s="306"/>
      <c r="FI8" s="303">
        <f t="shared" si="16"/>
        <v>0</v>
      </c>
      <c r="FJ8" s="303">
        <f t="shared" si="17"/>
        <v>560</v>
      </c>
      <c r="FK8" s="306"/>
      <c r="FL8" s="310"/>
      <c r="FM8" s="310"/>
      <c r="FN8" s="306"/>
      <c r="FO8" s="306"/>
      <c r="FP8" s="303">
        <f t="shared" si="33"/>
        <v>0</v>
      </c>
      <c r="FQ8" s="303">
        <f>MIN(BD8,FP8)</f>
        <v>0</v>
      </c>
      <c r="FR8" s="304" t="str">
        <f t="shared" si="34"/>
        <v/>
      </c>
      <c r="FS8" s="302"/>
      <c r="FT8" s="302"/>
      <c r="FU8" s="303" t="e">
        <f>IF(AND(FP8&gt;0,FR8=1,#REF!=""),100,0)</f>
        <v>#REF!</v>
      </c>
      <c r="FV8" s="303" t="e">
        <f>MIN(BH8,FU8)</f>
        <v>#REF!</v>
      </c>
      <c r="FW8" s="304" t="str">
        <f t="shared" si="35"/>
        <v/>
      </c>
      <c r="FX8" s="306"/>
      <c r="FY8" s="306"/>
      <c r="FZ8" s="306"/>
      <c r="GA8" s="303">
        <f t="shared" si="36"/>
        <v>0</v>
      </c>
      <c r="GB8" s="303">
        <f>MIN(BM8,GA8)</f>
        <v>0</v>
      </c>
      <c r="GC8" s="304" t="str">
        <f t="shared" si="37"/>
        <v/>
      </c>
      <c r="GD8" s="306"/>
      <c r="GE8" s="306"/>
      <c r="GF8" s="306"/>
      <c r="GG8" s="303">
        <f t="shared" si="38"/>
        <v>0</v>
      </c>
      <c r="GH8" s="303">
        <f>MIN(BR8,GG8)</f>
        <v>0</v>
      </c>
      <c r="GI8" s="306"/>
      <c r="GJ8" s="306"/>
      <c r="GK8" s="303">
        <f>IF(D8="改修",MIN(500,FQ8+FV8+GB8+GH8,INT(CM8*10/2)),0)</f>
        <v>0</v>
      </c>
      <c r="GL8" s="303">
        <f>BT8-GK8</f>
        <v>0</v>
      </c>
      <c r="GM8" s="311"/>
      <c r="GN8" s="312"/>
      <c r="GO8" s="312"/>
      <c r="GP8" s="312"/>
      <c r="GQ8" s="308">
        <f t="shared" si="18"/>
        <v>0</v>
      </c>
      <c r="GR8" s="308">
        <f t="shared" si="19"/>
        <v>0</v>
      </c>
      <c r="GS8" s="308">
        <f t="shared" si="39"/>
        <v>0</v>
      </c>
    </row>
    <row r="9" spans="1:879" s="314" customFormat="1" ht="12.95" hidden="1" customHeight="1" x14ac:dyDescent="0.15">
      <c r="B9" s="296" t="str">
        <f t="shared" si="0"/>
        <v>支払済</v>
      </c>
      <c r="C9" s="315" t="s">
        <v>448</v>
      </c>
      <c r="D9" s="316" t="s">
        <v>420</v>
      </c>
      <c r="E9" s="299" t="str">
        <f t="shared" si="20"/>
        <v>建売購入</v>
      </c>
      <c r="F9" s="300"/>
      <c r="G9" s="300"/>
      <c r="H9" s="301">
        <v>43403</v>
      </c>
      <c r="I9" s="338" t="s">
        <v>454</v>
      </c>
      <c r="J9" s="339" t="s">
        <v>455</v>
      </c>
      <c r="K9" s="338"/>
      <c r="L9" s="339" t="s">
        <v>456</v>
      </c>
      <c r="M9" s="339" t="s">
        <v>457</v>
      </c>
      <c r="N9" s="342" t="s">
        <v>452</v>
      </c>
      <c r="O9" s="304">
        <v>25</v>
      </c>
      <c r="P9" s="304">
        <v>18</v>
      </c>
      <c r="Q9" s="303">
        <f t="shared" si="40"/>
        <v>150</v>
      </c>
      <c r="R9" s="304">
        <f t="shared" si="41"/>
        <v>1</v>
      </c>
      <c r="S9" s="304">
        <v>13</v>
      </c>
      <c r="T9" s="305">
        <f t="shared" si="42"/>
        <v>100</v>
      </c>
      <c r="U9" s="304">
        <f t="shared" si="43"/>
        <v>1</v>
      </c>
      <c r="V9" s="304">
        <v>2</v>
      </c>
      <c r="W9" s="305">
        <f t="shared" si="44"/>
        <v>40</v>
      </c>
      <c r="X9" s="304" t="str">
        <f t="shared" si="45"/>
        <v/>
      </c>
      <c r="Y9" s="304"/>
      <c r="Z9" s="304">
        <f t="shared" si="46"/>
        <v>0</v>
      </c>
      <c r="AA9" s="303">
        <f t="shared" si="1"/>
        <v>90</v>
      </c>
      <c r="AB9" s="304">
        <f t="shared" si="47"/>
        <v>1</v>
      </c>
      <c r="AC9" s="304">
        <v>45</v>
      </c>
      <c r="AD9" s="304">
        <f t="shared" si="2"/>
        <v>90</v>
      </c>
      <c r="AE9" s="304">
        <f t="shared" si="48"/>
        <v>1</v>
      </c>
      <c r="AF9" s="304"/>
      <c r="AG9" s="304">
        <v>1</v>
      </c>
      <c r="AH9" s="303">
        <f>IF(AND(Q9&gt;0,AE9=1,),100,0)</f>
        <v>0</v>
      </c>
      <c r="AI9" s="304" t="str">
        <f t="shared" si="49"/>
        <v/>
      </c>
      <c r="AJ9" s="304"/>
      <c r="AK9" s="304"/>
      <c r="AL9" s="303">
        <f t="shared" si="3"/>
        <v>0</v>
      </c>
      <c r="AM9" s="304" t="str">
        <f t="shared" si="50"/>
        <v/>
      </c>
      <c r="AN9" s="304"/>
      <c r="AO9" s="304"/>
      <c r="AP9" s="304"/>
      <c r="AQ9" s="304"/>
      <c r="AR9" s="304"/>
      <c r="AS9" s="304"/>
      <c r="AT9" s="304"/>
      <c r="AU9" s="304">
        <f t="shared" si="51"/>
        <v>0</v>
      </c>
      <c r="AV9" s="303">
        <f t="shared" si="52"/>
        <v>0</v>
      </c>
      <c r="AW9" s="306"/>
      <c r="AX9" s="306"/>
      <c r="AY9" s="306"/>
      <c r="AZ9" s="303">
        <f t="shared" si="4"/>
        <v>380</v>
      </c>
      <c r="BA9" s="306"/>
      <c r="BB9" s="307"/>
      <c r="BC9" s="306"/>
      <c r="BD9" s="303">
        <f t="shared" si="53"/>
        <v>0</v>
      </c>
      <c r="BE9" s="304" t="str">
        <f t="shared" si="54"/>
        <v/>
      </c>
      <c r="BF9" s="302"/>
      <c r="BG9" s="302"/>
      <c r="BH9" s="303" t="e">
        <f>IF(AND(BD9&gt;0,BE9=1,#REF!=""),100,0)</f>
        <v>#REF!</v>
      </c>
      <c r="BI9" s="304" t="str">
        <f t="shared" si="55"/>
        <v/>
      </c>
      <c r="BJ9" s="306"/>
      <c r="BK9" s="306"/>
      <c r="BL9" s="306"/>
      <c r="BM9" s="303">
        <f t="shared" si="56"/>
        <v>0</v>
      </c>
      <c r="BN9" s="304" t="str">
        <f t="shared" si="57"/>
        <v/>
      </c>
      <c r="BO9" s="306"/>
      <c r="BP9" s="306"/>
      <c r="BQ9" s="306"/>
      <c r="BR9" s="303">
        <f t="shared" si="58"/>
        <v>0</v>
      </c>
      <c r="BS9" s="306"/>
      <c r="BT9" s="303">
        <f>IF(D9="改修",MIN(500,BD9+BH9+BM9+BR9,INT(CM9*10/2)),0)</f>
        <v>0</v>
      </c>
      <c r="BU9" s="347"/>
      <c r="BV9" s="350" t="s">
        <v>8</v>
      </c>
      <c r="BW9" s="348"/>
      <c r="BX9" s="350" t="s">
        <v>272</v>
      </c>
      <c r="BY9" s="348"/>
      <c r="BZ9" s="351" t="s">
        <v>7</v>
      </c>
      <c r="CA9" s="347"/>
      <c r="CB9" s="350" t="s">
        <v>8</v>
      </c>
      <c r="CC9" s="348"/>
      <c r="CD9" s="350" t="s">
        <v>272</v>
      </c>
      <c r="CE9" s="348"/>
      <c r="CF9" s="351" t="s">
        <v>7</v>
      </c>
      <c r="CG9" s="301">
        <v>43409</v>
      </c>
      <c r="CH9" s="308">
        <f t="shared" si="59"/>
        <v>380</v>
      </c>
      <c r="CI9" s="338" t="s">
        <v>428</v>
      </c>
      <c r="CJ9" s="338" t="s">
        <v>429</v>
      </c>
      <c r="CK9" s="298" t="s">
        <v>453</v>
      </c>
      <c r="CL9" s="338">
        <v>100</v>
      </c>
      <c r="CM9" s="355">
        <v>2200</v>
      </c>
      <c r="CN9" s="339" t="s">
        <v>431</v>
      </c>
      <c r="CO9" s="301"/>
      <c r="CP9" s="300"/>
      <c r="CQ9" s="300"/>
      <c r="CR9" s="301"/>
      <c r="CS9" s="301"/>
      <c r="CT9" s="300"/>
      <c r="CU9" s="300"/>
      <c r="CV9" s="300"/>
      <c r="CW9" s="300"/>
      <c r="CX9" s="300"/>
      <c r="CY9" s="300"/>
      <c r="CZ9" s="300"/>
      <c r="DA9" s="300"/>
      <c r="DB9" s="300"/>
      <c r="DC9" s="300"/>
      <c r="DD9" s="300"/>
      <c r="DE9" s="300"/>
      <c r="DF9" s="300"/>
      <c r="DG9" s="300"/>
      <c r="DH9" s="300"/>
      <c r="DI9" s="300"/>
      <c r="DJ9" s="300"/>
      <c r="DK9" s="309"/>
      <c r="DL9" s="304">
        <v>25</v>
      </c>
      <c r="DM9" s="304">
        <v>18</v>
      </c>
      <c r="DN9" s="302" t="s">
        <v>458</v>
      </c>
      <c r="DO9" s="303">
        <f t="shared" si="5"/>
        <v>150</v>
      </c>
      <c r="DP9" s="303">
        <f t="shared" si="6"/>
        <v>150</v>
      </c>
      <c r="DQ9" s="304">
        <f t="shared" si="21"/>
        <v>1</v>
      </c>
      <c r="DR9" s="304">
        <v>13</v>
      </c>
      <c r="DS9" s="302" t="s">
        <v>458</v>
      </c>
      <c r="DT9" s="305">
        <f t="shared" si="22"/>
        <v>100</v>
      </c>
      <c r="DU9" s="303">
        <f t="shared" si="7"/>
        <v>100</v>
      </c>
      <c r="DV9" s="304">
        <f t="shared" si="23"/>
        <v>1</v>
      </c>
      <c r="DW9" s="304">
        <v>2</v>
      </c>
      <c r="DX9" s="302" t="s">
        <v>459</v>
      </c>
      <c r="DY9" s="305">
        <f t="shared" si="24"/>
        <v>40</v>
      </c>
      <c r="DZ9" s="303">
        <f t="shared" si="8"/>
        <v>40</v>
      </c>
      <c r="EA9" s="304" t="str">
        <f t="shared" si="25"/>
        <v/>
      </c>
      <c r="EB9" s="304"/>
      <c r="EC9" s="304">
        <f t="shared" si="9"/>
        <v>0</v>
      </c>
      <c r="ED9" s="304">
        <f t="shared" si="26"/>
        <v>1</v>
      </c>
      <c r="EE9" s="304">
        <v>45</v>
      </c>
      <c r="EF9" s="302" t="s">
        <v>460</v>
      </c>
      <c r="EG9" s="304">
        <f t="shared" si="27"/>
        <v>90</v>
      </c>
      <c r="EH9" s="303">
        <f t="shared" si="10"/>
        <v>90</v>
      </c>
      <c r="EI9" s="303">
        <f t="shared" si="11"/>
        <v>90</v>
      </c>
      <c r="EJ9" s="304">
        <f t="shared" si="28"/>
        <v>1</v>
      </c>
      <c r="EK9" s="304"/>
      <c r="EL9" s="304">
        <v>1</v>
      </c>
      <c r="EM9" s="303" t="e">
        <f>IF(AND(DO9&gt;0,EJ9=1,[1]【様式第６号】事業報告書兼チェックシート!B60=""),100,0)</f>
        <v>#REF!</v>
      </c>
      <c r="EN9" s="303" t="e">
        <f t="shared" si="12"/>
        <v>#REF!</v>
      </c>
      <c r="EO9" s="304" t="str">
        <f t="shared" si="29"/>
        <v/>
      </c>
      <c r="EP9" s="304"/>
      <c r="EQ9" s="304"/>
      <c r="ER9" s="303">
        <f t="shared" si="13"/>
        <v>0</v>
      </c>
      <c r="ES9" s="303">
        <f t="shared" si="14"/>
        <v>0</v>
      </c>
      <c r="ET9" s="304" t="str">
        <f t="shared" si="30"/>
        <v/>
      </c>
      <c r="EU9" s="304"/>
      <c r="EV9" s="304"/>
      <c r="EW9" s="304"/>
      <c r="EX9" s="304"/>
      <c r="EY9" s="304"/>
      <c r="EZ9" s="304"/>
      <c r="FA9" s="304"/>
      <c r="FB9" s="304">
        <f t="shared" si="31"/>
        <v>0</v>
      </c>
      <c r="FC9" s="303">
        <f t="shared" si="32"/>
        <v>0</v>
      </c>
      <c r="FD9" s="303">
        <f t="shared" si="15"/>
        <v>0</v>
      </c>
      <c r="FE9" s="306"/>
      <c r="FF9" s="306"/>
      <c r="FG9" s="306"/>
      <c r="FH9" s="306"/>
      <c r="FI9" s="303" t="e">
        <f t="shared" si="16"/>
        <v>#REF!</v>
      </c>
      <c r="FJ9" s="303" t="e">
        <f t="shared" si="17"/>
        <v>#REF!</v>
      </c>
      <c r="FK9" s="306"/>
      <c r="FL9" s="310"/>
      <c r="FM9" s="310"/>
      <c r="FN9" s="306"/>
      <c r="FO9" s="306"/>
      <c r="FP9" s="303">
        <f t="shared" si="33"/>
        <v>0</v>
      </c>
      <c r="FQ9" s="303">
        <f>MIN(BD9,FP9)</f>
        <v>0</v>
      </c>
      <c r="FR9" s="304" t="str">
        <f t="shared" si="34"/>
        <v/>
      </c>
      <c r="FS9" s="302"/>
      <c r="FT9" s="302"/>
      <c r="FU9" s="303" t="e">
        <f>IF(AND(FP9&gt;0,FR9=1,#REF!=""),100,0)</f>
        <v>#REF!</v>
      </c>
      <c r="FV9" s="303" t="e">
        <f>MIN(BH9,FU9)</f>
        <v>#REF!</v>
      </c>
      <c r="FW9" s="304" t="str">
        <f t="shared" si="35"/>
        <v/>
      </c>
      <c r="FX9" s="306"/>
      <c r="FY9" s="306"/>
      <c r="FZ9" s="306"/>
      <c r="GA9" s="303">
        <f t="shared" si="36"/>
        <v>0</v>
      </c>
      <c r="GB9" s="303">
        <f>MIN(BM9,GA9)</f>
        <v>0</v>
      </c>
      <c r="GC9" s="304" t="str">
        <f t="shared" si="37"/>
        <v/>
      </c>
      <c r="GD9" s="306"/>
      <c r="GE9" s="306"/>
      <c r="GF9" s="306"/>
      <c r="GG9" s="303">
        <f t="shared" si="38"/>
        <v>0</v>
      </c>
      <c r="GH9" s="303">
        <f>MIN(BR9,GG9)</f>
        <v>0</v>
      </c>
      <c r="GI9" s="306"/>
      <c r="GJ9" s="306"/>
      <c r="GK9" s="303">
        <f>IF(D9="改修",MIN(500,FQ9+FV9+GB9+GH9,INT(CM9*10/2)),0)</f>
        <v>0</v>
      </c>
      <c r="GL9" s="303">
        <f>BT9-GK9</f>
        <v>0</v>
      </c>
      <c r="GM9" s="311" t="s">
        <v>436</v>
      </c>
      <c r="GN9" s="312">
        <v>43403</v>
      </c>
      <c r="GO9" s="312">
        <v>43409</v>
      </c>
      <c r="GP9" s="312">
        <v>43429</v>
      </c>
      <c r="GQ9" s="308">
        <f t="shared" si="18"/>
        <v>380</v>
      </c>
      <c r="GR9" s="308" t="e">
        <f t="shared" si="19"/>
        <v>#REF!</v>
      </c>
      <c r="GS9" s="308" t="e">
        <f t="shared" si="39"/>
        <v>#REF!</v>
      </c>
      <c r="GT9" s="165"/>
      <c r="GU9" s="165"/>
      <c r="GV9" s="165"/>
      <c r="GW9" s="165"/>
      <c r="GX9" s="165"/>
      <c r="GY9" s="165"/>
      <c r="GZ9" s="165"/>
      <c r="HA9" s="165"/>
      <c r="HB9" s="165"/>
      <c r="HC9" s="165"/>
      <c r="HD9" s="165"/>
      <c r="HE9" s="165"/>
      <c r="HF9" s="165"/>
      <c r="HG9" s="165"/>
      <c r="HH9" s="165"/>
      <c r="HI9" s="165"/>
      <c r="HJ9" s="165"/>
      <c r="HK9" s="165"/>
      <c r="HL9" s="165"/>
      <c r="HM9" s="165"/>
      <c r="HN9" s="165"/>
      <c r="HO9" s="165"/>
      <c r="HP9" s="165"/>
      <c r="HQ9" s="165"/>
      <c r="HR9" s="165"/>
      <c r="HS9" s="165"/>
      <c r="HT9" s="165"/>
      <c r="HU9" s="165"/>
      <c r="HV9" s="165"/>
      <c r="HW9" s="165"/>
      <c r="HX9" s="165"/>
      <c r="HY9" s="165"/>
      <c r="HZ9" s="165"/>
      <c r="IA9" s="165"/>
      <c r="IB9" s="165"/>
      <c r="IC9" s="165"/>
      <c r="ID9" s="165"/>
      <c r="IE9" s="165"/>
      <c r="IF9" s="165"/>
      <c r="IG9" s="165"/>
      <c r="IH9" s="165"/>
      <c r="II9" s="165"/>
      <c r="IJ9" s="165"/>
      <c r="IK9" s="165"/>
      <c r="IL9" s="165"/>
      <c r="IM9" s="165"/>
      <c r="IN9" s="165"/>
      <c r="IO9" s="165"/>
      <c r="IP9" s="165"/>
      <c r="IQ9" s="165"/>
      <c r="IR9" s="165"/>
      <c r="IS9" s="165"/>
      <c r="IT9" s="165"/>
      <c r="IU9" s="165"/>
      <c r="IV9" s="165"/>
      <c r="IW9" s="165"/>
      <c r="IX9" s="165"/>
      <c r="IY9" s="165"/>
      <c r="IZ9" s="165"/>
      <c r="JA9" s="165"/>
      <c r="JB9" s="165"/>
      <c r="JC9" s="165"/>
      <c r="JD9" s="165"/>
      <c r="JE9" s="165"/>
      <c r="JF9" s="165"/>
      <c r="JG9" s="165"/>
      <c r="JH9" s="165"/>
      <c r="JI9" s="165"/>
      <c r="JJ9" s="165"/>
      <c r="JK9" s="165"/>
      <c r="JL9" s="165"/>
      <c r="JM9" s="165"/>
      <c r="JN9" s="165"/>
      <c r="JO9" s="165"/>
      <c r="JP9" s="165"/>
      <c r="JQ9" s="165"/>
      <c r="JR9" s="165"/>
      <c r="JS9" s="165"/>
      <c r="JT9" s="165"/>
      <c r="JU9" s="165"/>
      <c r="JV9" s="165"/>
      <c r="JW9" s="165"/>
      <c r="JX9" s="165"/>
      <c r="JY9" s="165"/>
      <c r="JZ9" s="165"/>
      <c r="KA9" s="165"/>
      <c r="KB9" s="165"/>
      <c r="KC9" s="165"/>
      <c r="KD9" s="165"/>
      <c r="KE9" s="165"/>
      <c r="KF9" s="165"/>
      <c r="KG9" s="165"/>
      <c r="KH9" s="165"/>
      <c r="KI9" s="165"/>
      <c r="KJ9" s="165"/>
      <c r="KK9" s="165"/>
      <c r="KL9" s="165"/>
      <c r="KM9" s="165"/>
      <c r="KN9" s="165"/>
      <c r="KO9" s="165"/>
      <c r="KP9" s="165"/>
      <c r="KQ9" s="165"/>
      <c r="KR9" s="165"/>
      <c r="KS9" s="165"/>
      <c r="KT9" s="165"/>
      <c r="KU9" s="165"/>
      <c r="KV9" s="165"/>
      <c r="KW9" s="165"/>
      <c r="KX9" s="165"/>
      <c r="KY9" s="165"/>
      <c r="KZ9" s="165"/>
      <c r="LA9" s="165"/>
      <c r="LB9" s="165"/>
      <c r="LC9" s="165"/>
      <c r="LD9" s="165"/>
      <c r="LE9" s="165"/>
      <c r="LF9" s="165"/>
      <c r="LG9" s="165"/>
      <c r="LH9" s="165"/>
      <c r="LI9" s="165"/>
      <c r="LJ9" s="165"/>
      <c r="LK9" s="165"/>
      <c r="LL9" s="165"/>
      <c r="LM9" s="165"/>
      <c r="LN9" s="165"/>
      <c r="LO9" s="165"/>
      <c r="LP9" s="165"/>
      <c r="LQ9" s="165"/>
      <c r="LR9" s="165"/>
      <c r="LS9" s="165"/>
      <c r="LT9" s="165"/>
      <c r="LU9" s="165"/>
      <c r="LV9" s="165"/>
      <c r="LW9" s="165"/>
      <c r="LX9" s="165"/>
      <c r="LY9" s="165"/>
      <c r="LZ9" s="165"/>
      <c r="MA9" s="165"/>
      <c r="MB9" s="165"/>
      <c r="MC9" s="165"/>
      <c r="MD9" s="165"/>
      <c r="ME9" s="165"/>
      <c r="MF9" s="165"/>
      <c r="MG9" s="165"/>
      <c r="MH9" s="165"/>
      <c r="MI9" s="165"/>
      <c r="MJ9" s="165"/>
      <c r="MK9" s="165"/>
      <c r="ML9" s="165"/>
      <c r="MM9" s="165"/>
      <c r="MN9" s="165"/>
      <c r="MO9" s="165"/>
      <c r="MP9" s="165"/>
      <c r="MQ9" s="165"/>
      <c r="MR9" s="165"/>
      <c r="MS9" s="165"/>
      <c r="MT9" s="165"/>
      <c r="MU9" s="165"/>
      <c r="MV9" s="165"/>
      <c r="MW9" s="165"/>
      <c r="MX9" s="165"/>
      <c r="MY9" s="165"/>
      <c r="MZ9" s="165"/>
      <c r="NA9" s="165"/>
      <c r="NB9" s="165"/>
      <c r="NC9" s="165"/>
      <c r="ND9" s="165"/>
      <c r="NE9" s="165"/>
      <c r="NF9" s="165"/>
      <c r="NG9" s="165"/>
      <c r="NH9" s="165"/>
      <c r="NI9" s="165"/>
      <c r="NJ9" s="165"/>
      <c r="NK9" s="165"/>
      <c r="NL9" s="165"/>
      <c r="NM9" s="165"/>
      <c r="NN9" s="165"/>
      <c r="NO9" s="165"/>
      <c r="NP9" s="165"/>
      <c r="NQ9" s="165"/>
      <c r="NR9" s="165"/>
      <c r="NS9" s="165"/>
      <c r="NT9" s="165"/>
      <c r="NU9" s="165"/>
      <c r="NV9" s="165"/>
      <c r="NW9" s="165"/>
      <c r="NX9" s="165"/>
      <c r="NY9" s="165"/>
      <c r="NZ9" s="165"/>
      <c r="OA9" s="165"/>
      <c r="OB9" s="165"/>
      <c r="OC9" s="165"/>
      <c r="OD9" s="165"/>
      <c r="OE9" s="165"/>
      <c r="OF9" s="165"/>
      <c r="OG9" s="165"/>
      <c r="OH9" s="165"/>
      <c r="OI9" s="165"/>
      <c r="OJ9" s="165"/>
      <c r="OK9" s="165"/>
      <c r="OL9" s="165"/>
      <c r="OM9" s="165"/>
      <c r="ON9" s="165"/>
      <c r="OO9" s="165"/>
      <c r="OP9" s="165"/>
      <c r="OQ9" s="165"/>
      <c r="OR9" s="165"/>
      <c r="OS9" s="165"/>
      <c r="OT9" s="165"/>
      <c r="OU9" s="165"/>
      <c r="OV9" s="165"/>
      <c r="OW9" s="165"/>
      <c r="OX9" s="165"/>
      <c r="OY9" s="165"/>
      <c r="OZ9" s="165"/>
      <c r="PA9" s="165"/>
      <c r="PB9" s="165"/>
      <c r="PC9" s="165"/>
      <c r="PD9" s="165"/>
      <c r="PE9" s="165"/>
      <c r="PF9" s="165"/>
      <c r="PG9" s="165"/>
      <c r="PH9" s="165"/>
      <c r="PI9" s="165"/>
      <c r="PJ9" s="165"/>
      <c r="PK9" s="165"/>
      <c r="PL9" s="165"/>
      <c r="PM9" s="165"/>
      <c r="PN9" s="165"/>
      <c r="PO9" s="165"/>
      <c r="PP9" s="165"/>
      <c r="PQ9" s="165"/>
      <c r="PR9" s="165"/>
      <c r="PS9" s="165"/>
      <c r="PT9" s="165"/>
      <c r="PU9" s="165"/>
      <c r="PV9" s="165"/>
      <c r="PW9" s="165"/>
      <c r="PX9" s="165"/>
      <c r="PY9" s="165"/>
      <c r="PZ9" s="165"/>
      <c r="QA9" s="165"/>
      <c r="QB9" s="165"/>
      <c r="QC9" s="165"/>
      <c r="QD9" s="165"/>
      <c r="QE9" s="165"/>
      <c r="QF9" s="165"/>
      <c r="QG9" s="165"/>
      <c r="QH9" s="165"/>
      <c r="QI9" s="165"/>
      <c r="QJ9" s="165"/>
      <c r="QK9" s="165"/>
      <c r="QL9" s="165"/>
      <c r="QM9" s="165"/>
      <c r="QN9" s="165"/>
      <c r="QO9" s="165"/>
      <c r="QP9" s="165"/>
      <c r="QQ9" s="165"/>
      <c r="QR9" s="165"/>
      <c r="QS9" s="165"/>
      <c r="QT9" s="165"/>
      <c r="QU9" s="165"/>
      <c r="QV9" s="165"/>
      <c r="QW9" s="165"/>
      <c r="QX9" s="165"/>
      <c r="QY9" s="165"/>
      <c r="QZ9" s="165"/>
      <c r="RA9" s="165"/>
      <c r="RB9" s="165"/>
      <c r="RC9" s="165"/>
      <c r="RD9" s="165"/>
      <c r="RE9" s="165"/>
      <c r="RF9" s="165"/>
      <c r="RG9" s="165"/>
      <c r="RH9" s="165"/>
      <c r="RI9" s="165"/>
      <c r="RJ9" s="165"/>
      <c r="RK9" s="165"/>
      <c r="RL9" s="165"/>
      <c r="RM9" s="165"/>
      <c r="RN9" s="165"/>
      <c r="RO9" s="165"/>
      <c r="RP9" s="165"/>
      <c r="RQ9" s="165"/>
      <c r="RR9" s="165"/>
      <c r="RS9" s="165"/>
      <c r="RT9" s="165"/>
      <c r="RU9" s="165"/>
      <c r="RV9" s="165"/>
      <c r="RW9" s="165"/>
      <c r="RX9" s="165"/>
      <c r="RY9" s="165"/>
      <c r="RZ9" s="165"/>
      <c r="SA9" s="165"/>
      <c r="SB9" s="165"/>
      <c r="SC9" s="165"/>
      <c r="SD9" s="165"/>
      <c r="SE9" s="165"/>
      <c r="SF9" s="165"/>
      <c r="SG9" s="165"/>
      <c r="SH9" s="165"/>
      <c r="SI9" s="165"/>
      <c r="SJ9" s="165"/>
      <c r="SK9" s="165"/>
      <c r="SL9" s="165"/>
      <c r="SM9" s="165"/>
      <c r="SN9" s="165"/>
      <c r="SO9" s="165"/>
      <c r="SP9" s="165"/>
      <c r="SQ9" s="165"/>
      <c r="SR9" s="165"/>
      <c r="SS9" s="165"/>
      <c r="ST9" s="165"/>
      <c r="SU9" s="165"/>
      <c r="SV9" s="165"/>
      <c r="SW9" s="165"/>
      <c r="SX9" s="165"/>
      <c r="SY9" s="165"/>
      <c r="SZ9" s="165"/>
      <c r="TA9" s="165"/>
      <c r="TB9" s="165"/>
      <c r="TC9" s="165"/>
      <c r="TD9" s="165"/>
      <c r="TE9" s="165"/>
      <c r="TF9" s="165"/>
      <c r="TG9" s="165"/>
      <c r="TH9" s="165"/>
      <c r="TI9" s="165"/>
      <c r="TJ9" s="165"/>
      <c r="TK9" s="165"/>
      <c r="TL9" s="165"/>
      <c r="TM9" s="165"/>
      <c r="TN9" s="165"/>
      <c r="TO9" s="165"/>
      <c r="TP9" s="165"/>
      <c r="TQ9" s="165"/>
      <c r="TR9" s="165"/>
      <c r="TS9" s="165"/>
      <c r="TT9" s="165"/>
      <c r="TU9" s="165"/>
      <c r="TV9" s="165"/>
      <c r="TW9" s="165"/>
      <c r="TX9" s="165"/>
      <c r="TY9" s="165"/>
      <c r="TZ9" s="165"/>
      <c r="UA9" s="165"/>
      <c r="UB9" s="165"/>
      <c r="UC9" s="165"/>
      <c r="UD9" s="165"/>
      <c r="UE9" s="165"/>
      <c r="UF9" s="165"/>
      <c r="UG9" s="165"/>
      <c r="UH9" s="165"/>
      <c r="UI9" s="165"/>
      <c r="UJ9" s="165"/>
      <c r="UK9" s="165"/>
      <c r="UL9" s="165"/>
      <c r="UM9" s="165"/>
      <c r="UN9" s="165"/>
      <c r="UO9" s="165"/>
      <c r="UP9" s="165"/>
      <c r="UQ9" s="165"/>
      <c r="UR9" s="165"/>
      <c r="US9" s="165"/>
      <c r="UT9" s="165"/>
      <c r="UU9" s="165"/>
      <c r="UV9" s="165"/>
      <c r="UW9" s="165"/>
      <c r="UX9" s="165"/>
      <c r="UY9" s="165"/>
      <c r="UZ9" s="165"/>
      <c r="VA9" s="165"/>
      <c r="VB9" s="165"/>
      <c r="VC9" s="165"/>
      <c r="VD9" s="165"/>
      <c r="VE9" s="165"/>
      <c r="VF9" s="165"/>
      <c r="VG9" s="165"/>
      <c r="VH9" s="165"/>
      <c r="VI9" s="165"/>
      <c r="VJ9" s="165"/>
      <c r="VK9" s="165"/>
      <c r="VL9" s="165"/>
      <c r="VM9" s="165"/>
      <c r="VN9" s="165"/>
      <c r="VO9" s="165"/>
      <c r="VP9" s="165"/>
      <c r="VQ9" s="165"/>
      <c r="VR9" s="165"/>
      <c r="VS9" s="165"/>
      <c r="VT9" s="165"/>
      <c r="VU9" s="165"/>
      <c r="VV9" s="165"/>
      <c r="VW9" s="165"/>
      <c r="VX9" s="165"/>
      <c r="VY9" s="165"/>
      <c r="VZ9" s="165"/>
      <c r="WA9" s="165"/>
      <c r="WB9" s="165"/>
      <c r="WC9" s="165"/>
      <c r="WD9" s="165"/>
      <c r="WE9" s="165"/>
      <c r="WF9" s="165"/>
      <c r="WG9" s="165"/>
      <c r="WH9" s="165"/>
      <c r="WI9" s="165"/>
      <c r="WJ9" s="165"/>
      <c r="WK9" s="165"/>
      <c r="WL9" s="165"/>
      <c r="WM9" s="165"/>
      <c r="WN9" s="165"/>
      <c r="WO9" s="165"/>
      <c r="WP9" s="165"/>
      <c r="WQ9" s="165"/>
      <c r="WR9" s="165"/>
      <c r="WS9" s="165"/>
      <c r="WT9" s="165"/>
      <c r="WU9" s="165"/>
      <c r="WV9" s="165"/>
      <c r="WW9" s="165"/>
      <c r="WX9" s="165"/>
      <c r="WY9" s="165"/>
      <c r="WZ9" s="165"/>
      <c r="XA9" s="165"/>
      <c r="XB9" s="165"/>
      <c r="XC9" s="165"/>
      <c r="XD9" s="165"/>
      <c r="XE9" s="165"/>
      <c r="XF9" s="165"/>
      <c r="XG9" s="165"/>
      <c r="XH9" s="165"/>
      <c r="XI9" s="165"/>
      <c r="XJ9" s="165"/>
      <c r="XK9" s="165"/>
      <c r="XL9" s="165"/>
      <c r="XM9" s="165"/>
      <c r="XN9" s="165"/>
      <c r="XO9" s="165"/>
      <c r="XP9" s="165"/>
      <c r="XQ9" s="165"/>
      <c r="XR9" s="165"/>
      <c r="XS9" s="165"/>
      <c r="XT9" s="165"/>
      <c r="XU9" s="165"/>
      <c r="XV9" s="165"/>
      <c r="XW9" s="165"/>
      <c r="XX9" s="165"/>
      <c r="XY9" s="165"/>
      <c r="XZ9" s="165"/>
      <c r="YA9" s="165"/>
      <c r="YB9" s="165"/>
      <c r="YC9" s="165"/>
      <c r="YD9" s="165"/>
      <c r="YE9" s="165"/>
      <c r="YF9" s="165"/>
      <c r="YG9" s="165"/>
      <c r="YH9" s="165"/>
      <c r="YI9" s="165"/>
      <c r="YJ9" s="165"/>
      <c r="YK9" s="165"/>
      <c r="YL9" s="165"/>
      <c r="YM9" s="165"/>
      <c r="YN9" s="165"/>
      <c r="YO9" s="165"/>
      <c r="YP9" s="165"/>
      <c r="YQ9" s="165"/>
      <c r="YR9" s="165"/>
      <c r="YS9" s="165"/>
      <c r="YT9" s="165"/>
      <c r="YU9" s="165"/>
      <c r="YV9" s="165"/>
      <c r="YW9" s="165"/>
      <c r="YX9" s="165"/>
      <c r="YY9" s="165"/>
      <c r="YZ9" s="165"/>
      <c r="ZA9" s="165"/>
      <c r="ZB9" s="165"/>
      <c r="ZC9" s="165"/>
      <c r="ZD9" s="165"/>
      <c r="ZE9" s="165"/>
      <c r="ZF9" s="165"/>
      <c r="ZG9" s="165"/>
      <c r="ZH9" s="165"/>
      <c r="ZI9" s="165"/>
      <c r="ZJ9" s="165"/>
      <c r="ZK9" s="165"/>
      <c r="ZL9" s="165"/>
      <c r="ZM9" s="165"/>
      <c r="ZN9" s="165"/>
      <c r="ZO9" s="165"/>
      <c r="ZP9" s="165"/>
      <c r="ZQ9" s="165"/>
      <c r="ZR9" s="165"/>
      <c r="ZS9" s="165"/>
      <c r="ZT9" s="165"/>
      <c r="ZU9" s="165"/>
      <c r="ZV9" s="165"/>
      <c r="ZW9" s="165"/>
      <c r="ZX9" s="165"/>
      <c r="ZY9" s="165"/>
      <c r="ZZ9" s="165"/>
      <c r="AAA9" s="165"/>
      <c r="AAB9" s="165"/>
      <c r="AAC9" s="165"/>
      <c r="AAD9" s="165"/>
      <c r="AAE9" s="165"/>
      <c r="AAF9" s="165"/>
      <c r="AAG9" s="165"/>
      <c r="AAH9" s="165"/>
      <c r="AAI9" s="165"/>
      <c r="AAJ9" s="165"/>
      <c r="AAK9" s="165"/>
      <c r="AAL9" s="165"/>
      <c r="AAM9" s="165"/>
      <c r="AAN9" s="165"/>
      <c r="AAO9" s="165"/>
      <c r="AAP9" s="165"/>
      <c r="AAQ9" s="165"/>
      <c r="AAR9" s="165"/>
      <c r="AAS9" s="165"/>
      <c r="AAT9" s="165"/>
      <c r="AAU9" s="165"/>
      <c r="AAV9" s="165"/>
      <c r="AAW9" s="165"/>
      <c r="AAX9" s="165"/>
      <c r="AAY9" s="165"/>
      <c r="AAZ9" s="165"/>
      <c r="ABA9" s="165"/>
      <c r="ABB9" s="165"/>
      <c r="ABC9" s="165"/>
      <c r="ABD9" s="165"/>
      <c r="ABE9" s="165"/>
      <c r="ABF9" s="165"/>
      <c r="ABG9" s="165"/>
      <c r="ABH9" s="165"/>
      <c r="ABI9" s="165"/>
      <c r="ABJ9" s="165"/>
      <c r="ABK9" s="165"/>
      <c r="ABL9" s="165"/>
      <c r="ABM9" s="165"/>
      <c r="ABN9" s="165"/>
      <c r="ABO9" s="165"/>
      <c r="ABP9" s="165"/>
      <c r="ABQ9" s="165"/>
      <c r="ABR9" s="165"/>
      <c r="ABS9" s="165"/>
      <c r="ABT9" s="165"/>
      <c r="ABU9" s="165"/>
      <c r="ABV9" s="165"/>
      <c r="ABW9" s="165"/>
      <c r="ABX9" s="165"/>
      <c r="ABY9" s="165"/>
      <c r="ABZ9" s="165"/>
      <c r="ACA9" s="165"/>
      <c r="ACB9" s="165"/>
      <c r="ACC9" s="165"/>
      <c r="ACD9" s="165"/>
      <c r="ACE9" s="165"/>
      <c r="ACF9" s="165"/>
      <c r="ACG9" s="165"/>
      <c r="ACH9" s="165"/>
      <c r="ACI9" s="165"/>
      <c r="ACJ9" s="165"/>
      <c r="ACK9" s="165"/>
      <c r="ACL9" s="165"/>
      <c r="ACM9" s="165"/>
      <c r="ACN9" s="165"/>
      <c r="ACO9" s="165"/>
      <c r="ACP9" s="165"/>
      <c r="ACQ9" s="165"/>
      <c r="ACR9" s="165"/>
      <c r="ACS9" s="165"/>
      <c r="ACT9" s="165"/>
      <c r="ACU9" s="165"/>
      <c r="ACV9" s="165"/>
      <c r="ACW9" s="165"/>
      <c r="ACX9" s="165"/>
      <c r="ACY9" s="165"/>
      <c r="ACZ9" s="165"/>
      <c r="ADA9" s="165"/>
      <c r="ADB9" s="165"/>
      <c r="ADC9" s="165"/>
      <c r="ADD9" s="165"/>
      <c r="ADE9" s="165"/>
      <c r="ADF9" s="165"/>
      <c r="ADG9" s="165"/>
      <c r="ADH9" s="165"/>
      <c r="ADI9" s="165"/>
      <c r="ADJ9" s="165"/>
      <c r="ADK9" s="165"/>
      <c r="ADL9" s="165"/>
      <c r="ADM9" s="165"/>
      <c r="ADN9" s="165"/>
      <c r="ADO9" s="165"/>
      <c r="ADP9" s="165"/>
      <c r="ADQ9" s="165"/>
      <c r="ADR9" s="165"/>
      <c r="ADS9" s="165"/>
      <c r="ADT9" s="165"/>
      <c r="ADU9" s="165"/>
      <c r="ADV9" s="165"/>
      <c r="ADW9" s="165"/>
      <c r="ADX9" s="165"/>
      <c r="ADY9" s="165"/>
      <c r="ADZ9" s="165"/>
      <c r="AEA9" s="165"/>
      <c r="AEB9" s="165"/>
      <c r="AEC9" s="165"/>
      <c r="AED9" s="165"/>
      <c r="AEE9" s="165"/>
      <c r="AEF9" s="165"/>
      <c r="AEG9" s="165"/>
      <c r="AEH9" s="165"/>
      <c r="AEI9" s="165"/>
      <c r="AEJ9" s="165"/>
      <c r="AEK9" s="165"/>
      <c r="AEL9" s="165"/>
      <c r="AEM9" s="165"/>
      <c r="AEN9" s="165"/>
      <c r="AEO9" s="165"/>
      <c r="AEP9" s="165"/>
      <c r="AEQ9" s="165"/>
      <c r="AER9" s="165"/>
      <c r="AES9" s="165"/>
      <c r="AET9" s="165"/>
      <c r="AEU9" s="165"/>
      <c r="AEV9" s="165"/>
      <c r="AEW9" s="165"/>
      <c r="AEX9" s="165"/>
      <c r="AEY9" s="165"/>
      <c r="AEZ9" s="165"/>
      <c r="AFA9" s="165"/>
      <c r="AFB9" s="165"/>
      <c r="AFC9" s="165"/>
      <c r="AFD9" s="165"/>
      <c r="AFE9" s="165"/>
      <c r="AFF9" s="165"/>
      <c r="AFG9" s="165"/>
      <c r="AFH9" s="165"/>
      <c r="AFI9" s="165"/>
      <c r="AFJ9" s="165"/>
      <c r="AFK9" s="165"/>
      <c r="AFL9" s="165"/>
      <c r="AFM9" s="165"/>
      <c r="AFN9" s="165"/>
      <c r="AFO9" s="165"/>
      <c r="AFP9" s="165"/>
      <c r="AFQ9" s="165"/>
      <c r="AFR9" s="165"/>
      <c r="AFS9" s="165"/>
      <c r="AFT9" s="165"/>
      <c r="AFU9" s="165"/>
      <c r="AFV9" s="165"/>
      <c r="AFW9" s="165"/>
      <c r="AFX9" s="165"/>
      <c r="AFY9" s="165"/>
      <c r="AFZ9" s="165"/>
      <c r="AGA9" s="165"/>
      <c r="AGB9" s="165"/>
      <c r="AGC9" s="165"/>
      <c r="AGD9" s="165"/>
      <c r="AGE9" s="165"/>
      <c r="AGF9" s="165"/>
      <c r="AGG9" s="165"/>
      <c r="AGH9" s="165"/>
      <c r="AGI9" s="165"/>
      <c r="AGJ9" s="165"/>
      <c r="AGK9" s="165"/>
      <c r="AGL9" s="165"/>
      <c r="AGM9" s="165"/>
      <c r="AGN9" s="165"/>
      <c r="AGO9" s="165"/>
      <c r="AGP9" s="165"/>
      <c r="AGQ9" s="165"/>
      <c r="AGR9" s="165"/>
      <c r="AGS9" s="165"/>
      <c r="AGT9" s="165"/>
      <c r="AGU9" s="165"/>
    </row>
    <row r="10" spans="1:879" ht="12" customHeight="1" x14ac:dyDescent="0.15">
      <c r="B10" s="317" t="str">
        <f t="shared" si="0"/>
        <v/>
      </c>
      <c r="C10" s="318"/>
      <c r="D10" s="319"/>
      <c r="E10" s="320" t="str">
        <f t="shared" si="20"/>
        <v/>
      </c>
      <c r="F10" s="321"/>
      <c r="G10" s="321"/>
      <c r="H10" s="322"/>
      <c r="I10" s="321"/>
      <c r="J10" s="319"/>
      <c r="K10" s="321"/>
      <c r="L10" s="319"/>
      <c r="M10" s="319"/>
      <c r="N10" s="323"/>
      <c r="O10" s="324"/>
      <c r="P10" s="324"/>
      <c r="Q10" s="324">
        <f t="shared" si="40"/>
        <v>0</v>
      </c>
      <c r="R10" s="324" t="str">
        <f t="shared" si="41"/>
        <v/>
      </c>
      <c r="S10" s="324"/>
      <c r="T10" s="325">
        <f t="shared" si="42"/>
        <v>0</v>
      </c>
      <c r="U10" s="324" t="str">
        <f t="shared" si="43"/>
        <v/>
      </c>
      <c r="V10" s="324"/>
      <c r="W10" s="325">
        <f t="shared" si="44"/>
        <v>0</v>
      </c>
      <c r="X10" s="324" t="str">
        <f t="shared" si="45"/>
        <v/>
      </c>
      <c r="Y10" s="324"/>
      <c r="Z10" s="324">
        <f t="shared" si="46"/>
        <v>0</v>
      </c>
      <c r="AA10" s="324">
        <f t="shared" si="1"/>
        <v>0</v>
      </c>
      <c r="AB10" s="324" t="str">
        <f t="shared" si="47"/>
        <v/>
      </c>
      <c r="AC10" s="324"/>
      <c r="AD10" s="324">
        <f t="shared" si="2"/>
        <v>0</v>
      </c>
      <c r="AE10" s="324" t="str">
        <f t="shared" si="48"/>
        <v/>
      </c>
      <c r="AF10" s="324"/>
      <c r="AG10" s="324"/>
      <c r="AH10" s="324">
        <f>IF(AND(Q10&gt;0,AE10=1,),100,0)</f>
        <v>0</v>
      </c>
      <c r="AI10" s="324" t="str">
        <f t="shared" si="49"/>
        <v/>
      </c>
      <c r="AJ10" s="324"/>
      <c r="AK10" s="324"/>
      <c r="AL10" s="324">
        <f t="shared" si="3"/>
        <v>0</v>
      </c>
      <c r="AM10" s="324" t="str">
        <f t="shared" si="50"/>
        <v/>
      </c>
      <c r="AN10" s="324"/>
      <c r="AO10" s="324"/>
      <c r="AP10" s="324"/>
      <c r="AQ10" s="324"/>
      <c r="AR10" s="324"/>
      <c r="AS10" s="324"/>
      <c r="AT10" s="324"/>
      <c r="AU10" s="324">
        <f t="shared" si="51"/>
        <v>0</v>
      </c>
      <c r="AV10" s="324">
        <f t="shared" si="52"/>
        <v>0</v>
      </c>
      <c r="AW10" s="324"/>
      <c r="AX10" s="324"/>
      <c r="AY10" s="324"/>
      <c r="AZ10" s="324">
        <f t="shared" si="4"/>
        <v>0</v>
      </c>
      <c r="BA10" s="324"/>
      <c r="BB10" s="326"/>
      <c r="BC10" s="324"/>
      <c r="BD10" s="324">
        <f t="shared" si="53"/>
        <v>0</v>
      </c>
      <c r="BE10" s="324" t="str">
        <f t="shared" si="54"/>
        <v/>
      </c>
      <c r="BF10" s="324"/>
      <c r="BG10" s="324"/>
      <c r="BH10" s="324" t="e">
        <f>IF(AND(BD10&gt;0,BE10=1,#REF!=""),100,0)</f>
        <v>#REF!</v>
      </c>
      <c r="BI10" s="324" t="str">
        <f t="shared" si="55"/>
        <v/>
      </c>
      <c r="BJ10" s="324"/>
      <c r="BK10" s="324"/>
      <c r="BL10" s="324"/>
      <c r="BM10" s="324">
        <f t="shared" si="56"/>
        <v>0</v>
      </c>
      <c r="BN10" s="324" t="str">
        <f t="shared" si="57"/>
        <v/>
      </c>
      <c r="BO10" s="324"/>
      <c r="BP10" s="324"/>
      <c r="BQ10" s="324"/>
      <c r="BR10" s="324">
        <f t="shared" si="58"/>
        <v>0</v>
      </c>
      <c r="BS10" s="324"/>
      <c r="BT10" s="324">
        <f>IF(D10="改修",MIN(500,BD10+BH10+BM10+BR10,INT(CM10*10/2)),0)</f>
        <v>0</v>
      </c>
      <c r="BU10" s="344"/>
      <c r="BV10" s="345"/>
      <c r="BW10" s="345"/>
      <c r="BX10" s="345"/>
      <c r="BY10" s="345"/>
      <c r="BZ10" s="346"/>
      <c r="CA10" s="344"/>
      <c r="CB10" s="345"/>
      <c r="CC10" s="345"/>
      <c r="CD10" s="345"/>
      <c r="CE10" s="345"/>
      <c r="CF10" s="346"/>
      <c r="CG10" s="322"/>
      <c r="CH10" s="327">
        <f t="shared" si="59"/>
        <v>0</v>
      </c>
      <c r="CI10" s="321"/>
      <c r="CJ10" s="321"/>
      <c r="CK10" s="319"/>
      <c r="CL10" s="321"/>
      <c r="CM10" s="328"/>
      <c r="CN10" s="319"/>
      <c r="CO10" s="322"/>
      <c r="CP10" s="321"/>
      <c r="CQ10" s="321"/>
      <c r="CR10" s="322"/>
      <c r="CS10" s="322"/>
      <c r="CT10" s="321"/>
      <c r="CU10" s="321"/>
      <c r="CV10" s="321"/>
      <c r="CW10" s="321"/>
      <c r="CX10" s="321"/>
      <c r="CY10" s="321"/>
      <c r="CZ10" s="321"/>
      <c r="DA10" s="321"/>
      <c r="DB10" s="321"/>
      <c r="DC10" s="321"/>
      <c r="DD10" s="321"/>
      <c r="DE10" s="321"/>
      <c r="DF10" s="321"/>
      <c r="DG10" s="321"/>
      <c r="DH10" s="321"/>
      <c r="DI10" s="321"/>
      <c r="DJ10" s="321"/>
      <c r="DK10" s="329"/>
      <c r="DL10" s="324"/>
      <c r="DM10" s="324"/>
      <c r="DN10" s="324"/>
      <c r="DO10" s="324">
        <f t="shared" si="5"/>
        <v>0</v>
      </c>
      <c r="DP10" s="324">
        <f t="shared" si="6"/>
        <v>0</v>
      </c>
      <c r="DQ10" s="324" t="str">
        <f t="shared" si="21"/>
        <v/>
      </c>
      <c r="DR10" s="324"/>
      <c r="DS10" s="324"/>
      <c r="DT10" s="325">
        <f t="shared" si="22"/>
        <v>0</v>
      </c>
      <c r="DU10" s="324">
        <f t="shared" si="7"/>
        <v>0</v>
      </c>
      <c r="DV10" s="324" t="str">
        <f t="shared" si="23"/>
        <v/>
      </c>
      <c r="DW10" s="324"/>
      <c r="DX10" s="324"/>
      <c r="DY10" s="325">
        <f t="shared" si="24"/>
        <v>0</v>
      </c>
      <c r="DZ10" s="324">
        <f t="shared" si="8"/>
        <v>0</v>
      </c>
      <c r="EA10" s="324" t="str">
        <f t="shared" si="25"/>
        <v/>
      </c>
      <c r="EB10" s="324"/>
      <c r="EC10" s="324">
        <f t="shared" si="9"/>
        <v>0</v>
      </c>
      <c r="ED10" s="324" t="str">
        <f t="shared" si="26"/>
        <v/>
      </c>
      <c r="EE10" s="324"/>
      <c r="EF10" s="324"/>
      <c r="EG10" s="324">
        <f t="shared" si="27"/>
        <v>0</v>
      </c>
      <c r="EH10" s="324">
        <f t="shared" si="10"/>
        <v>0</v>
      </c>
      <c r="EI10" s="324">
        <f t="shared" si="11"/>
        <v>0</v>
      </c>
      <c r="EJ10" s="324" t="str">
        <f t="shared" si="28"/>
        <v/>
      </c>
      <c r="EK10" s="324"/>
      <c r="EL10" s="324"/>
      <c r="EM10" s="324" t="e">
        <f>IF(AND(DO10&gt;0,EJ10=1,[1]【様式第６号】事業報告書兼チェックシート!B61=""),100,0)</f>
        <v>#REF!</v>
      </c>
      <c r="EN10" s="324" t="e">
        <f t="shared" si="12"/>
        <v>#REF!</v>
      </c>
      <c r="EO10" s="324" t="str">
        <f t="shared" si="29"/>
        <v/>
      </c>
      <c r="EP10" s="324"/>
      <c r="EQ10" s="324"/>
      <c r="ER10" s="324">
        <f t="shared" si="13"/>
        <v>0</v>
      </c>
      <c r="ES10" s="324">
        <f t="shared" si="14"/>
        <v>0</v>
      </c>
      <c r="ET10" s="324" t="str">
        <f t="shared" si="30"/>
        <v/>
      </c>
      <c r="EU10" s="324"/>
      <c r="EV10" s="324"/>
      <c r="EW10" s="324"/>
      <c r="EX10" s="324"/>
      <c r="EY10" s="324"/>
      <c r="EZ10" s="324"/>
      <c r="FA10" s="324"/>
      <c r="FB10" s="324">
        <f t="shared" si="31"/>
        <v>0</v>
      </c>
      <c r="FC10" s="324">
        <f t="shared" si="32"/>
        <v>0</v>
      </c>
      <c r="FD10" s="324">
        <f t="shared" si="15"/>
        <v>0</v>
      </c>
      <c r="FE10" s="324"/>
      <c r="FF10" s="324"/>
      <c r="FG10" s="324"/>
      <c r="FH10" s="324"/>
      <c r="FI10" s="324">
        <f t="shared" si="16"/>
        <v>0</v>
      </c>
      <c r="FJ10" s="324">
        <f t="shared" si="17"/>
        <v>0</v>
      </c>
      <c r="FK10" s="324"/>
      <c r="FL10" s="330"/>
      <c r="FM10" s="330"/>
      <c r="FN10" s="324"/>
      <c r="FO10" s="324"/>
      <c r="FP10" s="324">
        <f t="shared" si="33"/>
        <v>0</v>
      </c>
      <c r="FQ10" s="324">
        <f>MIN(BD10,FP10)</f>
        <v>0</v>
      </c>
      <c r="FR10" s="324" t="str">
        <f t="shared" si="34"/>
        <v/>
      </c>
      <c r="FS10" s="324"/>
      <c r="FT10" s="324"/>
      <c r="FU10" s="324" t="e">
        <f>IF(AND(FP10&gt;0,FR10=1,#REF!=""),100,0)</f>
        <v>#REF!</v>
      </c>
      <c r="FV10" s="324" t="e">
        <f>MIN(BH10,FU10)</f>
        <v>#REF!</v>
      </c>
      <c r="FW10" s="324" t="str">
        <f t="shared" si="35"/>
        <v/>
      </c>
      <c r="FX10" s="324"/>
      <c r="FY10" s="324"/>
      <c r="FZ10" s="324"/>
      <c r="GA10" s="324">
        <f t="shared" si="36"/>
        <v>0</v>
      </c>
      <c r="GB10" s="324">
        <f>MIN(BM10,GA10)</f>
        <v>0</v>
      </c>
      <c r="GC10" s="324" t="str">
        <f t="shared" si="37"/>
        <v/>
      </c>
      <c r="GD10" s="324"/>
      <c r="GE10" s="324"/>
      <c r="GF10" s="324"/>
      <c r="GG10" s="324">
        <f t="shared" si="38"/>
        <v>0</v>
      </c>
      <c r="GH10" s="324">
        <f>MIN(BR10,GG10)</f>
        <v>0</v>
      </c>
      <c r="GI10" s="324"/>
      <c r="GJ10" s="324"/>
      <c r="GK10" s="324">
        <f>IF(D10="改修",MIN(500,FQ10+FV10+GB10+GH10,INT(CM10*10/2)),0)</f>
        <v>0</v>
      </c>
      <c r="GL10" s="324">
        <f>BT10-GK10</f>
        <v>0</v>
      </c>
      <c r="GM10" s="321"/>
      <c r="GN10" s="322"/>
      <c r="GO10" s="322"/>
      <c r="GP10" s="322"/>
      <c r="GQ10" s="308">
        <f t="shared" si="18"/>
        <v>0</v>
      </c>
      <c r="GR10" s="308">
        <f t="shared" si="19"/>
        <v>0</v>
      </c>
      <c r="GS10" s="308">
        <f t="shared" si="39"/>
        <v>0</v>
      </c>
    </row>
    <row r="11" spans="1:879" s="314" customFormat="1" ht="30" customHeight="1" outlineLevel="1" x14ac:dyDescent="0.15">
      <c r="A11" s="314" t="s">
        <v>475</v>
      </c>
      <c r="B11" s="296" t="str">
        <f t="shared" si="0"/>
        <v/>
      </c>
      <c r="C11" s="331"/>
      <c r="D11" s="339" t="s">
        <v>420</v>
      </c>
      <c r="E11" s="299" t="str">
        <f t="shared" si="20"/>
        <v/>
      </c>
      <c r="F11" s="300"/>
      <c r="G11" s="316"/>
      <c r="H11" s="301"/>
      <c r="I11" s="338" t="str">
        <f>IF('【様式第６号】事業計画書兼チェックシート（新築）'!N12="","",'【様式第６号】事業計画書兼チェックシート（新築）'!N12)</f>
        <v/>
      </c>
      <c r="J11" s="339" t="str">
        <f>IF('【様式第６号】事業計画書兼チェックシート（新築）'!O10="","",'【様式第６号】事業計画書兼チェックシート（新築）'!O10)</f>
        <v/>
      </c>
      <c r="K11" s="338" t="str">
        <f>IF('【様式第６号】事業計画書兼チェックシート（新築）'!N11="","",'【様式第６号】事業計画書兼チェックシート（新築）'!N11)</f>
        <v/>
      </c>
      <c r="L11" s="341" t="str">
        <f>IF('【様式第６号】事業計画書兼チェックシート（新築）'!N13="","",'【様式第６号】事業計画書兼チェックシート（新築）'!N13)</f>
        <v/>
      </c>
      <c r="M11" s="339" t="str">
        <f>IF('【様式第６号】事業計画書兼チェックシート（新築）'!M28="","",'【様式第６号】事業計画書兼チェックシート（新築）'!M28)</f>
        <v>境港市</v>
      </c>
      <c r="N11" s="340" t="str">
        <f>IF('【様式第６号】事業計画書兼チェックシート（新築）'!I29="","",'【様式第６号】事業計画書兼チェックシート（新築）'!I29)</f>
        <v/>
      </c>
      <c r="O11" s="304" t="str">
        <f>IF('【様式第６号】事業計画書兼チェックシート（新築）'!Q100="","",'【様式第６号】事業計画書兼チェックシート（新築）'!Q100)</f>
        <v/>
      </c>
      <c r="P11" s="304">
        <f>IF('【様式第６号】事業計画書兼チェックシート（新築）'!Q101="",0,'【様式第６号】事業計画書兼チェックシート（新築）'!Q101)</f>
        <v>0</v>
      </c>
      <c r="Q11" s="303">
        <f>IF(P11="",0,IF(P11&gt;=10,150,0))</f>
        <v>0</v>
      </c>
      <c r="R11" s="304" t="str">
        <f>IF(S11="","",IF(S11&gt;=1,1,""))</f>
        <v/>
      </c>
      <c r="S11" s="304">
        <f>IF('【様式第６号】事業計画書兼チェックシート（新築）'!Q102="",0,'【様式第６号】事業計画書兼チェックシート（新築）'!Q102)</f>
        <v>0</v>
      </c>
      <c r="T11" s="305">
        <f t="shared" si="42"/>
        <v>0</v>
      </c>
      <c r="U11" s="304" t="str">
        <f>IF(V11="","",IF(V11&gt;=1,1,""))</f>
        <v/>
      </c>
      <c r="V11" s="304">
        <f>IF('【様式第６号】事業計画書兼チェックシート（新築）'!Q103="",0,'【様式第６号】事業計画書兼チェックシート（新築）'!Q103)</f>
        <v>0</v>
      </c>
      <c r="W11" s="305">
        <f t="shared" si="44"/>
        <v>0</v>
      </c>
      <c r="X11" s="304" t="str">
        <f>IF(Y11="","",IF(Y11&gt;=1,1,""))</f>
        <v/>
      </c>
      <c r="Y11" s="304">
        <f>IF('【様式第６号】事業計画書兼チェックシート（新築）'!Q104="",0,'【様式第６号】事業計画書兼チェックシート（新築）'!Q104)</f>
        <v>0</v>
      </c>
      <c r="Z11" s="304">
        <f>IF(Y11="",0,IF(Y11&gt;=1,50,0))</f>
        <v>0</v>
      </c>
      <c r="AA11" s="303">
        <f>IF(OR(AD11&gt;0,Z11&gt;0),MIN(AD11+Z11,150),0)</f>
        <v>0</v>
      </c>
      <c r="AB11" s="304" t="str">
        <f>IF(AC11="","",IF(AC11&gt;=1,1,""))</f>
        <v/>
      </c>
      <c r="AC11" s="304">
        <f>IF('【様式第６号】事業計画書兼チェックシート（新築）'!Q105="",0,'【様式第６号】事業計画書兼チェックシート（新築）'!Q105)</f>
        <v>0</v>
      </c>
      <c r="AD11" s="304">
        <f>IF(AND(Q11&gt;0,AC11&gt;=1),MIN(INT(AC11)*2,150),0)</f>
        <v>0</v>
      </c>
      <c r="AE11" s="356" t="str">
        <f>IF(OR(AF11=1,AG11=1),1,"")</f>
        <v/>
      </c>
      <c r="AF11" s="304">
        <f>IF('【様式第６号】事業計画書兼チェックシート（新築）'!Y124="",0,IF('【様式第６号】事業計画書兼チェックシート（新築）'!B126="","",1))</f>
        <v>0</v>
      </c>
      <c r="AG11" s="304">
        <f>IF('【様式第６号】事業計画書兼チェックシート（新築）'!Y124="",0,IF('【様式第６号】事業計画書兼チェックシート（新築）'!P126="","",1))</f>
        <v>0</v>
      </c>
      <c r="AH11" s="357" t="str">
        <f>IFERROR('【様式第６号】事業計画書兼チェックシート（新築）'!Y124*10,"0")</f>
        <v>0</v>
      </c>
      <c r="AI11" s="304" t="str">
        <f>IF(OR(AJ11=1,AK11=1),1,"")</f>
        <v/>
      </c>
      <c r="AJ11" s="304">
        <f>IF('【様式第６号】事業計画書兼チェックシート（新築）'!Y139="",0,IF('【様式第６号】事業計画書兼チェックシート（新築）'!B149="","",1))</f>
        <v>0</v>
      </c>
      <c r="AK11" s="304">
        <f>IF('【様式第６号】事業計画書兼チェックシート（新築）'!Y139="",0,IF('【様式第６号】事業計画書兼チェックシート（新築）'!B149="",1,""))</f>
        <v>0</v>
      </c>
      <c r="AL11" s="358" t="str">
        <f>IFERROR('【様式第６号】事業計画書兼チェックシート（新築）'!Y139*10,"0")</f>
        <v>0</v>
      </c>
      <c r="AM11" s="304" t="str">
        <f t="shared" si="50"/>
        <v/>
      </c>
      <c r="AN11" s="304" t="str">
        <f>IF('【様式第６号】事業計画書兼チェックシート（新築）'!F174="","",'【様式第６号】事業計画書兼チェックシート（新築）'!F174)</f>
        <v/>
      </c>
      <c r="AO11" s="304" t="str">
        <f>IF('【様式第６号】事業計画書兼チェックシート（新築）'!F179="","",'【様式第６号】事業計画書兼チェックシート（新築）'!F179)</f>
        <v/>
      </c>
      <c r="AP11" s="304" t="str">
        <f>IF('【様式第６号】事業計画書兼チェックシート（新築）'!F186="","",'【様式第６号】事業計画書兼チェックシート（新築）'!F186)</f>
        <v/>
      </c>
      <c r="AQ11" s="304" t="str">
        <f>IF('【様式第６号】事業計画書兼チェックシート（新築）'!F194="","",'【様式第６号】事業計画書兼チェックシート（新築）'!F194)</f>
        <v/>
      </c>
      <c r="AR11" s="304" t="str">
        <f>IF('【様式第６号】事業計画書兼チェックシート（新築）'!F202="","",'【様式第６号】事業計画書兼チェックシート（新築）'!F202)</f>
        <v/>
      </c>
      <c r="AS11" s="304" t="str">
        <f>IF('【様式第６号】事業計画書兼チェックシート（新築）'!F212="","",'【様式第６号】事業計画書兼チェックシート（新築）'!F212)</f>
        <v/>
      </c>
      <c r="AT11" s="304" t="str">
        <f>IF('【様式第６号】事業計画書兼チェックシート（新築）'!F219="","",'【様式第６号】事業計画書兼チェックシート（新築）'!F219)</f>
        <v/>
      </c>
      <c r="AU11" s="304">
        <f t="shared" si="51"/>
        <v>0</v>
      </c>
      <c r="AV11" s="303">
        <f>IF(AU11&gt;=4,200,0)</f>
        <v>0</v>
      </c>
      <c r="AW11" s="304" t="str">
        <f>IF('【様式第６号】事業計画書兼チェックシート（新築）'!N195="","",'【様式第６号】事業計画書兼チェックシート（新築）'!N195)</f>
        <v/>
      </c>
      <c r="AX11" s="388" t="str">
        <f>IF('【様式第６号】事業計画書兼チェックシート（新築）'!R188="","",'【様式第６号】事業計画書兼チェックシート（新築）'!R188)</f>
        <v/>
      </c>
      <c r="AY11" s="388" t="str">
        <f>IF('【様式第６号】事業計画書兼チェックシート（新築）'!R189="","",'【様式第６号】事業計画書兼チェックシート（新築）'!R189)</f>
        <v/>
      </c>
      <c r="AZ11" s="386">
        <f t="shared" si="4"/>
        <v>0</v>
      </c>
      <c r="BA11" s="306"/>
      <c r="BB11" s="307"/>
      <c r="BC11" s="306"/>
      <c r="BD11" s="303"/>
      <c r="BE11" s="304"/>
      <c r="BF11" s="302"/>
      <c r="BG11" s="302"/>
      <c r="BH11" s="303"/>
      <c r="BI11" s="304"/>
      <c r="BJ11" s="306"/>
      <c r="BK11" s="306"/>
      <c r="BL11" s="306"/>
      <c r="BM11" s="303"/>
      <c r="BN11" s="304"/>
      <c r="BO11" s="306"/>
      <c r="BP11" s="306"/>
      <c r="BQ11" s="306"/>
      <c r="BR11" s="303"/>
      <c r="BS11" s="306"/>
      <c r="BT11" s="303"/>
      <c r="BU11" s="349" t="str">
        <f>IF('【様式第６号】事業計画書兼チェックシート（新築）'!N37="","",'【様式第６号】事業計画書兼チェックシート（新築）'!N37)</f>
        <v/>
      </c>
      <c r="BV11" s="350" t="s">
        <v>8</v>
      </c>
      <c r="BW11" s="350" t="str">
        <f>IF('【様式第６号】事業計画書兼チェックシート（新築）'!S37="","",'【様式第６号】事業計画書兼チェックシート（新築）'!S37)</f>
        <v/>
      </c>
      <c r="BX11" s="350" t="s">
        <v>272</v>
      </c>
      <c r="BY11" s="350" t="str">
        <f>IF('【様式第６号】事業計画書兼チェックシート（新築）'!V37="","",'【様式第６号】事業計画書兼チェックシート（新築）'!V37)</f>
        <v/>
      </c>
      <c r="BZ11" s="351" t="s">
        <v>7</v>
      </c>
      <c r="CA11" s="349" t="str">
        <f>IF('【様式第６号】事業計画書兼チェックシート（新築）'!N38="","",'【様式第６号】事業計画書兼チェックシート（新築）'!N38)</f>
        <v/>
      </c>
      <c r="CB11" s="350" t="s">
        <v>8</v>
      </c>
      <c r="CC11" s="350" t="str">
        <f>IF('【様式第６号】事業計画書兼チェックシート（新築）'!S38="","",'【様式第６号】事業計画書兼チェックシート（新築）'!S38)</f>
        <v/>
      </c>
      <c r="CD11" s="350" t="s">
        <v>272</v>
      </c>
      <c r="CE11" s="350" t="str">
        <f>IF('【様式第６号】事業計画書兼チェックシート（新築）'!V38="","",'【様式第６号】事業計画書兼チェックシート（新築）'!V38)</f>
        <v/>
      </c>
      <c r="CF11" s="351" t="s">
        <v>7</v>
      </c>
      <c r="CG11" s="343"/>
      <c r="CH11" s="308">
        <f t="shared" si="59"/>
        <v>0</v>
      </c>
      <c r="CI11" s="338" t="str">
        <f>IF('【様式第６号】事業計画書兼チェックシート（新築）'!I41="","",'【様式第６号】事業計画書兼チェックシート（新築）'!I41)</f>
        <v/>
      </c>
      <c r="CJ11" s="338" t="str">
        <f>IF('【様式第６号】事業計画書兼チェックシート（新築）'!I42="","",'【様式第６号】事業計画書兼チェックシート（新築）'!I42)</f>
        <v/>
      </c>
      <c r="CK11" s="338" t="str">
        <f>IF('【様式第６号】事業計画書兼チェックシート（新築）'!B95="",IF('【様式第６号】事業計画書兼チェックシート（新築）'!I92="","",'【様式第６号】事業計画書兼チェックシート（新築）'!I92),"手刻み")</f>
        <v/>
      </c>
      <c r="CL11" s="338" t="str">
        <f>IF('【様式第６号】事業計画書兼チェックシート（新築）'!I32="","",'【様式第６号】事業計画書兼チェックシート（新築）'!I32)</f>
        <v/>
      </c>
      <c r="CM11" s="338" t="str">
        <f>IF('【様式第６号】事業計画書兼チェックシート（新築）'!S31="","",'【様式第６号】事業計画書兼チェックシート（新築）'!S31)</f>
        <v/>
      </c>
      <c r="CN11" s="338" t="str">
        <f>IF('【様式第６号】事業計画書兼チェックシート（新築）'!I46="","",'【様式第６号】事業計画書兼チェックシート（新築）'!I46)</f>
        <v/>
      </c>
      <c r="CO11" s="300"/>
      <c r="CP11" s="300"/>
      <c r="CQ11" s="300"/>
      <c r="CR11" s="301"/>
      <c r="CS11" s="301"/>
      <c r="CT11" s="300"/>
      <c r="CU11" s="300"/>
      <c r="CV11" s="338" t="str">
        <f>IF('【様式第６号】事業計画書兼チェックシート（新築）'!D80="","",'【様式第６号】事業計画書兼チェックシート（新築）'!D80)</f>
        <v/>
      </c>
      <c r="CW11" s="338" t="str">
        <f>IF('【様式第６号】事業計画書兼チェックシート（新築）'!P80="","",'【様式第６号】事業計画書兼チェックシート（新築）'!P80)</f>
        <v/>
      </c>
      <c r="CX11" s="338" t="str">
        <f>IF('【様式第６号】事業計画書兼チェックシート（新築）'!D81="","",'【様式第６号】事業計画書兼チェックシート（新築）'!D81)</f>
        <v/>
      </c>
      <c r="CY11" s="338" t="str">
        <f>IF('【様式第６号】事業計画書兼チェックシート（新築）'!P81="","",'【様式第６号】事業計画書兼チェックシート（新築）'!P81)</f>
        <v/>
      </c>
      <c r="CZ11" s="338" t="str">
        <f>IF('【様式第６号】事業計画書兼チェックシート（新築）'!D82="","",'【様式第６号】事業計画書兼チェックシート（新築）'!D82)</f>
        <v/>
      </c>
      <c r="DA11" s="338" t="str">
        <f>IF('【様式第６号】事業計画書兼チェックシート（新築）'!P82="","",'【様式第６号】事業計画書兼チェックシート（新築）'!P82)</f>
        <v/>
      </c>
      <c r="DB11" s="338" t="str">
        <f>IF('【様式第６号】事業計画書兼チェックシート（新築）'!D83="","",'【様式第６号】事業計画書兼チェックシート（新築）'!D83)</f>
        <v/>
      </c>
      <c r="DC11" s="338" t="str">
        <f>IF('【様式第６号】事業計画書兼チェックシート（新築）'!P83="","",'【様式第６号】事業計画書兼チェックシート（新築）'!P83)</f>
        <v/>
      </c>
      <c r="DD11" s="338" t="str">
        <f>IF('【様式第６号】事業計画書兼チェックシート（新築）'!D84="","",'【様式第６号】事業計画書兼チェックシート（新築）'!D84)</f>
        <v/>
      </c>
      <c r="DE11" s="338" t="str">
        <f>IF('【様式第６号】事業計画書兼チェックシート（新築）'!P84="","",'【様式第６号】事業計画書兼チェックシート（新築）'!P84)</f>
        <v/>
      </c>
      <c r="DF11" s="338" t="str">
        <f>IF('【様式第６号】事業計画書兼チェックシート（新築）'!B68="","","○")</f>
        <v/>
      </c>
      <c r="DG11" s="338" t="str">
        <f>IF('【様式第６号】事業計画書兼チェックシート（新築）'!B70="","","○")</f>
        <v/>
      </c>
      <c r="DH11" s="338" t="str">
        <f>IF('様式11号（省エネ性能説明書）'!N13="","",'様式11号（省エネ性能説明書）'!N13)</f>
        <v/>
      </c>
      <c r="DI11" s="338" t="str">
        <f>IF('様式11号（省エネ性能説明書）'!N14="","",'様式11号（省エネ性能説明書）'!N14)</f>
        <v/>
      </c>
      <c r="DJ11" s="338" t="str">
        <f>IF('様式11号（省エネ性能説明書）'!N15="","",'様式11号（省エネ性能説明書）'!N15)</f>
        <v/>
      </c>
      <c r="DK11" s="309"/>
      <c r="DL11" s="304" t="e">
        <f>IF([1]【様式第６号】事業報告書兼チェックシート!Q92="","",[1]【様式第６号】事業報告書兼チェックシート!Q92)</f>
        <v>#REF!</v>
      </c>
      <c r="DM11" s="304" t="e">
        <f>IF([1]【様式第６号】事業報告書兼チェックシート!Q93="",0,[1]【様式第６号】事業報告書兼チェックシート!Q93)</f>
        <v>#REF!</v>
      </c>
      <c r="DN11" s="302"/>
      <c r="DO11" s="303" t="e">
        <f>IF(DM11&gt;=10,150,0)</f>
        <v>#REF!</v>
      </c>
      <c r="DP11" s="303" t="e">
        <f t="shared" si="6"/>
        <v>#REF!</v>
      </c>
      <c r="DQ11" s="304" t="e">
        <f>IF(DR11="","",IF(DR11&gt;=1,1,""))</f>
        <v>#REF!</v>
      </c>
      <c r="DR11" s="304" t="e">
        <f>IF([1]【様式第６号】事業報告書兼チェックシート!Q94="",0,[1]【様式第６号】事業報告書兼チェックシート!Q94)</f>
        <v>#REF!</v>
      </c>
      <c r="DS11" s="302"/>
      <c r="DT11" s="305" t="e">
        <f>IF(DO11=0,0,IF(DR11&gt;=25,MIN(250,ROUNDDOWN(DR11*10,-1)),IF(DR11&gt;=20,MIN(200,ROUNDDOWN(DR11*10,-1)),IF(DR11&gt;=15,MIN(150,ROUNDDOWN(DR11*10,-1)),MIN(100,ROUNDDOWN(DR11*10,-1))))))</f>
        <v>#REF!</v>
      </c>
      <c r="DU11" s="303" t="e">
        <f t="shared" si="7"/>
        <v>#REF!</v>
      </c>
      <c r="DV11" s="304" t="e">
        <f>IF(DW11="","",IF(DW11&gt;=1,1,""))</f>
        <v>#REF!</v>
      </c>
      <c r="DW11" s="304" t="e">
        <f>IF([1]【様式第６号】事業報告書兼チェックシート!Q95="",0,[1]【様式第６号】事業報告書兼チェックシート!Q95)</f>
        <v>#REF!</v>
      </c>
      <c r="DX11" s="302"/>
      <c r="DY11" s="305" t="e">
        <f>IF(AND(DO11&gt;0,DW11&gt;=1),MIN(INT(DW11)*20,200),0)</f>
        <v>#REF!</v>
      </c>
      <c r="DZ11" s="303" t="e">
        <f t="shared" si="8"/>
        <v>#REF!</v>
      </c>
      <c r="EA11" s="304" t="e">
        <f t="shared" si="25"/>
        <v>#REF!</v>
      </c>
      <c r="EB11" s="304" t="e">
        <f>IF([1]【様式第６号】事業報告書兼チェックシート!Q96="",0,[1]【様式第６号】事業報告書兼チェックシート!Q96)</f>
        <v>#REF!</v>
      </c>
      <c r="EC11" s="304" t="e">
        <f t="shared" si="9"/>
        <v>#REF!</v>
      </c>
      <c r="ED11" s="304" t="e">
        <f>IF(EE11="","",IF(EE11&gt;=1,1,""))</f>
        <v>#REF!</v>
      </c>
      <c r="EE11" s="304" t="e">
        <f>IF([1]【様式第６号】事業報告書兼チェックシート!Q97="",0,[1]【様式第６号】事業報告書兼チェックシート!Q97)</f>
        <v>#REF!</v>
      </c>
      <c r="EF11" s="302"/>
      <c r="EG11" s="304" t="e">
        <f t="shared" si="27"/>
        <v>#REF!</v>
      </c>
      <c r="EH11" s="303" t="e">
        <f t="shared" si="10"/>
        <v>#REF!</v>
      </c>
      <c r="EI11" s="303" t="e">
        <f t="shared" si="11"/>
        <v>#REF!</v>
      </c>
      <c r="EJ11" s="304" t="e">
        <f t="shared" si="28"/>
        <v>#REF!</v>
      </c>
      <c r="EK11" s="304" t="e">
        <f>IF([1]【様式第６号】事業報告書兼チェックシート!B62="",IF([1]【様式第６号】事業報告書兼チェックシート!B118="","",1),0)</f>
        <v>#REF!</v>
      </c>
      <c r="EL11" s="304" t="e">
        <f>IF([1]【様式第６号】事業報告書兼チェックシート!B62="",IF([1]【様式第６号】事業報告書兼チェックシート!P118="","",1),0)</f>
        <v>#REF!</v>
      </c>
      <c r="EM11" s="303" t="e">
        <f>IF(AND(DO11&gt;0,EJ11=1,[1]【様式第６号】事業報告書兼チェックシート!B62=""),100,0)</f>
        <v>#REF!</v>
      </c>
      <c r="EN11" s="303" t="e">
        <f t="shared" si="12"/>
        <v>#REF!</v>
      </c>
      <c r="EO11" s="304" t="str">
        <f t="shared" si="29"/>
        <v/>
      </c>
      <c r="EP11" s="304" t="str">
        <f>IF([1]【様式第６号】事業報告書兼チェックシート!Y134="","",IF([1]【様式第６号】事業報告書兼チェックシート!B143="","",1))</f>
        <v/>
      </c>
      <c r="EQ11" s="304" t="str">
        <f>IF([1]【様式第６号】事業報告書兼チェックシート!Y134="","",IF([1]【様式第６号】事業報告書兼チェックシート!B143="",1,""))</f>
        <v/>
      </c>
      <c r="ER11" s="303" t="e">
        <f t="shared" si="13"/>
        <v>#REF!</v>
      </c>
      <c r="ES11" s="303" t="e">
        <f t="shared" si="14"/>
        <v>#REF!</v>
      </c>
      <c r="ET11" s="304" t="str">
        <f t="shared" si="30"/>
        <v/>
      </c>
      <c r="EU11" s="304" t="str">
        <f>IF([1]【様式第６号】事業報告書兼チェックシート!F170="","",[1]【様式第６号】事業報告書兼チェックシート!F170)</f>
        <v/>
      </c>
      <c r="EV11" s="304" t="str">
        <f>IF([1]【様式第６号】事業報告書兼チェックシート!F175="","",[1]【様式第６号】事業報告書兼チェックシート!F175)</f>
        <v/>
      </c>
      <c r="EW11" s="304" t="str">
        <f>IF([1]【様式第６号】事業報告書兼チェックシート!F182="","",[1]【様式第６号】事業報告書兼チェックシート!F182)</f>
        <v/>
      </c>
      <c r="EX11" s="304" t="str">
        <f>IF([1]【様式第６号】事業報告書兼チェックシート!F190="","",[1]【様式第６号】事業報告書兼チェックシート!F190)</f>
        <v/>
      </c>
      <c r="EY11" s="304" t="str">
        <f>IF([1]【様式第６号】事業報告書兼チェックシート!F198="","",[1]【様式第６号】事業報告書兼チェックシート!F198)</f>
        <v/>
      </c>
      <c r="EZ11" s="304" t="str">
        <f>IF([1]【様式第６号】事業報告書兼チェックシート!F208="","",[1]【様式第６号】事業報告書兼チェックシート!F208)</f>
        <v/>
      </c>
      <c r="FA11" s="304" t="str">
        <f>IF([1]【様式第６号】事業報告書兼チェックシート!F215="","",[1]【様式第６号】事業報告書兼チェックシート!F215)</f>
        <v/>
      </c>
      <c r="FB11" s="304">
        <f t="shared" si="31"/>
        <v>0</v>
      </c>
      <c r="FC11" s="303">
        <f t="shared" si="32"/>
        <v>0</v>
      </c>
      <c r="FD11" s="303">
        <f t="shared" si="15"/>
        <v>0</v>
      </c>
      <c r="FE11" s="306"/>
      <c r="FF11" s="306"/>
      <c r="FG11" s="302"/>
      <c r="FH11" s="302"/>
      <c r="FI11" s="303" t="e">
        <f t="shared" si="16"/>
        <v>#REF!</v>
      </c>
      <c r="FJ11" s="303" t="e">
        <f t="shared" si="17"/>
        <v>#REF!</v>
      </c>
      <c r="FK11" s="306"/>
      <c r="FL11" s="310"/>
      <c r="FM11" s="310"/>
      <c r="FN11" s="306"/>
      <c r="FO11" s="306"/>
      <c r="FP11" s="303"/>
      <c r="FQ11" s="303"/>
      <c r="FR11" s="304"/>
      <c r="FS11" s="302"/>
      <c r="FT11" s="302"/>
      <c r="FU11" s="303"/>
      <c r="FV11" s="303"/>
      <c r="FW11" s="304"/>
      <c r="FX11" s="306"/>
      <c r="FY11" s="306"/>
      <c r="FZ11" s="306"/>
      <c r="GA11" s="303"/>
      <c r="GB11" s="303"/>
      <c r="GC11" s="304"/>
      <c r="GD11" s="306"/>
      <c r="GE11" s="306"/>
      <c r="GF11" s="306"/>
      <c r="GG11" s="303"/>
      <c r="GH11" s="303"/>
      <c r="GI11" s="306"/>
      <c r="GJ11" s="306"/>
      <c r="GK11" s="303"/>
      <c r="GL11" s="303"/>
      <c r="GM11" s="311"/>
      <c r="GN11" s="312"/>
      <c r="GO11" s="312"/>
      <c r="GP11" s="312"/>
      <c r="GQ11" s="308">
        <f t="shared" si="18"/>
        <v>0</v>
      </c>
      <c r="GR11" s="308" t="e">
        <f t="shared" si="19"/>
        <v>#REF!</v>
      </c>
      <c r="GS11" s="308" t="e">
        <f t="shared" si="39"/>
        <v>#REF!</v>
      </c>
      <c r="GT11" s="165"/>
      <c r="GU11" s="165"/>
      <c r="GV11" s="165"/>
      <c r="GW11" s="165"/>
      <c r="GX11" s="165"/>
      <c r="GY11" s="165"/>
      <c r="GZ11" s="165"/>
      <c r="HA11" s="165"/>
      <c r="HB11" s="165"/>
      <c r="HC11" s="165"/>
      <c r="HD11" s="165"/>
      <c r="HE11" s="165"/>
      <c r="HF11" s="165"/>
      <c r="HG11" s="165"/>
      <c r="HH11" s="165"/>
      <c r="HI11" s="165"/>
      <c r="HJ11" s="165"/>
      <c r="HK11" s="165"/>
      <c r="HL11" s="165"/>
      <c r="HM11" s="165"/>
      <c r="HN11" s="165"/>
      <c r="HO11" s="165"/>
      <c r="HP11" s="165"/>
      <c r="HQ11" s="165"/>
      <c r="HR11" s="165"/>
      <c r="HS11" s="165"/>
      <c r="HT11" s="165"/>
      <c r="HU11" s="165"/>
      <c r="HV11" s="165"/>
      <c r="HW11" s="165"/>
      <c r="HX11" s="165"/>
      <c r="HY11" s="165"/>
      <c r="HZ11" s="165"/>
      <c r="IA11" s="165"/>
      <c r="IB11" s="165"/>
      <c r="IC11" s="165"/>
      <c r="ID11" s="165"/>
      <c r="IE11" s="165"/>
      <c r="IF11" s="165"/>
      <c r="IG11" s="165"/>
      <c r="IH11" s="165"/>
      <c r="II11" s="165"/>
      <c r="IJ11" s="165"/>
      <c r="IK11" s="165"/>
      <c r="IL11" s="165"/>
      <c r="IM11" s="165"/>
      <c r="IN11" s="165"/>
      <c r="IO11" s="165"/>
      <c r="IP11" s="165"/>
      <c r="IQ11" s="165"/>
      <c r="IR11" s="165"/>
      <c r="IS11" s="165"/>
      <c r="IT11" s="165"/>
      <c r="IU11" s="165"/>
      <c r="IV11" s="165"/>
      <c r="IW11" s="165"/>
      <c r="IX11" s="165"/>
      <c r="IY11" s="165"/>
      <c r="IZ11" s="165"/>
      <c r="JA11" s="165"/>
      <c r="JB11" s="165"/>
      <c r="JC11" s="165"/>
      <c r="JD11" s="165"/>
      <c r="JE11" s="165"/>
      <c r="JF11" s="165"/>
      <c r="JG11" s="165"/>
      <c r="JH11" s="165"/>
      <c r="JI11" s="165"/>
      <c r="JJ11" s="165"/>
      <c r="JK11" s="165"/>
      <c r="JL11" s="165"/>
      <c r="JM11" s="165"/>
      <c r="JN11" s="165"/>
      <c r="JO11" s="165"/>
      <c r="JP11" s="165"/>
      <c r="JQ11" s="165"/>
      <c r="JR11" s="165"/>
      <c r="JS11" s="165"/>
      <c r="JT11" s="165"/>
      <c r="JU11" s="165"/>
      <c r="JV11" s="165"/>
      <c r="JW11" s="165"/>
      <c r="JX11" s="165"/>
      <c r="JY11" s="165"/>
      <c r="JZ11" s="165"/>
      <c r="KA11" s="165"/>
      <c r="KB11" s="165"/>
      <c r="KC11" s="165"/>
      <c r="KD11" s="165"/>
      <c r="KE11" s="165"/>
      <c r="KF11" s="165"/>
      <c r="KG11" s="165"/>
      <c r="KH11" s="165"/>
      <c r="KI11" s="165"/>
      <c r="KJ11" s="165"/>
      <c r="KK11" s="165"/>
      <c r="KL11" s="165"/>
      <c r="KM11" s="165"/>
      <c r="KN11" s="165"/>
      <c r="KO11" s="165"/>
      <c r="KP11" s="165"/>
      <c r="KQ11" s="165"/>
      <c r="KR11" s="165"/>
      <c r="KS11" s="165"/>
      <c r="KT11" s="165"/>
      <c r="KU11" s="165"/>
      <c r="KV11" s="165"/>
      <c r="KW11" s="165"/>
      <c r="KX11" s="165"/>
      <c r="KY11" s="165"/>
      <c r="KZ11" s="165"/>
      <c r="LA11" s="165"/>
      <c r="LB11" s="165"/>
      <c r="LC11" s="165"/>
      <c r="LD11" s="165"/>
      <c r="LE11" s="165"/>
      <c r="LF11" s="165"/>
      <c r="LG11" s="165"/>
      <c r="LH11" s="165"/>
      <c r="LI11" s="165"/>
      <c r="LJ11" s="165"/>
      <c r="LK11" s="165"/>
      <c r="LL11" s="165"/>
      <c r="LM11" s="165"/>
      <c r="LN11" s="165"/>
      <c r="LO11" s="165"/>
      <c r="LP11" s="165"/>
      <c r="LQ11" s="165"/>
      <c r="LR11" s="165"/>
      <c r="LS11" s="165"/>
      <c r="LT11" s="165"/>
      <c r="LU11" s="165"/>
      <c r="LV11" s="165"/>
      <c r="LW11" s="165"/>
      <c r="LX11" s="165"/>
      <c r="LY11" s="165"/>
      <c r="LZ11" s="165"/>
      <c r="MA11" s="165"/>
      <c r="MB11" s="165"/>
      <c r="MC11" s="165"/>
      <c r="MD11" s="165"/>
      <c r="ME11" s="165"/>
      <c r="MF11" s="165"/>
      <c r="MG11" s="165"/>
      <c r="MH11" s="165"/>
      <c r="MI11" s="165"/>
      <c r="MJ11" s="165"/>
      <c r="MK11" s="165"/>
      <c r="ML11" s="165"/>
      <c r="MM11" s="165"/>
      <c r="MN11" s="165"/>
      <c r="MO11" s="165"/>
      <c r="MP11" s="165"/>
      <c r="MQ11" s="165"/>
      <c r="MR11" s="165"/>
      <c r="MS11" s="165"/>
      <c r="MT11" s="165"/>
      <c r="MU11" s="165"/>
      <c r="MV11" s="165"/>
      <c r="MW11" s="165"/>
      <c r="MX11" s="165"/>
      <c r="MY11" s="165"/>
      <c r="MZ11" s="165"/>
      <c r="NA11" s="165"/>
      <c r="NB11" s="165"/>
      <c r="NC11" s="165"/>
      <c r="ND11" s="165"/>
      <c r="NE11" s="165"/>
      <c r="NF11" s="165"/>
      <c r="NG11" s="165"/>
      <c r="NH11" s="165"/>
      <c r="NI11" s="165"/>
      <c r="NJ11" s="165"/>
      <c r="NK11" s="165"/>
      <c r="NL11" s="165"/>
      <c r="NM11" s="165"/>
      <c r="NN11" s="165"/>
      <c r="NO11" s="165"/>
      <c r="NP11" s="165"/>
      <c r="NQ11" s="165"/>
      <c r="NR11" s="165"/>
      <c r="NS11" s="165"/>
      <c r="NT11" s="165"/>
      <c r="NU11" s="165"/>
      <c r="NV11" s="165"/>
      <c r="NW11" s="165"/>
      <c r="NX11" s="165"/>
      <c r="NY11" s="165"/>
      <c r="NZ11" s="165"/>
      <c r="OA11" s="165"/>
      <c r="OB11" s="165"/>
      <c r="OC11" s="165"/>
      <c r="OD11" s="165"/>
      <c r="OE11" s="165"/>
      <c r="OF11" s="165"/>
      <c r="OG11" s="165"/>
      <c r="OH11" s="165"/>
      <c r="OI11" s="165"/>
      <c r="OJ11" s="165"/>
      <c r="OK11" s="165"/>
      <c r="OL11" s="165"/>
      <c r="OM11" s="165"/>
      <c r="ON11" s="165"/>
      <c r="OO11" s="165"/>
      <c r="OP11" s="165"/>
      <c r="OQ11" s="165"/>
      <c r="OR11" s="165"/>
      <c r="OS11" s="165"/>
      <c r="OT11" s="165"/>
      <c r="OU11" s="165"/>
      <c r="OV11" s="165"/>
      <c r="OW11" s="165"/>
      <c r="OX11" s="165"/>
      <c r="OY11" s="165"/>
      <c r="OZ11" s="165"/>
      <c r="PA11" s="165"/>
      <c r="PB11" s="165"/>
      <c r="PC11" s="165"/>
      <c r="PD11" s="165"/>
      <c r="PE11" s="165"/>
      <c r="PF11" s="165"/>
      <c r="PG11" s="165"/>
      <c r="PH11" s="165"/>
      <c r="PI11" s="165"/>
      <c r="PJ11" s="165"/>
      <c r="PK11" s="165"/>
      <c r="PL11" s="165"/>
      <c r="PM11" s="165"/>
      <c r="PN11" s="165"/>
      <c r="PO11" s="165"/>
      <c r="PP11" s="165"/>
      <c r="PQ11" s="165"/>
      <c r="PR11" s="165"/>
      <c r="PS11" s="165"/>
      <c r="PT11" s="165"/>
      <c r="PU11" s="165"/>
      <c r="PV11" s="165"/>
      <c r="PW11" s="165"/>
      <c r="PX11" s="165"/>
      <c r="PY11" s="165"/>
      <c r="PZ11" s="165"/>
      <c r="QA11" s="165"/>
      <c r="QB11" s="165"/>
      <c r="QC11" s="165"/>
      <c r="QD11" s="165"/>
      <c r="QE11" s="165"/>
      <c r="QF11" s="165"/>
      <c r="QG11" s="165"/>
      <c r="QH11" s="165"/>
      <c r="QI11" s="165"/>
      <c r="QJ11" s="165"/>
      <c r="QK11" s="165"/>
      <c r="QL11" s="165"/>
      <c r="QM11" s="165"/>
      <c r="QN11" s="165"/>
      <c r="QO11" s="165"/>
      <c r="QP11" s="165"/>
      <c r="QQ11" s="165"/>
      <c r="QR11" s="165"/>
      <c r="QS11" s="165"/>
      <c r="QT11" s="165"/>
      <c r="QU11" s="165"/>
      <c r="QV11" s="165"/>
      <c r="QW11" s="165"/>
      <c r="QX11" s="165"/>
      <c r="QY11" s="165"/>
      <c r="QZ11" s="165"/>
      <c r="RA11" s="165"/>
      <c r="RB11" s="165"/>
      <c r="RC11" s="165"/>
      <c r="RD11" s="165"/>
      <c r="RE11" s="165"/>
      <c r="RF11" s="165"/>
      <c r="RG11" s="165"/>
      <c r="RH11" s="165"/>
      <c r="RI11" s="165"/>
      <c r="RJ11" s="165"/>
      <c r="RK11" s="165"/>
      <c r="RL11" s="165"/>
      <c r="RM11" s="165"/>
      <c r="RN11" s="165"/>
      <c r="RO11" s="165"/>
      <c r="RP11" s="165"/>
      <c r="RQ11" s="165"/>
      <c r="RR11" s="165"/>
      <c r="RS11" s="165"/>
      <c r="RT11" s="165"/>
      <c r="RU11" s="165"/>
      <c r="RV11" s="165"/>
      <c r="RW11" s="165"/>
      <c r="RX11" s="165"/>
      <c r="RY11" s="165"/>
      <c r="RZ11" s="165"/>
      <c r="SA11" s="165"/>
      <c r="SB11" s="165"/>
      <c r="SC11" s="165"/>
      <c r="SD11" s="165"/>
      <c r="SE11" s="165"/>
      <c r="SF11" s="165"/>
      <c r="SG11" s="165"/>
      <c r="SH11" s="165"/>
      <c r="SI11" s="165"/>
      <c r="SJ11" s="165"/>
      <c r="SK11" s="165"/>
      <c r="SL11" s="165"/>
      <c r="SM11" s="165"/>
      <c r="SN11" s="165"/>
      <c r="SO11" s="165"/>
      <c r="SP11" s="165"/>
      <c r="SQ11" s="165"/>
      <c r="SR11" s="165"/>
      <c r="SS11" s="165"/>
      <c r="ST11" s="165"/>
      <c r="SU11" s="165"/>
      <c r="SV11" s="165"/>
      <c r="SW11" s="165"/>
      <c r="SX11" s="165"/>
      <c r="SY11" s="165"/>
      <c r="SZ11" s="165"/>
      <c r="TA11" s="165"/>
      <c r="TB11" s="165"/>
      <c r="TC11" s="165"/>
      <c r="TD11" s="165"/>
      <c r="TE11" s="165"/>
      <c r="TF11" s="165"/>
      <c r="TG11" s="165"/>
      <c r="TH11" s="165"/>
      <c r="TI11" s="165"/>
      <c r="TJ11" s="165"/>
      <c r="TK11" s="165"/>
      <c r="TL11" s="165"/>
      <c r="TM11" s="165"/>
      <c r="TN11" s="165"/>
      <c r="TO11" s="165"/>
      <c r="TP11" s="165"/>
      <c r="TQ11" s="165"/>
      <c r="TR11" s="165"/>
      <c r="TS11" s="165"/>
      <c r="TT11" s="165"/>
      <c r="TU11" s="165"/>
      <c r="TV11" s="165"/>
      <c r="TW11" s="165"/>
      <c r="TX11" s="165"/>
      <c r="TY11" s="165"/>
      <c r="TZ11" s="165"/>
      <c r="UA11" s="165"/>
      <c r="UB11" s="165"/>
      <c r="UC11" s="165"/>
      <c r="UD11" s="165"/>
      <c r="UE11" s="165"/>
      <c r="UF11" s="165"/>
      <c r="UG11" s="165"/>
      <c r="UH11" s="165"/>
      <c r="UI11" s="165"/>
      <c r="UJ11" s="165"/>
      <c r="UK11" s="165"/>
      <c r="UL11" s="165"/>
      <c r="UM11" s="165"/>
      <c r="UN11" s="165"/>
      <c r="UO11" s="165"/>
      <c r="UP11" s="165"/>
      <c r="UQ11" s="165"/>
      <c r="UR11" s="165"/>
      <c r="US11" s="165"/>
      <c r="UT11" s="165"/>
      <c r="UU11" s="165"/>
      <c r="UV11" s="165"/>
      <c r="UW11" s="165"/>
      <c r="UX11" s="165"/>
      <c r="UY11" s="165"/>
      <c r="UZ11" s="165"/>
      <c r="VA11" s="165"/>
      <c r="VB11" s="165"/>
      <c r="VC11" s="165"/>
      <c r="VD11" s="165"/>
      <c r="VE11" s="165"/>
      <c r="VF11" s="165"/>
      <c r="VG11" s="165"/>
      <c r="VH11" s="165"/>
      <c r="VI11" s="165"/>
      <c r="VJ11" s="165"/>
      <c r="VK11" s="165"/>
      <c r="VL11" s="165"/>
      <c r="VM11" s="165"/>
      <c r="VN11" s="165"/>
      <c r="VO11" s="165"/>
      <c r="VP11" s="165"/>
      <c r="VQ11" s="165"/>
      <c r="VR11" s="165"/>
      <c r="VS11" s="165"/>
      <c r="VT11" s="165"/>
      <c r="VU11" s="165"/>
      <c r="VV11" s="165"/>
      <c r="VW11" s="165"/>
      <c r="VX11" s="165"/>
      <c r="VY11" s="165"/>
      <c r="VZ11" s="165"/>
      <c r="WA11" s="165"/>
      <c r="WB11" s="165"/>
      <c r="WC11" s="165"/>
      <c r="WD11" s="165"/>
      <c r="WE11" s="165"/>
      <c r="WF11" s="165"/>
      <c r="WG11" s="165"/>
      <c r="WH11" s="165"/>
      <c r="WI11" s="165"/>
      <c r="WJ11" s="165"/>
      <c r="WK11" s="165"/>
      <c r="WL11" s="165"/>
      <c r="WM11" s="165"/>
      <c r="WN11" s="165"/>
      <c r="WO11" s="165"/>
      <c r="WP11" s="165"/>
      <c r="WQ11" s="165"/>
      <c r="WR11" s="165"/>
      <c r="WS11" s="165"/>
      <c r="WT11" s="165"/>
      <c r="WU11" s="165"/>
      <c r="WV11" s="165"/>
      <c r="WW11" s="165"/>
      <c r="WX11" s="165"/>
      <c r="WY11" s="165"/>
      <c r="WZ11" s="165"/>
      <c r="XA11" s="165"/>
      <c r="XB11" s="165"/>
      <c r="XC11" s="165"/>
      <c r="XD11" s="165"/>
      <c r="XE11" s="165"/>
      <c r="XF11" s="165"/>
      <c r="XG11" s="165"/>
      <c r="XH11" s="165"/>
      <c r="XI11" s="165"/>
      <c r="XJ11" s="165"/>
      <c r="XK11" s="165"/>
      <c r="XL11" s="165"/>
      <c r="XM11" s="165"/>
      <c r="XN11" s="165"/>
      <c r="XO11" s="165"/>
      <c r="XP11" s="165"/>
      <c r="XQ11" s="165"/>
      <c r="XR11" s="165"/>
      <c r="XS11" s="165"/>
      <c r="XT11" s="165"/>
      <c r="XU11" s="165"/>
      <c r="XV11" s="165"/>
      <c r="XW11" s="165"/>
      <c r="XX11" s="165"/>
      <c r="XY11" s="165"/>
      <c r="XZ11" s="165"/>
      <c r="YA11" s="165"/>
      <c r="YB11" s="165"/>
      <c r="YC11" s="165"/>
      <c r="YD11" s="165"/>
      <c r="YE11" s="165"/>
      <c r="YF11" s="165"/>
      <c r="YG11" s="165"/>
      <c r="YH11" s="165"/>
      <c r="YI11" s="165"/>
      <c r="YJ11" s="165"/>
      <c r="YK11" s="165"/>
      <c r="YL11" s="165"/>
      <c r="YM11" s="165"/>
      <c r="YN11" s="165"/>
      <c r="YO11" s="165"/>
      <c r="YP11" s="165"/>
      <c r="YQ11" s="165"/>
      <c r="YR11" s="165"/>
      <c r="YS11" s="165"/>
      <c r="YT11" s="165"/>
      <c r="YU11" s="165"/>
      <c r="YV11" s="165"/>
      <c r="YW11" s="165"/>
      <c r="YX11" s="165"/>
      <c r="YY11" s="165"/>
      <c r="YZ11" s="165"/>
      <c r="ZA11" s="165"/>
      <c r="ZB11" s="165"/>
      <c r="ZC11" s="165"/>
      <c r="ZD11" s="165"/>
      <c r="ZE11" s="165"/>
      <c r="ZF11" s="165"/>
      <c r="ZG11" s="165"/>
      <c r="ZH11" s="165"/>
      <c r="ZI11" s="165"/>
      <c r="ZJ11" s="165"/>
      <c r="ZK11" s="165"/>
      <c r="ZL11" s="165"/>
      <c r="ZM11" s="165"/>
      <c r="ZN11" s="165"/>
      <c r="ZO11" s="165"/>
      <c r="ZP11" s="165"/>
      <c r="ZQ11" s="165"/>
      <c r="ZR11" s="165"/>
      <c r="ZS11" s="165"/>
      <c r="ZT11" s="165"/>
      <c r="ZU11" s="165"/>
      <c r="ZV11" s="165"/>
      <c r="ZW11" s="165"/>
      <c r="ZX11" s="165"/>
      <c r="ZY11" s="165"/>
      <c r="ZZ11" s="165"/>
      <c r="AAA11" s="165"/>
      <c r="AAB11" s="165"/>
      <c r="AAC11" s="165"/>
      <c r="AAD11" s="165"/>
      <c r="AAE11" s="165"/>
      <c r="AAF11" s="165"/>
      <c r="AAG11" s="165"/>
      <c r="AAH11" s="165"/>
      <c r="AAI11" s="165"/>
      <c r="AAJ11" s="165"/>
      <c r="AAK11" s="165"/>
      <c r="AAL11" s="165"/>
      <c r="AAM11" s="165"/>
      <c r="AAN11" s="165"/>
      <c r="AAO11" s="165"/>
      <c r="AAP11" s="165"/>
      <c r="AAQ11" s="165"/>
      <c r="AAR11" s="165"/>
      <c r="AAS11" s="165"/>
      <c r="AAT11" s="165"/>
      <c r="AAU11" s="165"/>
      <c r="AAV11" s="165"/>
      <c r="AAW11" s="165"/>
      <c r="AAX11" s="165"/>
      <c r="AAY11" s="165"/>
      <c r="AAZ11" s="165"/>
      <c r="ABA11" s="165"/>
      <c r="ABB11" s="165"/>
      <c r="ABC11" s="165"/>
      <c r="ABD11" s="165"/>
      <c r="ABE11" s="165"/>
      <c r="ABF11" s="165"/>
      <c r="ABG11" s="165"/>
      <c r="ABH11" s="165"/>
      <c r="ABI11" s="165"/>
      <c r="ABJ11" s="165"/>
      <c r="ABK11" s="165"/>
      <c r="ABL11" s="165"/>
      <c r="ABM11" s="165"/>
      <c r="ABN11" s="165"/>
      <c r="ABO11" s="165"/>
      <c r="ABP11" s="165"/>
      <c r="ABQ11" s="165"/>
      <c r="ABR11" s="165"/>
      <c r="ABS11" s="165"/>
      <c r="ABT11" s="165"/>
      <c r="ABU11" s="165"/>
      <c r="ABV11" s="165"/>
      <c r="ABW11" s="165"/>
      <c r="ABX11" s="165"/>
      <c r="ABY11" s="165"/>
      <c r="ABZ11" s="165"/>
      <c r="ACA11" s="165"/>
      <c r="ACB11" s="165"/>
      <c r="ACC11" s="165"/>
      <c r="ACD11" s="165"/>
      <c r="ACE11" s="165"/>
      <c r="ACF11" s="165"/>
      <c r="ACG11" s="165"/>
      <c r="ACH11" s="165"/>
      <c r="ACI11" s="165"/>
      <c r="ACJ11" s="165"/>
      <c r="ACK11" s="165"/>
      <c r="ACL11" s="165"/>
      <c r="ACM11" s="165"/>
      <c r="ACN11" s="165"/>
      <c r="ACO11" s="165"/>
      <c r="ACP11" s="165"/>
      <c r="ACQ11" s="165"/>
      <c r="ACR11" s="165"/>
      <c r="ACS11" s="165"/>
      <c r="ACT11" s="165"/>
      <c r="ACU11" s="165"/>
      <c r="ACV11" s="165"/>
      <c r="ACW11" s="165"/>
      <c r="ACX11" s="165"/>
      <c r="ACY11" s="165"/>
      <c r="ACZ11" s="165"/>
      <c r="ADA11" s="165"/>
      <c r="ADB11" s="165"/>
      <c r="ADC11" s="165"/>
      <c r="ADD11" s="165"/>
      <c r="ADE11" s="165"/>
      <c r="ADF11" s="165"/>
      <c r="ADG11" s="165"/>
      <c r="ADH11" s="165"/>
      <c r="ADI11" s="165"/>
      <c r="ADJ11" s="165"/>
      <c r="ADK11" s="165"/>
      <c r="ADL11" s="165"/>
      <c r="ADM11" s="165"/>
      <c r="ADN11" s="165"/>
      <c r="ADO11" s="165"/>
      <c r="ADP11" s="165"/>
      <c r="ADQ11" s="165"/>
      <c r="ADR11" s="165"/>
      <c r="ADS11" s="165"/>
      <c r="ADT11" s="165"/>
      <c r="ADU11" s="165"/>
      <c r="ADV11" s="165"/>
      <c r="ADW11" s="165"/>
      <c r="ADX11" s="165"/>
      <c r="ADY11" s="165"/>
      <c r="ADZ11" s="165"/>
      <c r="AEA11" s="165"/>
      <c r="AEB11" s="165"/>
      <c r="AEC11" s="165"/>
      <c r="AED11" s="165"/>
      <c r="AEE11" s="165"/>
      <c r="AEF11" s="165"/>
      <c r="AEG11" s="165"/>
      <c r="AEH11" s="165"/>
      <c r="AEI11" s="165"/>
      <c r="AEJ11" s="165"/>
      <c r="AEK11" s="165"/>
      <c r="AEL11" s="165"/>
      <c r="AEM11" s="165"/>
      <c r="AEN11" s="165"/>
      <c r="AEO11" s="165"/>
      <c r="AEP11" s="165"/>
      <c r="AEQ11" s="165"/>
      <c r="AER11" s="165"/>
      <c r="AES11" s="165"/>
      <c r="AET11" s="165"/>
      <c r="AEU11" s="165"/>
      <c r="AEV11" s="165"/>
      <c r="AEW11" s="165"/>
      <c r="AEX11" s="165"/>
      <c r="AEY11" s="165"/>
      <c r="AEZ11" s="165"/>
      <c r="AFA11" s="165"/>
      <c r="AFB11" s="165"/>
      <c r="AFC11" s="165"/>
      <c r="AFD11" s="165"/>
      <c r="AFE11" s="165"/>
      <c r="AFF11" s="165"/>
      <c r="AFG11" s="165"/>
      <c r="AFH11" s="165"/>
      <c r="AFI11" s="165"/>
      <c r="AFJ11" s="165"/>
      <c r="AFK11" s="165"/>
      <c r="AFL11" s="165"/>
      <c r="AFM11" s="165"/>
      <c r="AFN11" s="165"/>
      <c r="AFO11" s="165"/>
      <c r="AFP11" s="165"/>
      <c r="AFQ11" s="165"/>
      <c r="AFR11" s="165"/>
      <c r="AFS11" s="165"/>
      <c r="AFT11" s="165"/>
      <c r="AFU11" s="165"/>
      <c r="AFV11" s="165"/>
      <c r="AFW11" s="165"/>
      <c r="AFX11" s="165"/>
      <c r="AFY11" s="165"/>
      <c r="AFZ11" s="165"/>
      <c r="AGA11" s="165"/>
      <c r="AGB11" s="165"/>
      <c r="AGC11" s="165"/>
      <c r="AGD11" s="165"/>
      <c r="AGE11" s="165"/>
      <c r="AGF11" s="165"/>
      <c r="AGG11" s="165"/>
      <c r="AGH11" s="165"/>
      <c r="AGI11" s="165"/>
      <c r="AGJ11" s="165"/>
      <c r="AGK11" s="165"/>
      <c r="AGL11" s="165"/>
      <c r="AGM11" s="165"/>
      <c r="AGN11" s="165"/>
      <c r="AGO11" s="165"/>
      <c r="AGP11" s="165"/>
      <c r="AGQ11" s="165"/>
      <c r="AGR11" s="165"/>
      <c r="AGS11" s="165"/>
      <c r="AGT11" s="165"/>
      <c r="AGU11" s="165"/>
    </row>
    <row r="12" spans="1:879" ht="30" customHeight="1" outlineLevel="1" x14ac:dyDescent="0.15">
      <c r="B12" s="359" t="s">
        <v>514</v>
      </c>
      <c r="DL12" s="359" t="s">
        <v>474</v>
      </c>
    </row>
    <row r="13" spans="1:879" s="314" customFormat="1" ht="30" hidden="1" customHeight="1" x14ac:dyDescent="0.15">
      <c r="B13" s="332">
        <f>SUBTOTAL(3,B11:B11)</f>
        <v>1</v>
      </c>
      <c r="C13" s="333" t="s">
        <v>461</v>
      </c>
      <c r="D13" s="334">
        <f>SUBTOTAL(3,D11:D11)</f>
        <v>1</v>
      </c>
      <c r="E13" s="334">
        <f>SUBTOTAL(3,E11:E11)</f>
        <v>1</v>
      </c>
      <c r="G13" s="334">
        <f>SUBTOTAL(3,G11:G11)</f>
        <v>0</v>
      </c>
      <c r="H13" s="335"/>
      <c r="J13" s="336"/>
      <c r="K13" s="332">
        <f>SUBTOTAL(3,K11:K11)</f>
        <v>1</v>
      </c>
      <c r="L13" s="336"/>
      <c r="M13" s="336"/>
      <c r="N13" s="337"/>
      <c r="O13" s="332">
        <f t="shared" ref="O13:AM13" si="60">SUBTOTAL(9,O11:O11)</f>
        <v>0</v>
      </c>
      <c r="P13" s="332">
        <f t="shared" si="60"/>
        <v>0</v>
      </c>
      <c r="Q13" s="332">
        <f t="shared" si="60"/>
        <v>0</v>
      </c>
      <c r="R13" s="332">
        <f t="shared" si="60"/>
        <v>0</v>
      </c>
      <c r="S13" s="332">
        <f t="shared" si="60"/>
        <v>0</v>
      </c>
      <c r="T13" s="332">
        <f t="shared" si="60"/>
        <v>0</v>
      </c>
      <c r="U13" s="332">
        <f t="shared" si="60"/>
        <v>0</v>
      </c>
      <c r="V13" s="332">
        <f t="shared" si="60"/>
        <v>0</v>
      </c>
      <c r="W13" s="332">
        <f t="shared" si="60"/>
        <v>0</v>
      </c>
      <c r="X13" s="332">
        <f t="shared" si="60"/>
        <v>0</v>
      </c>
      <c r="Y13" s="332">
        <f t="shared" si="60"/>
        <v>0</v>
      </c>
      <c r="Z13" s="332">
        <f t="shared" si="60"/>
        <v>0</v>
      </c>
      <c r="AA13" s="332">
        <f t="shared" si="60"/>
        <v>0</v>
      </c>
      <c r="AB13" s="332">
        <f t="shared" si="60"/>
        <v>0</v>
      </c>
      <c r="AC13" s="332">
        <f t="shared" si="60"/>
        <v>0</v>
      </c>
      <c r="AD13" s="332">
        <f t="shared" si="60"/>
        <v>0</v>
      </c>
      <c r="AE13" s="332">
        <f t="shared" si="60"/>
        <v>0</v>
      </c>
      <c r="AF13" s="332">
        <f t="shared" si="60"/>
        <v>0</v>
      </c>
      <c r="AG13" s="332">
        <f t="shared" si="60"/>
        <v>0</v>
      </c>
      <c r="AH13" s="332">
        <f t="shared" si="60"/>
        <v>0</v>
      </c>
      <c r="AI13" s="332">
        <f t="shared" si="60"/>
        <v>0</v>
      </c>
      <c r="AJ13" s="332">
        <f t="shared" si="60"/>
        <v>0</v>
      </c>
      <c r="AK13" s="332">
        <f t="shared" si="60"/>
        <v>0</v>
      </c>
      <c r="AL13" s="332">
        <f t="shared" si="60"/>
        <v>0</v>
      </c>
      <c r="AM13" s="332">
        <f t="shared" si="60"/>
        <v>0</v>
      </c>
      <c r="AN13" s="332">
        <f t="shared" ref="AN13:AT13" si="61">SUBTOTAL(3,AN11:AN11)</f>
        <v>1</v>
      </c>
      <c r="AO13" s="332">
        <f t="shared" si="61"/>
        <v>1</v>
      </c>
      <c r="AP13" s="332">
        <f t="shared" si="61"/>
        <v>1</v>
      </c>
      <c r="AQ13" s="332">
        <f t="shared" si="61"/>
        <v>1</v>
      </c>
      <c r="AR13" s="332">
        <f t="shared" si="61"/>
        <v>1</v>
      </c>
      <c r="AS13" s="332">
        <f t="shared" si="61"/>
        <v>1</v>
      </c>
      <c r="AT13" s="332">
        <f t="shared" si="61"/>
        <v>1</v>
      </c>
      <c r="AU13" s="332">
        <f>SUBTOTAL(9,AU11:AU11)</f>
        <v>0</v>
      </c>
      <c r="AV13" s="332">
        <f>SUBTOTAL(9,AV11:AV11)</f>
        <v>0</v>
      </c>
      <c r="AW13" s="332">
        <f>SUBTOTAL(3,AW11:AW11)</f>
        <v>1</v>
      </c>
      <c r="AX13" s="332">
        <f>SUBTOTAL(3,AX11:AX11)</f>
        <v>1</v>
      </c>
      <c r="AY13" s="332">
        <f>SUBTOTAL(3,AY11:AY11)</f>
        <v>1</v>
      </c>
      <c r="AZ13" s="332">
        <f t="shared" ref="AZ13:BN13" si="62">SUBTOTAL(9,AZ11:AZ11)</f>
        <v>0</v>
      </c>
      <c r="BA13" s="332">
        <f t="shared" si="62"/>
        <v>0</v>
      </c>
      <c r="BB13" s="332">
        <f t="shared" si="62"/>
        <v>0</v>
      </c>
      <c r="BC13" s="332">
        <f t="shared" si="62"/>
        <v>0</v>
      </c>
      <c r="BD13" s="332">
        <f t="shared" si="62"/>
        <v>0</v>
      </c>
      <c r="BE13" s="332">
        <f t="shared" si="62"/>
        <v>0</v>
      </c>
      <c r="BF13" s="332">
        <f t="shared" si="62"/>
        <v>0</v>
      </c>
      <c r="BG13" s="332">
        <f t="shared" si="62"/>
        <v>0</v>
      </c>
      <c r="BH13" s="332">
        <f t="shared" si="62"/>
        <v>0</v>
      </c>
      <c r="BI13" s="332">
        <f t="shared" si="62"/>
        <v>0</v>
      </c>
      <c r="BJ13" s="332">
        <f t="shared" si="62"/>
        <v>0</v>
      </c>
      <c r="BK13" s="332">
        <f t="shared" si="62"/>
        <v>0</v>
      </c>
      <c r="BL13" s="332">
        <f t="shared" si="62"/>
        <v>0</v>
      </c>
      <c r="BM13" s="332">
        <f t="shared" si="62"/>
        <v>0</v>
      </c>
      <c r="BN13" s="332">
        <f t="shared" si="62"/>
        <v>0</v>
      </c>
      <c r="BO13" s="332">
        <f>SUBTOTAL(3,BO11:BO11)</f>
        <v>0</v>
      </c>
      <c r="BP13" s="332">
        <f>SUBTOTAL(3,BP11:BP11)</f>
        <v>0</v>
      </c>
      <c r="BQ13" s="332">
        <f>SUBTOTAL(3,BQ11:BQ11)</f>
        <v>0</v>
      </c>
      <c r="BR13" s="332">
        <f>SUBTOTAL(9,BR11:BR11)</f>
        <v>0</v>
      </c>
      <c r="BS13" s="332">
        <f>SUBTOTAL(3,BS11:BS11)</f>
        <v>0</v>
      </c>
      <c r="BT13" s="332">
        <f>SUBTOTAL(9,BT11:BT11)</f>
        <v>0</v>
      </c>
      <c r="BU13" s="335"/>
      <c r="BV13" s="335"/>
      <c r="BW13" s="335"/>
      <c r="BX13" s="335"/>
      <c r="BY13" s="335"/>
      <c r="BZ13" s="335"/>
      <c r="CA13" s="335"/>
      <c r="CB13" s="335"/>
      <c r="CC13" s="335"/>
      <c r="CD13" s="335"/>
      <c r="CE13" s="335"/>
      <c r="CF13" s="335"/>
      <c r="CG13" s="335"/>
      <c r="CH13" s="332">
        <f>SUBTOTAL(9,CH11:CH11)</f>
        <v>0</v>
      </c>
      <c r="CI13" s="332">
        <f>SUBTOTAL(3,CI11:CI11)</f>
        <v>1</v>
      </c>
      <c r="CK13" s="334">
        <f>SUBTOTAL(3,CK11:CK11)</f>
        <v>1</v>
      </c>
      <c r="CL13" s="332">
        <f>SUBTOTAL(9,CL11:CL11)</f>
        <v>0</v>
      </c>
      <c r="CM13" s="332">
        <f>SUBTOTAL(9,CM11:CM11)</f>
        <v>0</v>
      </c>
      <c r="CN13" s="336"/>
      <c r="CO13" s="335"/>
      <c r="CR13" s="335"/>
      <c r="CS13" s="335"/>
      <c r="CV13" s="332">
        <f>SUBTOTAL(3,CV11:CV11)</f>
        <v>1</v>
      </c>
      <c r="CX13" s="332">
        <f>SUBTOTAL(3,CX11:CX11)</f>
        <v>1</v>
      </c>
      <c r="CZ13" s="332">
        <f>SUBTOTAL(3,CZ11:CZ11)</f>
        <v>1</v>
      </c>
      <c r="DB13" s="332">
        <f>SUBTOTAL(3,DB11:DB11)</f>
        <v>1</v>
      </c>
      <c r="DD13" s="332">
        <f>SUBTOTAL(3,DD11:DD11)</f>
        <v>1</v>
      </c>
      <c r="DL13" s="332" t="e">
        <f>SUBTOTAL(9,DL11:DL11)</f>
        <v>#REF!</v>
      </c>
      <c r="DM13" s="332" t="e">
        <f>SUBTOTAL(9,DM11:DM11)</f>
        <v>#REF!</v>
      </c>
      <c r="DN13" s="332">
        <f>SUBTOTAL(3,DN11:DN11)</f>
        <v>0</v>
      </c>
      <c r="DO13" s="332" t="e">
        <f>SUBTOTAL(9,DO11:DO11)</f>
        <v>#REF!</v>
      </c>
      <c r="DP13" s="332" t="e">
        <f>SUBTOTAL(9,DP11:DP11)</f>
        <v>#REF!</v>
      </c>
      <c r="DQ13" s="332" t="e">
        <f>SUBTOTAL(9,DQ11:DQ11)</f>
        <v>#REF!</v>
      </c>
      <c r="DR13" s="332" t="e">
        <f>SUBTOTAL(9,DR11:DR11)</f>
        <v>#REF!</v>
      </c>
      <c r="DS13" s="332">
        <f>SUBTOTAL(3,DS11:DS11)</f>
        <v>0</v>
      </c>
      <c r="DT13" s="332" t="e">
        <f>SUBTOTAL(9,DT11:DT11)</f>
        <v>#REF!</v>
      </c>
      <c r="DU13" s="332" t="e">
        <f>SUBTOTAL(9,DU11:DU11)</f>
        <v>#REF!</v>
      </c>
      <c r="DV13" s="332" t="e">
        <f>SUBTOTAL(9,DV11:DV11)</f>
        <v>#REF!</v>
      </c>
      <c r="DW13" s="332" t="e">
        <f>SUBTOTAL(9,DW11:DW11)</f>
        <v>#REF!</v>
      </c>
      <c r="DX13" s="332">
        <f>SUBTOTAL(3,DX11:DX11)</f>
        <v>0</v>
      </c>
      <c r="DY13" s="332" t="e">
        <f>SUBTOTAL(9,DY11:DY11)</f>
        <v>#REF!</v>
      </c>
      <c r="DZ13" s="332" t="e">
        <f>SUBTOTAL(9,DZ11:DZ11)</f>
        <v>#REF!</v>
      </c>
      <c r="EA13" s="332" t="e">
        <f>SUBTOTAL(9,EA11:EA11)</f>
        <v>#REF!</v>
      </c>
      <c r="EB13" s="332" t="e">
        <f>SUBTOTAL(9,EB11:EB11)</f>
        <v>#REF!</v>
      </c>
      <c r="EC13" s="332">
        <f>SUBTOTAL(3,EC11:EC11)</f>
        <v>1</v>
      </c>
      <c r="ED13" s="332" t="e">
        <f t="shared" ref="ED13:ET13" si="63">SUBTOTAL(9,ED11:ED11)</f>
        <v>#REF!</v>
      </c>
      <c r="EE13" s="332" t="e">
        <f t="shared" si="63"/>
        <v>#REF!</v>
      </c>
      <c r="EF13" s="332">
        <f t="shared" si="63"/>
        <v>0</v>
      </c>
      <c r="EG13" s="332" t="e">
        <f t="shared" si="63"/>
        <v>#REF!</v>
      </c>
      <c r="EH13" s="332" t="e">
        <f t="shared" si="63"/>
        <v>#REF!</v>
      </c>
      <c r="EI13" s="332" t="e">
        <f t="shared" si="63"/>
        <v>#REF!</v>
      </c>
      <c r="EJ13" s="332" t="e">
        <f t="shared" si="63"/>
        <v>#REF!</v>
      </c>
      <c r="EK13" s="332" t="e">
        <f t="shared" si="63"/>
        <v>#REF!</v>
      </c>
      <c r="EL13" s="332" t="e">
        <f t="shared" si="63"/>
        <v>#REF!</v>
      </c>
      <c r="EM13" s="332" t="e">
        <f t="shared" si="63"/>
        <v>#REF!</v>
      </c>
      <c r="EN13" s="332" t="e">
        <f t="shared" si="63"/>
        <v>#REF!</v>
      </c>
      <c r="EO13" s="332">
        <f t="shared" si="63"/>
        <v>0</v>
      </c>
      <c r="EP13" s="332">
        <f t="shared" si="63"/>
        <v>0</v>
      </c>
      <c r="EQ13" s="332">
        <f t="shared" si="63"/>
        <v>0</v>
      </c>
      <c r="ER13" s="332" t="e">
        <f t="shared" si="63"/>
        <v>#REF!</v>
      </c>
      <c r="ES13" s="332" t="e">
        <f t="shared" si="63"/>
        <v>#REF!</v>
      </c>
      <c r="ET13" s="332">
        <f t="shared" si="63"/>
        <v>0</v>
      </c>
      <c r="EU13" s="332">
        <f t="shared" ref="EU13:FA13" si="64">SUBTOTAL(3,EU11:EU11)</f>
        <v>1</v>
      </c>
      <c r="EV13" s="332">
        <f t="shared" si="64"/>
        <v>1</v>
      </c>
      <c r="EW13" s="332">
        <f t="shared" si="64"/>
        <v>1</v>
      </c>
      <c r="EX13" s="332">
        <f t="shared" si="64"/>
        <v>1</v>
      </c>
      <c r="EY13" s="332">
        <f t="shared" si="64"/>
        <v>1</v>
      </c>
      <c r="EZ13" s="332">
        <f t="shared" si="64"/>
        <v>1</v>
      </c>
      <c r="FA13" s="332">
        <f t="shared" si="64"/>
        <v>1</v>
      </c>
      <c r="FB13" s="332">
        <f>SUBTOTAL(9,FB11:FB11)</f>
        <v>0</v>
      </c>
      <c r="FC13" s="332">
        <f>SUBTOTAL(9,FC11:FC11)</f>
        <v>0</v>
      </c>
      <c r="FD13" s="332">
        <f>SUBTOTAL(9,FD11:FD11)</f>
        <v>0</v>
      </c>
      <c r="FE13" s="332">
        <f>SUBTOTAL(3,FE11:FE11)</f>
        <v>0</v>
      </c>
      <c r="FF13" s="332">
        <f>SUBTOTAL(3,FF11:FF11)</f>
        <v>0</v>
      </c>
      <c r="FG13" s="332">
        <f>SUBTOTAL(3,FG11:FG11)</f>
        <v>0</v>
      </c>
      <c r="FH13" s="332">
        <f>SUBTOTAL(3,FH11:FH11)</f>
        <v>0</v>
      </c>
      <c r="FI13" s="332" t="e">
        <f>SUBTOTAL(9,FI11:FI11)</f>
        <v>#REF!</v>
      </c>
      <c r="FJ13" s="332" t="e">
        <f>SUBTOTAL(9,FJ11:FJ11)</f>
        <v>#REF!</v>
      </c>
      <c r="FK13" s="332">
        <f>SUBTOTAL(9,FK11:FK11)</f>
        <v>0</v>
      </c>
      <c r="FL13" s="332">
        <f>SUBTOTAL(9,FL11:FL11)</f>
        <v>0</v>
      </c>
      <c r="FM13" s="332">
        <f>SUBTOTAL(3,FM11:FM11)</f>
        <v>0</v>
      </c>
      <c r="FN13" s="332">
        <f>SUBTOTAL(9,FN11:FN11)</f>
        <v>0</v>
      </c>
      <c r="FO13" s="332">
        <f>SUBTOTAL(3,FO11:FO11)</f>
        <v>0</v>
      </c>
      <c r="FP13" s="332">
        <f t="shared" ref="FP13:GC13" si="65">SUBTOTAL(9,FP11:FP11)</f>
        <v>0</v>
      </c>
      <c r="FQ13" s="332">
        <f t="shared" si="65"/>
        <v>0</v>
      </c>
      <c r="FR13" s="332">
        <f t="shared" si="65"/>
        <v>0</v>
      </c>
      <c r="FS13" s="332">
        <f t="shared" si="65"/>
        <v>0</v>
      </c>
      <c r="FT13" s="332">
        <f t="shared" si="65"/>
        <v>0</v>
      </c>
      <c r="FU13" s="332">
        <f t="shared" si="65"/>
        <v>0</v>
      </c>
      <c r="FV13" s="332">
        <f t="shared" si="65"/>
        <v>0</v>
      </c>
      <c r="FW13" s="332">
        <f t="shared" si="65"/>
        <v>0</v>
      </c>
      <c r="FX13" s="332">
        <f t="shared" si="65"/>
        <v>0</v>
      </c>
      <c r="FY13" s="332">
        <f t="shared" si="65"/>
        <v>0</v>
      </c>
      <c r="FZ13" s="332">
        <f t="shared" si="65"/>
        <v>0</v>
      </c>
      <c r="GA13" s="332">
        <f t="shared" si="65"/>
        <v>0</v>
      </c>
      <c r="GB13" s="332">
        <f t="shared" si="65"/>
        <v>0</v>
      </c>
      <c r="GC13" s="332">
        <f t="shared" si="65"/>
        <v>0</v>
      </c>
      <c r="GD13" s="332">
        <f>SUBTOTAL(3,GD11:GD11)</f>
        <v>0</v>
      </c>
      <c r="GE13" s="332">
        <f>SUBTOTAL(3,GE11:GE11)</f>
        <v>0</v>
      </c>
      <c r="GF13" s="332">
        <f>SUBTOTAL(3,GF11:GF11)</f>
        <v>0</v>
      </c>
      <c r="GG13" s="332">
        <f>SUBTOTAL(9,GG11:GG11)</f>
        <v>0</v>
      </c>
      <c r="GH13" s="332">
        <f>SUBTOTAL(9,GH11:GH11)</f>
        <v>0</v>
      </c>
      <c r="GI13" s="332">
        <f>SUBTOTAL(3,GI11:GI11)</f>
        <v>0</v>
      </c>
      <c r="GJ13" s="332">
        <f>SUBTOTAL(3,GJ11:GJ11)</f>
        <v>0</v>
      </c>
      <c r="GK13" s="332">
        <f>SUBTOTAL(9,GK11:GK11)</f>
        <v>0</v>
      </c>
      <c r="GL13" s="332">
        <f>SUBTOTAL(9,GL11:GL11)</f>
        <v>0</v>
      </c>
      <c r="GN13" s="335"/>
      <c r="GO13" s="335"/>
      <c r="GP13" s="335"/>
      <c r="GQ13" s="332">
        <f>SUBTOTAL(9,GQ11:GQ11)</f>
        <v>0</v>
      </c>
      <c r="GR13" s="332" t="e">
        <f>SUBTOTAL(9,GR11:GR11)</f>
        <v>#REF!</v>
      </c>
      <c r="GS13" s="332" t="e">
        <f>SUBTOTAL(9,GS11:GS11)</f>
        <v>#REF!</v>
      </c>
    </row>
    <row r="14" spans="1:879" ht="30" customHeight="1" x14ac:dyDescent="0.15"/>
    <row r="15" spans="1:879" ht="30" customHeight="1" x14ac:dyDescent="0.15"/>
    <row r="16" spans="1:879"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row r="26" ht="30" customHeight="1" x14ac:dyDescent="0.15"/>
    <row r="27" ht="30" customHeight="1" x14ac:dyDescent="0.15"/>
  </sheetData>
  <mergeCells count="9">
    <mergeCell ref="ED4:EG4"/>
    <mergeCell ref="AB4:AD4"/>
    <mergeCell ref="X4:Z4"/>
    <mergeCell ref="BU5:BZ5"/>
    <mergeCell ref="CA5:CF5"/>
    <mergeCell ref="AZ3:AZ5"/>
    <mergeCell ref="DH3:DJ4"/>
    <mergeCell ref="EA4:EC4"/>
    <mergeCell ref="CV3:DE3"/>
  </mergeCells>
  <phoneticPr fontId="1"/>
  <conditionalFormatting sqref="O6:AW11 AY6:AZ11">
    <cfRule type="expression" dxfId="7" priority="22">
      <formula>($D6="改修")</formula>
    </cfRule>
  </conditionalFormatting>
  <conditionalFormatting sqref="BA6:BT11">
    <cfRule type="expression" dxfId="6" priority="21">
      <formula>OR($D6="新築",$D6="登録")</formula>
    </cfRule>
  </conditionalFormatting>
  <conditionalFormatting sqref="FK6:GL11">
    <cfRule type="expression" dxfId="5" priority="6">
      <formula>OR($D6="新築",$D6="登録")</formula>
    </cfRule>
  </conditionalFormatting>
  <conditionalFormatting sqref="DL6:DZ11 ED6:EG10 EA6:EB10 EG11 EA11 EH6:FJ11 EC6:EC11">
    <cfRule type="expression" dxfId="4" priority="5">
      <formula>OR($D6="改修",$D6="登録")</formula>
    </cfRule>
  </conditionalFormatting>
  <conditionalFormatting sqref="ED11">
    <cfRule type="expression" dxfId="3" priority="4">
      <formula>OR($D11="改修",$D11="登録")</formula>
    </cfRule>
  </conditionalFormatting>
  <conditionalFormatting sqref="EE11:EF11">
    <cfRule type="expression" dxfId="2" priority="3">
      <formula>OR($D11="改修",$D11="登録")</formula>
    </cfRule>
  </conditionalFormatting>
  <conditionalFormatting sqref="EB11">
    <cfRule type="expression" dxfId="1" priority="2">
      <formula>OR($D11="改修",$D11="登録")</formula>
    </cfRule>
  </conditionalFormatting>
  <conditionalFormatting sqref="AX6:AX11">
    <cfRule type="expression" dxfId="0" priority="1">
      <formula>($D6="改修")</formula>
    </cfRule>
  </conditionalFormatting>
  <dataValidations disablePrompts="1" xWindow="1008" yWindow="779" count="57">
    <dataValidation type="list" allowBlank="1" showInputMessage="1" showErrorMessage="1" sqref="G11">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F6:GF11">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E6:GE11">
      <formula1>7</formula1>
    </dataValidation>
    <dataValidation allowBlank="1" showErrorMessage="1" sqref="GJ6:GJ11"/>
    <dataValidation operator="greaterThanOrEqual" allowBlank="1" showInputMessage="1" showErrorMessage="1" error="整数値で入力" sqref="FO6:FO11"/>
    <dataValidation allowBlank="1" showInputMessage="1" showErrorMessage="1" error="0.3以上が補助対象、実木材使用量以下の数値を入力" sqref="FM6:FM11"/>
    <dataValidation type="list" allowBlank="1" showInputMessage="1" showErrorMessage="1" prompt="EO列に畳事業者名を入力してください。" sqref="EZ6:EZ10">
      <formula1>"1"</formula1>
    </dataValidation>
    <dataValidation type="list" allowBlank="1" showInputMessage="1" showErrorMessage="1" prompt="EN列の木製建具事業者名も入力してください。" sqref="EY6:EY10">
      <formula1>"1,2"</formula1>
    </dataValidation>
    <dataValidation type="list" allowBlank="1" showInputMessage="1" showErrorMessage="1" prompt="EM列の左官材料の種類も選択してください。" sqref="EW6:EW10">
      <formula1>"1,2"</formula1>
    </dataValidation>
    <dataValidation type="list" allowBlank="1" showInputMessage="1" showErrorMessage="1" prompt="EL列の瓦の種類も選択してください。" sqref="EX6:EX10">
      <formula1>"2"</formula1>
    </dataValidation>
    <dataValidation type="list" allowBlank="1" showErrorMessage="1" sqref="FF6:FF11 GI6:GI11">
      <formula1>"モルタル塗,漆喰塗,土壁塗,そとん壁,じゅらく塗,珪藻土塗,その他"</formula1>
    </dataValidation>
    <dataValidation type="list" allowBlank="1" showErrorMessage="1" sqref="FE6:FE11">
      <formula1>"平板瓦,和瓦,S瓦"</formula1>
    </dataValidation>
    <dataValidation operator="greaterThanOrEqual" allowBlank="1" showInputMessage="1" showErrorMessage="1" error="県産材の実使用量より大きな値は入力しないでください。" sqref="EF6:EF10"/>
    <dataValidation operator="lessThanOrEqual" allowBlank="1" showInputMessage="1" showErrorMessage="1" error="県産材の実使用量より大きな値は入力しないでください。" sqref="DX6:DX10"/>
    <dataValidation operator="lessThanOrEqual" allowBlank="1" showInputMessage="1" showErrorMessage="1" error="県産材の実使用量より大きな値は入力しないでください（整数値入力）。" sqref="AF11:AG11 S11 V11 AC11 Y11 AN11:AT11 AJ11:AK11 DS6:DS10 AW11:AY11"/>
    <dataValidation allowBlank="1" showInputMessage="1" showErrorMessage="1" error="実木材使用量より大きな値は入力しないでください。補助対象は10m3以上です（整数値で入力）。" sqref="P11 DN6:DN1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1">
      <formula1>7</formula1>
    </dataValidation>
    <dataValidation type="list" allowBlank="1" showInputMessage="1" showErrorMessage="1" prompt="AX列の左官材料の種類も選択してください。" sqref="AP6:AP10">
      <formula1>"1,2"</formula1>
    </dataValidation>
    <dataValidation type="list" allowBlank="1" showInputMessage="1" showErrorMessage="1" prompt="AW列の瓦の種類も選択してください。" sqref="AQ6:AQ10">
      <formula1>"2"</formula1>
    </dataValidation>
    <dataValidation allowBlank="1" showInputMessage="1" showErrorMessage="1" prompt="自動計算" sqref="E6:E11 Q6:R11 AD6:AE11 T6:U11 AU6:AV11 AL6:AM11 BD6:BE11 BM6:BN11 BR6:BR11 BT6:BT11 CH6:CH11 AH6:AI11 AZ6:AZ11 Z6:AB11 W6:X11 B6:B11 BH6:BI11 FB6:FD11 GA6:GC11 FU6:FW11 FP6:FR11 DO6:DQ11 ER6:ET11 EM6:EO11 DT6:DV11 FI6:FJ11 GK6:GL11 GG6:GH11 GQ6:GS11 DY6:EA11 EG6:EJ11 EC6:ED11"/>
    <dataValidation type="list" allowBlank="1" showInputMessage="1" showErrorMessage="1" sqref="BS6:BS11 AX6:AY10">
      <formula1>"モルタル塗,漆喰塗,土壁塗,そとん壁,じゅらく塗,珪藻土塗,その他"</formula1>
    </dataValidation>
    <dataValidation type="list" allowBlank="1" showInputMessage="1" showErrorMessage="1" sqref="AW6:AW1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formula1>"新築,改修,登録"</formula1>
    </dataValidation>
    <dataValidation type="list" allowBlank="1" showInputMessage="1" showErrorMessage="1" sqref="CK6:CK10">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Q6:BQ11">
      <formula1>3</formula1>
    </dataValidation>
    <dataValidation type="whole" operator="greaterThanOrEqual" allowBlank="1" showInputMessage="1" showErrorMessage="1" error="７未満の値は入力しないでください。（補助対象となるのは最低７平方メートル以上です）" sqref="BO6:BO11 GD6:GD11">
      <formula1>7</formula1>
    </dataValidation>
    <dataValidation type="whole" operator="greaterThanOrEqual" allowBlank="1" showInputMessage="1" showErrorMessage="1" error="整数値で入力" sqref="BC6:BC11 FN6:FN11">
      <formula1>0</formula1>
    </dataValidation>
    <dataValidation type="list" allowBlank="1" showInputMessage="1" showErrorMessage="1" sqref="AO6:AO10 EV6:EV10">
      <formula1>"2"</formula1>
    </dataValidation>
    <dataValidation type="list" allowBlank="1" showInputMessage="1" showErrorMessage="1" sqref="AR6:AR10 AT6:AT10 FA6:FA10">
      <formula1>"1,2"</formula1>
    </dataValidation>
    <dataValidation type="list" allowBlank="1" showInputMessage="1" showErrorMessage="1" sqref="AN6:AN10 EU6:EU10">
      <formula1>"4"</formula1>
    </dataValidation>
    <dataValidation type="whole" operator="greaterThanOrEqual" allowBlank="1" showInputMessage="1" showErrorMessage="1" error="10以上の整数値を入力してください。" sqref="O6:O10 DL6:DL10">
      <formula1>10</formula1>
    </dataValidation>
    <dataValidation type="whole" operator="greaterThanOrEqual" allowBlank="1" showInputMessage="1" showErrorMessage="1" error="県産材の実使用量より大きな値は入力しないでください。" sqref="AC6:AC10 EE6:EE10">
      <formula1>0</formula1>
    </dataValidation>
    <dataValidation type="list" allowBlank="1" showInputMessage="1" showErrorMessage="1" sqref="M6:M1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F6:F11">
      <formula1>"債,支→債,債→支"</formula1>
    </dataValidation>
    <dataValidation type="date" operator="greaterThanOrEqual" allowBlank="1" showInputMessage="1" showErrorMessage="1" error="日付以外の内容は入力できません" sqref="CF10 BV10 BW6:BW10 BX10 BY6:BY10 BZ10 CB10 CC6:CC10 CD10 CE6:CE10 BU6:BU10">
      <formula1>1</formula1>
    </dataValidation>
    <dataValidation type="list" allowBlank="1" showInputMessage="1" showErrorMessage="1" sqref="CN6:CN10">
      <formula1>"要,不要"</formula1>
    </dataValidation>
    <dataValidation type="decimal" operator="greaterThanOrEqual" allowBlank="1" showInputMessage="1" showErrorMessage="1" error="数値以外は入力できません" sqref="CL6:CM10">
      <formula1>0</formula1>
    </dataValidation>
    <dataValidation type="date" operator="greaterThanOrEqual" allowBlank="1" showInputMessage="1" showErrorMessage="1" error="日付以外は入力できません" sqref="CO6:CO10 CR6:CS11 GN6:GP11">
      <formula1>1</formula1>
    </dataValidation>
    <dataValidation type="date" operator="greaterThanOrEqual" allowBlank="1" showInputMessage="1" showErrorMessage="1" error="日付以外の値は入力できません" sqref="H6:H11">
      <formula1>1</formula1>
    </dataValidation>
    <dataValidation type="list" allowBlank="1" showInputMessage="1" showErrorMessage="1" sqref="GM6:GM11">
      <formula1>"実績,取下,取消"</formula1>
    </dataValidation>
    <dataValidation type="list" allowBlank="1" showInputMessage="1" showErrorMessage="1" sqref="CQ6:CQ11">
      <formula1>"若年子育て,三世代近居,三世代同居"</formula1>
    </dataValidation>
    <dataValidation type="list" allowBlank="1" showInputMessage="1" showErrorMessage="1" sqref="BF6:BG11 BJ6:BL11 AF6:AG10 AS6:AS10 AJ6:AK10 EK6:EL10 FX6:FZ11 FS6:FT11 EP6:EQ10">
      <formula1>"1"</formula1>
    </dataValidation>
    <dataValidation type="decimal" operator="greaterThanOrEqual" allowBlank="1" showInputMessage="1" showErrorMessage="1" sqref="BA6:BA11 FK6:FK11">
      <formula1>0</formula1>
    </dataValidation>
    <dataValidation type="whole" operator="lessThanOrEqual" allowBlank="1" showInputMessage="1" showErrorMessage="1" error="県産材の実使用量より大きな値は入力しないでください。" sqref="DW6:DW10">
      <formula1>DR6</formula1>
    </dataValidation>
    <dataValidation imeMode="halfAlpha" allowBlank="1" showInputMessage="1" showErrorMessage="1" sqref="L1:L1048576 J1:J1048576"/>
    <dataValidation type="whole" allowBlank="1" showInputMessage="1" showErrorMessage="1" error="実木材使用量より大きな値は入力しないでください。補助対象は10m3以上です（整数値で入力）。" sqref="P6:P10 DM6:DM10">
      <formula1>10</formula1>
      <formula2>O6</formula2>
    </dataValidation>
    <dataValidation type="whole" operator="lessThanOrEqual" allowBlank="1" showInputMessage="1" showErrorMessage="1" error="県産材の実使用量より大きな値は入力しないでください（整数値入力）。" sqref="DR6:DR10">
      <formula1>DM6</formula1>
    </dataValidation>
    <dataValidation type="decimal" allowBlank="1" showInputMessage="1" showErrorMessage="1" error="0.3以上が補助対象、実木材使用量以下の数値を入力" sqref="BB6:BB11 FL6:FL11">
      <formula1>0.3</formula1>
      <formula2>BA6</formula2>
    </dataValidation>
    <dataValidation type="whole" operator="lessThanOrEqual" allowBlank="1" showInputMessage="1" showErrorMessage="1" error="県産材の実使用量より大きな値は入力しないでください（整数値入力）。" sqref="S6:S10">
      <formula1>P6</formula1>
    </dataValidation>
    <dataValidation type="whole" operator="lessThanOrEqual" allowBlank="1" showInputMessage="1" showErrorMessage="1" error="県産材の実使用量より大きな値は入力しないでください。" sqref="V6:V10">
      <formula1>S6</formula1>
    </dataValidation>
    <dataValidation type="date" operator="greaterThanOrEqual" allowBlank="1" showInputMessage="1" showErrorMessage="1" error="申請日より前の日付や、日付以外の内容は入力できません" sqref="CA6:CA10">
      <formula1>BU6</formula1>
    </dataValidation>
    <dataValidation type="date" operator="greaterThanOrEqual" allowBlank="1" showInputMessage="1" showErrorMessage="1" error="申請日より前の日付や、日付以外の内容は入力できません" sqref="CG6:CG10">
      <formula1>H6</formula1>
    </dataValidation>
    <dataValidation type="decimal" operator="lessThanOrEqual" allowBlank="1" showInputMessage="1" showErrorMessage="1" error="県産材の実使用量より大きな値は入力しないでください。" sqref="Y6:Y10">
      <formula1>S6</formula1>
    </dataValidation>
    <dataValidation operator="greaterThanOrEqual" allowBlank="1" showInputMessage="1" showErrorMessage="1" error="10以上の整数値を入力してください。" sqref="O11 DL11:DN11 DR11:DS11 DW11:DX11 EE11:EF11 EB11 EK11:EL11 EP11:EQ11 EU11:FA11 FG11:FH11"/>
    <dataValidation operator="greaterThanOrEqual" allowBlank="1" showInputMessage="1" showErrorMessage="1" error="日付以外の内容は入力できません" sqref="BZ6:BZ9 BV6:BV9 BX6:BX9 CD6:CD9 CF6:CF9 CB6:CB9 BU11:CG11"/>
    <dataValidation operator="greaterThanOrEqual" allowBlank="1" showInputMessage="1" showErrorMessage="1" error="数値以外は入力できません" sqref="CL11:CP11 CT11:CU11"/>
    <dataValidation type="decimal" operator="lessThanOrEqual" allowBlank="1" showInputMessage="1" showErrorMessage="1" error="県産材の実使用量より大きな値は入力しないでください。" sqref="EB6:EB10">
      <formula1>DR6</formula1>
    </dataValidation>
  </dataValidation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
  <sheetViews>
    <sheetView zoomScale="112" zoomScaleNormal="112" workbookViewId="0">
      <selection activeCell="J9" sqref="J9"/>
    </sheetView>
  </sheetViews>
  <sheetFormatPr defaultColWidth="9" defaultRowHeight="14.25" x14ac:dyDescent="0.15"/>
  <cols>
    <col min="1" max="1" width="5.625" style="367" customWidth="1"/>
    <col min="2" max="2" width="5.25" style="367" bestFit="1" customWidth="1"/>
    <col min="3" max="3" width="2.5" style="367" bestFit="1" customWidth="1"/>
    <col min="4" max="4" width="3.375" style="367" bestFit="1" customWidth="1"/>
    <col min="5" max="5" width="2.5" style="367" bestFit="1" customWidth="1"/>
    <col min="6" max="6" width="3.375" style="367" bestFit="1" customWidth="1"/>
    <col min="7" max="7" width="2.5" style="367" bestFit="1" customWidth="1"/>
    <col min="8" max="8" width="3.375" style="367" bestFit="1" customWidth="1"/>
    <col min="9" max="10" width="12.625" style="367" customWidth="1"/>
    <col min="11" max="11" width="35.875" style="360" customWidth="1"/>
    <col min="12" max="12" width="9" style="360" bestFit="1" customWidth="1"/>
    <col min="13" max="13" width="9" style="360" customWidth="1"/>
    <col min="14" max="14" width="37.75" style="360" customWidth="1"/>
    <col min="15" max="18" width="9" style="360" customWidth="1"/>
    <col min="19" max="19" width="5.25" style="367" bestFit="1" customWidth="1"/>
    <col min="20" max="20" width="2.5" style="367" bestFit="1" customWidth="1"/>
    <col min="21" max="21" width="3.375" style="367" bestFit="1" customWidth="1"/>
    <col min="22" max="22" width="2.5" style="367" bestFit="1" customWidth="1"/>
    <col min="23" max="23" width="3.375" style="367" bestFit="1" customWidth="1"/>
    <col min="24" max="24" width="2.5" style="367" bestFit="1" customWidth="1"/>
    <col min="25" max="25" width="3.375" style="367" bestFit="1" customWidth="1"/>
    <col min="26" max="26" width="5.25" style="367" bestFit="1" customWidth="1"/>
    <col min="27" max="27" width="2.5" style="367" bestFit="1" customWidth="1"/>
    <col min="28" max="28" width="3.375" style="367" bestFit="1" customWidth="1"/>
    <col min="29" max="29" width="2.5" style="367" bestFit="1" customWidth="1"/>
    <col min="30" max="30" width="3.375" style="367" bestFit="1" customWidth="1"/>
    <col min="31" max="31" width="2.5" style="367" bestFit="1" customWidth="1"/>
    <col min="32" max="32" width="3.375" style="367" bestFit="1" customWidth="1"/>
    <col min="33" max="33" width="24.875" style="360" customWidth="1"/>
    <col min="34" max="34" width="30.75" style="360" customWidth="1"/>
    <col min="35" max="35" width="21" style="360" customWidth="1"/>
    <col min="36" max="39" width="12.25" style="360" customWidth="1"/>
    <col min="40" max="40" width="5.25" style="360" bestFit="1" customWidth="1"/>
    <col min="41" max="41" width="22" style="360" customWidth="1"/>
    <col min="42" max="42" width="5.25" style="360" bestFit="1" customWidth="1"/>
    <col min="43" max="43" width="28.25" style="360" customWidth="1"/>
    <col min="44" max="44" width="11.375" style="360" bestFit="1" customWidth="1"/>
    <col min="45" max="45" width="15.625" style="360" customWidth="1"/>
    <col min="46" max="46" width="17.875" style="360" bestFit="1" customWidth="1"/>
    <col min="47" max="47" width="10.625" style="360" customWidth="1"/>
    <col min="48" max="48" width="16.375" style="360" customWidth="1"/>
    <col min="49" max="49" width="17.375" style="360" customWidth="1"/>
    <col min="50" max="50" width="10.625" style="360" customWidth="1"/>
    <col min="51" max="53" width="13.625" style="368" customWidth="1"/>
    <col min="54" max="54" width="11.625" style="369" customWidth="1"/>
    <col min="55" max="16384" width="9" style="360"/>
  </cols>
  <sheetData>
    <row r="1" spans="1:54" ht="14.25" customHeight="1" x14ac:dyDescent="0.15">
      <c r="A1" s="673" t="s">
        <v>476</v>
      </c>
      <c r="B1" s="656" t="s">
        <v>477</v>
      </c>
      <c r="C1" s="657"/>
      <c r="D1" s="657"/>
      <c r="E1" s="657"/>
      <c r="F1" s="657"/>
      <c r="G1" s="657"/>
      <c r="H1" s="658"/>
      <c r="I1" s="675" t="s">
        <v>478</v>
      </c>
      <c r="J1" s="662" t="s">
        <v>484</v>
      </c>
      <c r="K1" s="663"/>
      <c r="L1" s="664"/>
      <c r="M1" s="662" t="s">
        <v>1</v>
      </c>
      <c r="N1" s="664"/>
      <c r="O1" s="374" t="s">
        <v>30</v>
      </c>
      <c r="P1" s="374" t="s">
        <v>131</v>
      </c>
      <c r="Q1" s="374" t="s">
        <v>168</v>
      </c>
      <c r="R1" s="374" t="s">
        <v>491</v>
      </c>
      <c r="S1" s="656" t="s">
        <v>494</v>
      </c>
      <c r="T1" s="657"/>
      <c r="U1" s="657"/>
      <c r="V1" s="657"/>
      <c r="W1" s="657"/>
      <c r="X1" s="657"/>
      <c r="Y1" s="658"/>
      <c r="Z1" s="656" t="s">
        <v>493</v>
      </c>
      <c r="AA1" s="657"/>
      <c r="AB1" s="657"/>
      <c r="AC1" s="657"/>
      <c r="AD1" s="657"/>
      <c r="AE1" s="657"/>
      <c r="AF1" s="658"/>
      <c r="AG1" s="662" t="s">
        <v>495</v>
      </c>
      <c r="AH1" s="663"/>
      <c r="AI1" s="664"/>
      <c r="AJ1" s="656" t="s">
        <v>281</v>
      </c>
      <c r="AK1" s="383"/>
      <c r="AL1" s="383"/>
      <c r="AM1" s="384"/>
      <c r="AN1" s="662" t="s">
        <v>496</v>
      </c>
      <c r="AO1" s="664"/>
      <c r="AP1" s="662" t="s">
        <v>499</v>
      </c>
      <c r="AQ1" s="664"/>
      <c r="AR1" s="374" t="s">
        <v>501</v>
      </c>
      <c r="AS1" s="662" t="s">
        <v>503</v>
      </c>
      <c r="AT1" s="664"/>
      <c r="AU1" s="668" t="s">
        <v>507</v>
      </c>
      <c r="AV1" s="666" t="s">
        <v>479</v>
      </c>
      <c r="AW1" s="668" t="s">
        <v>510</v>
      </c>
      <c r="AX1" s="666" t="s">
        <v>509</v>
      </c>
      <c r="AY1" s="671" t="s">
        <v>480</v>
      </c>
      <c r="AZ1" s="671" t="s">
        <v>481</v>
      </c>
      <c r="BA1" s="671" t="s">
        <v>482</v>
      </c>
      <c r="BB1" s="654" t="s">
        <v>508</v>
      </c>
    </row>
    <row r="2" spans="1:54" s="361" customFormat="1" x14ac:dyDescent="0.15">
      <c r="A2" s="674"/>
      <c r="B2" s="659"/>
      <c r="C2" s="660"/>
      <c r="D2" s="660"/>
      <c r="E2" s="660"/>
      <c r="F2" s="660"/>
      <c r="G2" s="660"/>
      <c r="H2" s="661"/>
      <c r="I2" s="676"/>
      <c r="J2" s="372" t="s">
        <v>483</v>
      </c>
      <c r="K2" s="373" t="s">
        <v>13</v>
      </c>
      <c r="L2" s="373" t="s">
        <v>485</v>
      </c>
      <c r="M2" s="373" t="s">
        <v>487</v>
      </c>
      <c r="N2" s="373" t="s">
        <v>488</v>
      </c>
      <c r="O2" s="373"/>
      <c r="P2" s="373" t="s">
        <v>489</v>
      </c>
      <c r="Q2" s="373" t="s">
        <v>490</v>
      </c>
      <c r="R2" s="373" t="s">
        <v>492</v>
      </c>
      <c r="S2" s="659"/>
      <c r="T2" s="660"/>
      <c r="U2" s="660"/>
      <c r="V2" s="660"/>
      <c r="W2" s="660"/>
      <c r="X2" s="660"/>
      <c r="Y2" s="661"/>
      <c r="Z2" s="659"/>
      <c r="AA2" s="660"/>
      <c r="AB2" s="660"/>
      <c r="AC2" s="660"/>
      <c r="AD2" s="660"/>
      <c r="AE2" s="660"/>
      <c r="AF2" s="661"/>
      <c r="AG2" s="373" t="s">
        <v>3</v>
      </c>
      <c r="AH2" s="373" t="s">
        <v>4</v>
      </c>
      <c r="AI2" s="373" t="s">
        <v>44</v>
      </c>
      <c r="AJ2" s="665"/>
      <c r="AK2" s="372" t="s">
        <v>511</v>
      </c>
      <c r="AL2" s="372" t="s">
        <v>512</v>
      </c>
      <c r="AM2" s="372" t="s">
        <v>513</v>
      </c>
      <c r="AN2" s="373" t="s">
        <v>497</v>
      </c>
      <c r="AO2" s="373" t="s">
        <v>498</v>
      </c>
      <c r="AP2" s="373" t="s">
        <v>500</v>
      </c>
      <c r="AQ2" s="373" t="s">
        <v>59</v>
      </c>
      <c r="AR2" s="372" t="s">
        <v>502</v>
      </c>
      <c r="AS2" s="373" t="s">
        <v>504</v>
      </c>
      <c r="AT2" s="373" t="s">
        <v>505</v>
      </c>
      <c r="AU2" s="669"/>
      <c r="AV2" s="667"/>
      <c r="AW2" s="669"/>
      <c r="AX2" s="670"/>
      <c r="AY2" s="672"/>
      <c r="AZ2" s="672"/>
      <c r="BA2" s="672"/>
      <c r="BB2" s="655"/>
    </row>
    <row r="3" spans="1:54" s="361" customFormat="1" x14ac:dyDescent="0.15">
      <c r="A3" s="362"/>
      <c r="B3" s="375" t="s">
        <v>274</v>
      </c>
      <c r="C3" s="376"/>
      <c r="D3" s="376" t="s">
        <v>8</v>
      </c>
      <c r="E3" s="376"/>
      <c r="F3" s="376" t="s">
        <v>272</v>
      </c>
      <c r="G3" s="376"/>
      <c r="H3" s="377" t="s">
        <v>7</v>
      </c>
      <c r="I3" s="370" t="str">
        <f>IF('【様式第６号】事業計画書兼チェックシート（新築）'!N12="","",'【様式第６号】事業計画書兼チェックシート（新築）'!N12)</f>
        <v/>
      </c>
      <c r="J3" s="370" t="str">
        <f>IF('【様式第６号】事業計画書兼チェックシート（新築）'!O10="","",'【様式第６号】事業計画書兼チェックシート（新築）'!O10)</f>
        <v/>
      </c>
      <c r="K3" s="371" t="str">
        <f>IF('【様式第６号】事業計画書兼チェックシート（新築）'!N11="","",'【様式第６号】事業計画書兼チェックシート（新築）'!N11)</f>
        <v/>
      </c>
      <c r="L3" s="371" t="str">
        <f>IF('【様式第６号】事業計画書兼チェックシート（新築）'!N13="","",'【様式第６号】事業計画書兼チェックシート（新築）'!N13)</f>
        <v/>
      </c>
      <c r="M3" s="371" t="str">
        <f>IF('【様式第６号】事業計画書兼チェックシート（新築）'!M28="","",'【様式第６号】事業計画書兼チェックシート（新築）'!M28)</f>
        <v>境港市</v>
      </c>
      <c r="N3" s="371" t="str">
        <f>IF('【様式第６号】事業計画書兼チェックシート（新築）'!I29="","",'【様式第６号】事業計画書兼チェックシート（新築）'!I29)</f>
        <v/>
      </c>
      <c r="O3" s="371" t="str">
        <f>IF('【様式第６号】事業計画書兼チェックシート（新築）'!I31="","",'【様式第６号】事業計画書兼チェックシート（新築）'!I31)</f>
        <v/>
      </c>
      <c r="P3" s="371" t="str">
        <f>IF('【様式第６号】事業計画書兼チェックシート（新築）'!S31="","",'【様式第６号】事業計画書兼チェックシート（新築）'!S31)</f>
        <v/>
      </c>
      <c r="Q3" s="371" t="str">
        <f>IF('【様式第６号】事業計画書兼チェックシート（新築）'!I32="","",'【様式第６号】事業計画書兼チェックシート（新築）'!I32)</f>
        <v/>
      </c>
      <c r="R3" s="378" t="str">
        <f>IF(Q3="","",P3/Q3)</f>
        <v/>
      </c>
      <c r="S3" s="379" t="s">
        <v>274</v>
      </c>
      <c r="T3" s="380" t="str">
        <f>IF('【様式第６号】事業計画書兼チェックシート（新築）'!N37="","",'【様式第６号】事業計画書兼チェックシート（新築）'!N37)</f>
        <v/>
      </c>
      <c r="U3" s="380" t="s">
        <v>8</v>
      </c>
      <c r="V3" s="380" t="str">
        <f>IF('【様式第６号】事業計画書兼チェックシート（新築）'!S37="","",'【様式第６号】事業計画書兼チェックシート（新築）'!S37)</f>
        <v/>
      </c>
      <c r="W3" s="380" t="s">
        <v>272</v>
      </c>
      <c r="X3" s="380" t="str">
        <f>IF('【様式第６号】事業計画書兼チェックシート（新築）'!V37="","",'【様式第６号】事業計画書兼チェックシート（新築）'!V37)</f>
        <v/>
      </c>
      <c r="Y3" s="381" t="s">
        <v>7</v>
      </c>
      <c r="Z3" s="379" t="s">
        <v>274</v>
      </c>
      <c r="AA3" s="380" t="str">
        <f>IF('【様式第６号】事業計画書兼チェックシート（新築）'!N38="","",'【様式第６号】事業計画書兼チェックシート（新築）'!N38)</f>
        <v/>
      </c>
      <c r="AB3" s="380" t="s">
        <v>8</v>
      </c>
      <c r="AC3" s="380" t="str">
        <f>IF('【様式第６号】事業計画書兼チェックシート（新築）'!S38="","",'【様式第６号】事業計画書兼チェックシート（新築）'!S38)</f>
        <v/>
      </c>
      <c r="AD3" s="380" t="s">
        <v>272</v>
      </c>
      <c r="AE3" s="380" t="str">
        <f>IF('【様式第６号】事業計画書兼チェックシート（新築）'!V38="","",'【様式第６号】事業計画書兼チェックシート（新築）'!V38)</f>
        <v/>
      </c>
      <c r="AF3" s="381" t="s">
        <v>7</v>
      </c>
      <c r="AG3" s="371" t="str">
        <f>IF('【様式第６号】事業計画書兼チェックシート（新築）'!I41="","",'【様式第６号】事業計画書兼チェックシート（新築）'!I41)</f>
        <v/>
      </c>
      <c r="AH3" s="371" t="str">
        <f>IF('【様式第６号】事業計画書兼チェックシート（新築）'!I42="","",'【様式第６号】事業計画書兼チェックシート（新築）'!I42)</f>
        <v/>
      </c>
      <c r="AI3" s="371" t="str">
        <f>IF('【様式第６号】事業計画書兼チェックシート（新築）'!I43="","",'【様式第６号】事業計画書兼チェックシート（新築）'!I43)</f>
        <v/>
      </c>
      <c r="AJ3" s="371" t="str">
        <f>IF('【様式第６号】事業計画書兼チェックシート（新築）'!U52="","",'【様式第６号】事業計画書兼チェックシート（新築）'!U52)</f>
        <v/>
      </c>
      <c r="AK3" s="371">
        <f>IF(AJ3="T-G1",1,0)</f>
        <v>0</v>
      </c>
      <c r="AL3" s="371">
        <f>IF(AJ3="T-G2",1,0)</f>
        <v>0</v>
      </c>
      <c r="AM3" s="371">
        <f>IF(AJ3="T-G3",1,0)</f>
        <v>0</v>
      </c>
      <c r="AN3" s="371">
        <f>IF('【様式第６号】事業計画書兼チェックシート（新築）'!B55="",0,1)</f>
        <v>0</v>
      </c>
      <c r="AO3" s="371" t="str">
        <f>IF('【様式第６号】事業計画書兼チェックシート（新築）'!U55="","",'【様式第６号】事業計画書兼チェックシート（新築）'!U55)</f>
        <v/>
      </c>
      <c r="AP3" s="371">
        <f>IF('【様式第６号】事業計画書兼チェックシート（新築）'!B58="",0,1)</f>
        <v>0</v>
      </c>
      <c r="AQ3" s="371" t="str">
        <f>IF('【様式第６号】事業計画書兼チェックシート（新築）'!U58="","",'【様式第６号】事業計画書兼チェックシート（新築）'!U58)</f>
        <v/>
      </c>
      <c r="AR3" s="371">
        <f>IF('【様式第６号】事業計画書兼チェックシート（新築）'!B66="",0,1)</f>
        <v>0</v>
      </c>
      <c r="AS3" s="371">
        <f>IF('【様式第６号】事業計画書兼チェックシート（新築）'!B89="",0,1)</f>
        <v>0</v>
      </c>
      <c r="AT3" s="371">
        <f>IF('【様式第６号】事業計画書兼チェックシート（新築）'!B89="",IF('【様式第６号】事業計画書兼チェックシート（新築）'!B64="",0,1),0)</f>
        <v>0</v>
      </c>
      <c r="AU3" s="382" t="str">
        <f>IF('【様式第６号】事業計画書兼チェックシート（新築）'!T232="","",'【様式第６号】事業計画書兼チェックシート（新築）'!T232*10000)</f>
        <v/>
      </c>
      <c r="AV3" s="363"/>
      <c r="AW3" s="363"/>
      <c r="AX3" s="364"/>
      <c r="AY3" s="365"/>
      <c r="AZ3" s="365"/>
      <c r="BA3" s="365"/>
      <c r="BB3" s="366"/>
    </row>
    <row r="4" spans="1:54" x14ac:dyDescent="0.15">
      <c r="B4" s="359" t="s">
        <v>514</v>
      </c>
    </row>
  </sheetData>
  <mergeCells count="20">
    <mergeCell ref="A1:A2"/>
    <mergeCell ref="I1:I2"/>
    <mergeCell ref="AP1:AQ1"/>
    <mergeCell ref="AS1:AT1"/>
    <mergeCell ref="BB1:BB2"/>
    <mergeCell ref="B1:H2"/>
    <mergeCell ref="J1:L1"/>
    <mergeCell ref="M1:N1"/>
    <mergeCell ref="S1:Y2"/>
    <mergeCell ref="Z1:AF2"/>
    <mergeCell ref="AG1:AI1"/>
    <mergeCell ref="AJ1:AJ2"/>
    <mergeCell ref="AN1:AO1"/>
    <mergeCell ref="AV1:AV2"/>
    <mergeCell ref="AW1:AW2"/>
    <mergeCell ref="AX1:AX2"/>
    <mergeCell ref="AY1:AY2"/>
    <mergeCell ref="AZ1:AZ2"/>
    <mergeCell ref="BA1:BA2"/>
    <mergeCell ref="AU1:AU2"/>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【様式第６号】事業計画書兼チェックシート（新築）</vt:lpstr>
      <vt:lpstr>【様式第６号】（別紙）補助金併用一覧</vt:lpstr>
      <vt:lpstr>交付申請書（計画書連動）（住まいる）</vt:lpstr>
      <vt:lpstr>交付申請書（計画書連動）（未来型）</vt:lpstr>
      <vt:lpstr>様式11号（省エネ性能説明書）</vt:lpstr>
      <vt:lpstr>住まいる台帳コピー</vt:lpstr>
      <vt:lpstr>未来型台帳コピー</vt:lpstr>
      <vt:lpstr>'【様式第６号】（別紙）補助金併用一覧'!Print_Area</vt:lpstr>
      <vt:lpstr>'【様式第６号】事業計画書兼チェックシート（新築）'!Print_Area</vt:lpstr>
      <vt:lpstr>'交付申請書（計画書連動）（住まいる）'!Print_Area</vt:lpstr>
      <vt:lpstr>'交付申請書（計画書連動）（未来型）'!Print_Area</vt:lpstr>
      <vt:lpstr>'様式11号（省エネ性能説明書）'!Print_Area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cp:lastModifiedBy>
  <cp:lastPrinted>2023-01-16T06:41:31Z</cp:lastPrinted>
  <dcterms:created xsi:type="dcterms:W3CDTF">2017-01-19T07:37:02Z</dcterms:created>
  <dcterms:modified xsi:type="dcterms:W3CDTF">2023-03-23T03:04:37Z</dcterms:modified>
</cp:coreProperties>
</file>